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-105" windowWidth="23250" windowHeight="12570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 (S)" sheetId="65066" r:id="rId9"/>
    <sheet name="5" sheetId="65067" r:id="rId10"/>
    <sheet name="6" sheetId="65099" r:id="rId11"/>
    <sheet name="7" sheetId="65123" r:id="rId12"/>
    <sheet name="4 (N)" sheetId="65140" r:id="rId13"/>
    <sheet name="8" sheetId="65068" r:id="rId14"/>
    <sheet name="9" sheetId="65069" r:id="rId15"/>
    <sheet name="10" sheetId="65070" r:id="rId16"/>
    <sheet name="11" sheetId="65071" r:id="rId17"/>
    <sheet name="12" sheetId="65074" r:id="rId18"/>
    <sheet name="13" sheetId="65100" r:id="rId19"/>
    <sheet name="14" sheetId="65115" r:id="rId20"/>
    <sheet name="15" sheetId="65075" r:id="rId21"/>
    <sheet name="16" sheetId="65076" r:id="rId22"/>
    <sheet name="17" sheetId="65077" r:id="rId23"/>
    <sheet name="18" sheetId="65078" r:id="rId24"/>
    <sheet name="19" sheetId="65079" r:id="rId25"/>
    <sheet name="20" sheetId="65080" r:id="rId26"/>
    <sheet name="21" sheetId="65082" r:id="rId27"/>
    <sheet name="22" sheetId="65081" r:id="rId28"/>
    <sheet name="23" sheetId="65122" r:id="rId29"/>
    <sheet name="24" sheetId="65083" r:id="rId30"/>
    <sheet name="25" sheetId="65084" r:id="rId31"/>
    <sheet name="26" sheetId="65085" r:id="rId32"/>
    <sheet name="27" sheetId="65086" r:id="rId33"/>
    <sheet name="28" sheetId="65087" r:id="rId34"/>
    <sheet name="29" sheetId="65088" r:id="rId35"/>
    <sheet name="30" sheetId="65089" r:id="rId36"/>
    <sheet name="31" sheetId="65093" r:id="rId37"/>
    <sheet name="32" sheetId="65094" r:id="rId38"/>
    <sheet name="33" sheetId="65095" r:id="rId39"/>
    <sheet name="34" sheetId="65096" r:id="rId40"/>
    <sheet name="35" sheetId="65097" r:id="rId41"/>
    <sheet name="36" sheetId="65098" r:id="rId42"/>
    <sheet name="37" sheetId="65105" r:id="rId43"/>
    <sheet name="Sumarno" sheetId="65124" r:id="rId44"/>
    <sheet name="Funkcijska" sheetId="65137" r:id="rId45"/>
    <sheet name="Kap.pror." sheetId="65125" r:id="rId46"/>
    <sheet name="Kraj" sheetId="65061" r:id="rId47"/>
  </sheets>
  <definedNames>
    <definedName name="ACCOUNTEDPERIODTYPE1" localSheetId="12">#REF!</definedName>
    <definedName name="ACCOUNTEDPERIODTYPE1">#REF!</definedName>
    <definedName name="APPSUSERNAME1" localSheetId="12">#REF!</definedName>
    <definedName name="APPSUSERNAME1">#REF!</definedName>
    <definedName name="BUDGETORGID1" localSheetId="12">#REF!</definedName>
    <definedName name="BUDGETORGID1">#REF!</definedName>
    <definedName name="BUDGETORGNAME1" localSheetId="12">#REF!</definedName>
    <definedName name="BUDGETORGNAME1">#REF!</definedName>
    <definedName name="CHARTOFACCOUNTSID1" localSheetId="12">#REF!</definedName>
    <definedName name="CHARTOFACCOUNTSID1">#REF!</definedName>
    <definedName name="CONNECTSTRING1" localSheetId="12">#REF!</definedName>
    <definedName name="CONNECTSTRING1">#REF!</definedName>
    <definedName name="CREATESUMMARYJNLS1" localSheetId="12">#REF!</definedName>
    <definedName name="CREATESUMMARYJNLS1">#REF!</definedName>
    <definedName name="CRITERIACOLUMN1" localSheetId="12">#REF!</definedName>
    <definedName name="CRITERIACOLUMN1">#REF!</definedName>
    <definedName name="DBNAME1" localSheetId="12">#REF!</definedName>
    <definedName name="DBNAME1">#REF!</definedName>
    <definedName name="DBUSERNAME1" localSheetId="12">#REF!</definedName>
    <definedName name="DBUSERNAME1">#REF!</definedName>
    <definedName name="DELETELOGICTYPE1" localSheetId="12">#REF!</definedName>
    <definedName name="DELETELOGICTYPE1">#REF!</definedName>
    <definedName name="FFAPPCOLNAME1_1" localSheetId="12">#REF!</definedName>
    <definedName name="FFAPPCOLNAME1_1">#REF!</definedName>
    <definedName name="FFAPPCOLNAME2_1" localSheetId="12">#REF!</definedName>
    <definedName name="FFAPPCOLNAME2_1">#REF!</definedName>
    <definedName name="FFAPPCOLNAME3_1" localSheetId="12">#REF!</definedName>
    <definedName name="FFAPPCOLNAME3_1">#REF!</definedName>
    <definedName name="FFAPPCOLNAME4_1" localSheetId="12">#REF!</definedName>
    <definedName name="FFAPPCOLNAME4_1">#REF!</definedName>
    <definedName name="FFAPPCOLNAME5_1" localSheetId="12">#REF!</definedName>
    <definedName name="FFAPPCOLNAME5_1">#REF!</definedName>
    <definedName name="FFAPPCOLNAME6_1" localSheetId="12">#REF!</definedName>
    <definedName name="FFAPPCOLNAME6_1">#REF!</definedName>
    <definedName name="FFSEGMENT1_1" localSheetId="12">#REF!</definedName>
    <definedName name="FFSEGMENT1_1">#REF!</definedName>
    <definedName name="FFSEGMENT2_1" localSheetId="12">#REF!</definedName>
    <definedName name="FFSEGMENT2_1">#REF!</definedName>
    <definedName name="FFSEGMENT3_1" localSheetId="12">#REF!</definedName>
    <definedName name="FFSEGMENT3_1">#REF!</definedName>
    <definedName name="FFSEGMENT4_1" localSheetId="12">#REF!</definedName>
    <definedName name="FFSEGMENT4_1">#REF!</definedName>
    <definedName name="FFSEGMENT5_1" localSheetId="12">#REF!</definedName>
    <definedName name="FFSEGMENT5_1">#REF!</definedName>
    <definedName name="FFSEGMENT6_1" localSheetId="12">#REF!</definedName>
    <definedName name="FFSEGMENT6_1">#REF!</definedName>
    <definedName name="FFSEGSEPARATOR1" localSheetId="12">#REF!</definedName>
    <definedName name="FFSEGSEPARATOR1">#REF!</definedName>
    <definedName name="FIELDNAMECOLUMN1" localSheetId="12">#REF!</definedName>
    <definedName name="FIELDNAMECOLUMN1">#REF!</definedName>
    <definedName name="FIELDNAMEROW1" localSheetId="12">#REF!</definedName>
    <definedName name="FIELDNAMEROW1">#REF!</definedName>
    <definedName name="FIRSTDATAROW1" localSheetId="12">#REF!</definedName>
    <definedName name="FIRSTDATAROW1">#REF!</definedName>
    <definedName name="FNDNAM1" localSheetId="12">#REF!</definedName>
    <definedName name="FNDNAM1">#REF!</definedName>
    <definedName name="FNDUSERID1" localSheetId="12">#REF!</definedName>
    <definedName name="FNDUSERID1">#REF!</definedName>
    <definedName name="FUNCTIONALCURRENCY1" localSheetId="12">#REF!</definedName>
    <definedName name="FUNCTIONALCURRENCY1">#REF!</definedName>
    <definedName name="GWYUID1" localSheetId="12">#REF!</definedName>
    <definedName name="GWYUID1">#REF!</definedName>
    <definedName name="IMPORTDFF1" localSheetId="12">#REF!</definedName>
    <definedName name="IMPORTDFF1">#REF!</definedName>
    <definedName name="_xlnm.Print_Titles" localSheetId="44">Funkcijska!$1:$6</definedName>
    <definedName name="_xlnm.Print_Titles" localSheetId="4">Prihodi!$2:$4</definedName>
    <definedName name="_xlnm.Print_Titles" localSheetId="5">Rashodi!$1:$6</definedName>
    <definedName name="LABELTEXTCOLUMN1" localSheetId="12">#REF!</definedName>
    <definedName name="LABELTEXTCOLUMN1">#REF!</definedName>
    <definedName name="LABELTEXTROW1" localSheetId="12">#REF!</definedName>
    <definedName name="LABELTEXTROW1">#REF!</definedName>
    <definedName name="NOOFFFSEGMENTS1" localSheetId="12">#REF!</definedName>
    <definedName name="NOOFFFSEGMENTS1">#REF!</definedName>
    <definedName name="NUMBEROFDETAILFIELDS1" localSheetId="12">#REF!</definedName>
    <definedName name="NUMBEROFDETAILFIELDS1">#REF!</definedName>
    <definedName name="NUMBEROFHEADERFIELDS1" localSheetId="12">#REF!</definedName>
    <definedName name="NUMBEROFHEADERFIELDS1">#REF!</definedName>
    <definedName name="PERIODSETNAME1" localSheetId="12">#REF!</definedName>
    <definedName name="PERIODSETNAME1">#REF!</definedName>
    <definedName name="_xlnm.Print_Area" localSheetId="20">'15'!$A$1:$O$46</definedName>
    <definedName name="_xlnm.Print_Area" localSheetId="21">'16'!$A$1:$O$58</definedName>
    <definedName name="_xlnm.Print_Area" localSheetId="22">'17'!$A$1:$O$43</definedName>
    <definedName name="_xlnm.Print_Area" localSheetId="26">'21'!$A$1:$O$36</definedName>
    <definedName name="_xlnm.Print_Area" localSheetId="44">Funkcijska!$A$7:$G$106</definedName>
    <definedName name="_xlnm.Print_Area" localSheetId="46">Kraj!$A$1:$H$23</definedName>
    <definedName name="_xlnm.Print_Area" localSheetId="4">Prihodi!$B$4:$H$243</definedName>
    <definedName name="_xlnm.Print_Area" localSheetId="5">Rashodi!$C$7:$L$131</definedName>
    <definedName name="_xlnm.Print_Area" localSheetId="1">Sadrzaj!$A$1:$U$33</definedName>
    <definedName name="_xlnm.Print_Area" localSheetId="2">Uvod!$A$1:$G$46</definedName>
    <definedName name="POSTERRORSTOSUSP1" localSheetId="12">#REF!</definedName>
    <definedName name="POSTERRORSTOSUSP1">#REF!</definedName>
    <definedName name="RESPONSIBILITYAPPLICATIONID1" localSheetId="12">#REF!</definedName>
    <definedName name="RESPONSIBILITYAPPLICATIONID1">#REF!</definedName>
    <definedName name="RESPONSIBILITYID1" localSheetId="12">#REF!</definedName>
    <definedName name="RESPONSIBILITYID1">#REF!</definedName>
    <definedName name="RESPONSIBILITYNAME1" localSheetId="12">#REF!</definedName>
    <definedName name="RESPONSIBILITYNAME1">#REF!</definedName>
    <definedName name="ROWSTOUPLOAD1" localSheetId="12">#REF!</definedName>
    <definedName name="ROWSTOUPLOAD1">#REF!</definedName>
    <definedName name="SETOFBOOKSID1" localSheetId="12">#REF!</definedName>
    <definedName name="SETOFBOOKSID1">#REF!</definedName>
    <definedName name="SETOFBOOKSNAME1" localSheetId="12">#REF!</definedName>
    <definedName name="SETOFBOOKSNAME1">#REF!</definedName>
    <definedName name="STARTJOURNALIMPORT1" localSheetId="12">#REF!</definedName>
    <definedName name="STARTJOURNALIMPORT1">#REF!</definedName>
    <definedName name="TEMPLATENUMBER1" localSheetId="12">#REF!</definedName>
    <definedName name="TEMPLATENUMBER1">#REF!</definedName>
    <definedName name="TEMPLATESTYLE1" localSheetId="12">#REF!</definedName>
    <definedName name="TEMPLATESTYLE1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L47" i="65065"/>
  <c r="L31" i="65075"/>
  <c r="L34"/>
  <c r="L10" i="65085"/>
  <c r="L14" i="65088"/>
  <c r="L10"/>
  <c r="L14" i="65089"/>
  <c r="L10"/>
  <c r="L14" i="65087"/>
  <c r="L10"/>
  <c r="L14" i="65086"/>
  <c r="L10"/>
  <c r="L14" i="65085"/>
  <c r="L9"/>
  <c r="L14" i="65084"/>
  <c r="L10"/>
  <c r="L14" i="65083"/>
  <c r="L10"/>
  <c r="L14" i="65122"/>
  <c r="L9"/>
  <c r="L14" i="65081"/>
  <c r="L9"/>
  <c r="L14" i="65082"/>
  <c r="L9"/>
  <c r="L10" i="65105" l="1"/>
  <c r="L10" i="65098"/>
  <c r="L10" i="65097"/>
  <c r="L10" i="65096"/>
  <c r="L10" i="65095"/>
  <c r="L10" i="65094"/>
  <c r="L10" i="65093"/>
  <c r="L10" i="65079"/>
  <c r="L10" i="65081"/>
  <c r="L10" i="65082"/>
  <c r="L10" i="65080"/>
  <c r="L10" i="65078"/>
  <c r="L10" i="65077"/>
  <c r="L13" i="65076"/>
  <c r="L10" i="65075"/>
  <c r="L10" i="65115"/>
  <c r="L10" i="65100"/>
  <c r="L10" i="65074"/>
  <c r="L10" i="65071"/>
  <c r="L10" i="65070"/>
  <c r="L10" i="65069"/>
  <c r="L10" i="65068"/>
  <c r="L10" i="65140"/>
  <c r="L10" i="65123"/>
  <c r="L10" i="65099"/>
  <c r="L10" i="65067"/>
  <c r="L15" i="65065"/>
  <c r="L10" i="16"/>
  <c r="G182" i="65139"/>
  <c r="L29" i="65077"/>
  <c r="M47" i="65080"/>
  <c r="L47"/>
  <c r="G153" i="65139"/>
  <c r="G138"/>
  <c r="G66"/>
  <c r="G109"/>
  <c r="G44"/>
  <c r="L30" i="65079" l="1"/>
  <c r="L9" i="65088"/>
  <c r="L34" i="65076"/>
  <c r="J30" i="65087"/>
  <c r="J20" i="65083"/>
  <c r="J30" i="65081"/>
  <c r="L9" i="65086" l="1"/>
  <c r="L9" i="65089"/>
  <c r="L9" i="65084"/>
  <c r="L10" i="65122"/>
  <c r="L9" i="65098"/>
  <c r="L14"/>
  <c r="L9" i="65096"/>
  <c r="L14" i="65079"/>
  <c r="L9"/>
  <c r="L17" i="65076"/>
  <c r="L12"/>
  <c r="L14" i="65075"/>
  <c r="L14" i="65070"/>
  <c r="L9"/>
  <c r="L14" i="65069"/>
  <c r="L9"/>
  <c r="L14" i="65068"/>
  <c r="L9"/>
  <c r="L14" i="16"/>
  <c r="L9"/>
  <c r="L14" i="65105"/>
  <c r="L9"/>
  <c r="L14" i="65097"/>
  <c r="L9"/>
  <c r="L14" i="65096"/>
  <c r="L14" i="65095"/>
  <c r="L9"/>
  <c r="L14" i="65094"/>
  <c r="L9"/>
  <c r="L14" i="65093"/>
  <c r="L9"/>
  <c r="L9" i="65087"/>
  <c r="L9" i="65083"/>
  <c r="L14" i="65080"/>
  <c r="L9"/>
  <c r="L14" i="65078"/>
  <c r="L9"/>
  <c r="L14" i="65077"/>
  <c r="L9"/>
  <c r="L9" i="65075"/>
  <c r="L14" i="65115"/>
  <c r="L9"/>
  <c r="L14" i="65100"/>
  <c r="L9"/>
  <c r="L14" i="65074"/>
  <c r="L9"/>
  <c r="L14" i="65071"/>
  <c r="L9"/>
  <c r="L14" i="65140"/>
  <c r="L9"/>
  <c r="L14" i="65123"/>
  <c r="L9"/>
  <c r="L14" i="65099"/>
  <c r="L9"/>
  <c r="L19" i="65065"/>
  <c r="L14" i="65067"/>
  <c r="L9"/>
  <c r="L14" i="65065"/>
  <c r="M36" i="65078" l="1"/>
  <c r="L20" i="65083"/>
  <c r="M30" i="65081"/>
  <c r="G54" i="65139" l="1"/>
  <c r="L31" i="65077" l="1"/>
  <c r="L39" i="65076" l="1"/>
  <c r="L35" l="1"/>
  <c r="G176" i="65139" l="1"/>
  <c r="F176"/>
  <c r="E176"/>
  <c r="D176"/>
  <c r="H177"/>
  <c r="H240" l="1"/>
  <c r="G206"/>
  <c r="F206"/>
  <c r="E206"/>
  <c r="D206"/>
  <c r="H9"/>
  <c r="G197"/>
  <c r="F197"/>
  <c r="E197"/>
  <c r="D197"/>
  <c r="H218"/>
  <c r="G217"/>
  <c r="F217"/>
  <c r="E217"/>
  <c r="H217" s="1"/>
  <c r="D217"/>
  <c r="H202"/>
  <c r="H200"/>
  <c r="J20" i="65080" l="1"/>
  <c r="H78" i="65139" l="1"/>
  <c r="G77"/>
  <c r="F77"/>
  <c r="E77"/>
  <c r="H77" s="1"/>
  <c r="D77"/>
  <c r="K37" i="65076" l="1"/>
  <c r="J37"/>
  <c r="I37"/>
  <c r="L13" i="65068"/>
  <c r="J17" i="16" l="1"/>
  <c r="I26"/>
  <c r="J26" s="1"/>
  <c r="I17"/>
  <c r="L28" i="65098"/>
  <c r="L16"/>
  <c r="L13"/>
  <c r="L8"/>
  <c r="M37" i="65076" l="1"/>
  <c r="L37"/>
  <c r="J102" i="300" l="1"/>
  <c r="I102"/>
  <c r="H102"/>
  <c r="G102"/>
  <c r="F102"/>
  <c r="J101"/>
  <c r="I101"/>
  <c r="H101"/>
  <c r="G101"/>
  <c r="F101"/>
  <c r="J117"/>
  <c r="I117"/>
  <c r="H117"/>
  <c r="G117"/>
  <c r="F117"/>
  <c r="J116"/>
  <c r="I116"/>
  <c r="H116"/>
  <c r="G116"/>
  <c r="F116"/>
  <c r="M47" i="65076"/>
  <c r="L47"/>
  <c r="K47"/>
  <c r="J47"/>
  <c r="I47"/>
  <c r="N49"/>
  <c r="O49" s="1"/>
  <c r="N48"/>
  <c r="O48" s="1"/>
  <c r="N39"/>
  <c r="O39" s="1"/>
  <c r="N38"/>
  <c r="K101" i="300" s="1"/>
  <c r="K116" l="1"/>
  <c r="L116" s="1"/>
  <c r="L101"/>
  <c r="K102"/>
  <c r="L102" s="1"/>
  <c r="O38" i="65076"/>
  <c r="K117" i="300"/>
  <c r="L117" s="1"/>
  <c r="H181" i="65139" l="1"/>
  <c r="F126"/>
  <c r="E126"/>
  <c r="D126"/>
  <c r="H242"/>
  <c r="H241"/>
  <c r="H239"/>
  <c r="G238"/>
  <c r="F238"/>
  <c r="E238"/>
  <c r="D238"/>
  <c r="H237"/>
  <c r="G236"/>
  <c r="F236"/>
  <c r="E236"/>
  <c r="H236" s="1"/>
  <c r="D236"/>
  <c r="D235" s="1"/>
  <c r="D234" s="1"/>
  <c r="D233" s="1"/>
  <c r="F235"/>
  <c r="F234" s="1"/>
  <c r="F233" s="1"/>
  <c r="H232"/>
  <c r="H230"/>
  <c r="H229"/>
  <c r="H228"/>
  <c r="G227"/>
  <c r="F227"/>
  <c r="E227"/>
  <c r="D227"/>
  <c r="H226"/>
  <c r="H225"/>
  <c r="H224"/>
  <c r="H223"/>
  <c r="G222"/>
  <c r="G220" s="1"/>
  <c r="F222"/>
  <c r="E222"/>
  <c r="H222" s="1"/>
  <c r="D222"/>
  <c r="H221"/>
  <c r="F220"/>
  <c r="F219" s="1"/>
  <c r="E220"/>
  <c r="D220"/>
  <c r="D219" s="1"/>
  <c r="E219"/>
  <c r="H216"/>
  <c r="G215"/>
  <c r="G204" s="1"/>
  <c r="F215"/>
  <c r="F204" s="1"/>
  <c r="E215"/>
  <c r="D215"/>
  <c r="D204" s="1"/>
  <c r="H214"/>
  <c r="H213"/>
  <c r="H212"/>
  <c r="H211"/>
  <c r="H210"/>
  <c r="H209"/>
  <c r="H208"/>
  <c r="H207"/>
  <c r="H206"/>
  <c r="H205"/>
  <c r="H201"/>
  <c r="H199"/>
  <c r="H198"/>
  <c r="H197"/>
  <c r="G196"/>
  <c r="F196"/>
  <c r="E196"/>
  <c r="D196"/>
  <c r="G195"/>
  <c r="F195"/>
  <c r="E195"/>
  <c r="D195"/>
  <c r="H193"/>
  <c r="H192"/>
  <c r="H191"/>
  <c r="G190"/>
  <c r="F190"/>
  <c r="E190"/>
  <c r="H190" s="1"/>
  <c r="D190"/>
  <c r="G189"/>
  <c r="F189"/>
  <c r="E189"/>
  <c r="H189" s="1"/>
  <c r="D189"/>
  <c r="H188"/>
  <c r="E187"/>
  <c r="H187" s="1"/>
  <c r="D187"/>
  <c r="D185" s="1"/>
  <c r="H186"/>
  <c r="G185"/>
  <c r="F185"/>
  <c r="E185"/>
  <c r="H185" s="1"/>
  <c r="H184"/>
  <c r="G183"/>
  <c r="E183"/>
  <c r="H183" s="1"/>
  <c r="D183"/>
  <c r="D175" s="1"/>
  <c r="H182"/>
  <c r="H180"/>
  <c r="H179"/>
  <c r="H178"/>
  <c r="G175"/>
  <c r="H176"/>
  <c r="F175"/>
  <c r="H172"/>
  <c r="H171"/>
  <c r="G170"/>
  <c r="F170"/>
  <c r="E170"/>
  <c r="D170"/>
  <c r="H169"/>
  <c r="G168"/>
  <c r="F168"/>
  <c r="E168"/>
  <c r="D168"/>
  <c r="D167"/>
  <c r="D166" s="1"/>
  <c r="H164"/>
  <c r="H162"/>
  <c r="H161"/>
  <c r="E157"/>
  <c r="H159"/>
  <c r="H158"/>
  <c r="G157"/>
  <c r="G156" s="1"/>
  <c r="F157"/>
  <c r="F156" s="1"/>
  <c r="D157"/>
  <c r="D156" s="1"/>
  <c r="H155"/>
  <c r="H154"/>
  <c r="H153"/>
  <c r="H152"/>
  <c r="G151"/>
  <c r="F151"/>
  <c r="E151"/>
  <c r="D151"/>
  <c r="H150"/>
  <c r="H149"/>
  <c r="H148"/>
  <c r="H147"/>
  <c r="H146"/>
  <c r="H145"/>
  <c r="H144"/>
  <c r="G143"/>
  <c r="F143"/>
  <c r="E143"/>
  <c r="D143"/>
  <c r="H142"/>
  <c r="H141"/>
  <c r="H140"/>
  <c r="H139"/>
  <c r="H138"/>
  <c r="H137"/>
  <c r="G136"/>
  <c r="F136"/>
  <c r="F135" s="1"/>
  <c r="E136"/>
  <c r="D136"/>
  <c r="D135" s="1"/>
  <c r="H134"/>
  <c r="H133"/>
  <c r="G132"/>
  <c r="F132"/>
  <c r="E132"/>
  <c r="H132" s="1"/>
  <c r="D132"/>
  <c r="D125" s="1"/>
  <c r="H131"/>
  <c r="G130"/>
  <c r="F130"/>
  <c r="E130"/>
  <c r="H130" s="1"/>
  <c r="D130"/>
  <c r="H129"/>
  <c r="G128"/>
  <c r="F128"/>
  <c r="E128"/>
  <c r="E125" s="1"/>
  <c r="D128"/>
  <c r="H127"/>
  <c r="G126"/>
  <c r="H126" s="1"/>
  <c r="H124"/>
  <c r="G123"/>
  <c r="F123"/>
  <c r="E123"/>
  <c r="D123"/>
  <c r="H122"/>
  <c r="H121"/>
  <c r="H120"/>
  <c r="H119"/>
  <c r="G118"/>
  <c r="F118"/>
  <c r="E118"/>
  <c r="D118"/>
  <c r="H117"/>
  <c r="H116"/>
  <c r="H115"/>
  <c r="H114"/>
  <c r="H113"/>
  <c r="H112"/>
  <c r="H111"/>
  <c r="H110"/>
  <c r="H109"/>
  <c r="G108"/>
  <c r="G107" s="1"/>
  <c r="F108"/>
  <c r="E108"/>
  <c r="D108"/>
  <c r="D107" s="1"/>
  <c r="F107"/>
  <c r="H106"/>
  <c r="H105"/>
  <c r="H104"/>
  <c r="H103"/>
  <c r="G102"/>
  <c r="F102"/>
  <c r="E102"/>
  <c r="D102"/>
  <c r="H100"/>
  <c r="H99"/>
  <c r="H98"/>
  <c r="H97"/>
  <c r="G96"/>
  <c r="G95" s="1"/>
  <c r="F96"/>
  <c r="F95" s="1"/>
  <c r="E96"/>
  <c r="D96"/>
  <c r="D95"/>
  <c r="H94"/>
  <c r="H93"/>
  <c r="G92"/>
  <c r="F92"/>
  <c r="E92"/>
  <c r="D92"/>
  <c r="H91"/>
  <c r="H90"/>
  <c r="H89"/>
  <c r="H88"/>
  <c r="G87"/>
  <c r="F87"/>
  <c r="E87"/>
  <c r="E85" s="1"/>
  <c r="D87"/>
  <c r="H86"/>
  <c r="F85"/>
  <c r="D85"/>
  <c r="D84" s="1"/>
  <c r="H83"/>
  <c r="G82"/>
  <c r="F82"/>
  <c r="E82"/>
  <c r="D82"/>
  <c r="H81"/>
  <c r="G80"/>
  <c r="F80"/>
  <c r="E80"/>
  <c r="D80"/>
  <c r="H76"/>
  <c r="G75"/>
  <c r="F75"/>
  <c r="E75"/>
  <c r="D75"/>
  <c r="H74"/>
  <c r="H73"/>
  <c r="G72"/>
  <c r="F72"/>
  <c r="E72"/>
  <c r="D72"/>
  <c r="H71"/>
  <c r="H70"/>
  <c r="H69"/>
  <c r="G68"/>
  <c r="F68"/>
  <c r="E68"/>
  <c r="D68"/>
  <c r="H67"/>
  <c r="H66"/>
  <c r="H65"/>
  <c r="G64"/>
  <c r="F64"/>
  <c r="E64"/>
  <c r="E63" s="1"/>
  <c r="D64"/>
  <c r="H61"/>
  <c r="H60"/>
  <c r="H59"/>
  <c r="H58"/>
  <c r="G57"/>
  <c r="G56" s="1"/>
  <c r="F57"/>
  <c r="F56" s="1"/>
  <c r="E57"/>
  <c r="D57"/>
  <c r="D56" s="1"/>
  <c r="H55"/>
  <c r="H54"/>
  <c r="G53"/>
  <c r="F53"/>
  <c r="E53"/>
  <c r="H53" s="1"/>
  <c r="D53"/>
  <c r="H52"/>
  <c r="H51"/>
  <c r="H50"/>
  <c r="G49"/>
  <c r="F49"/>
  <c r="E49"/>
  <c r="D49"/>
  <c r="H46"/>
  <c r="H45"/>
  <c r="H44"/>
  <c r="H43"/>
  <c r="H42"/>
  <c r="H41"/>
  <c r="H40"/>
  <c r="G39"/>
  <c r="G38" s="1"/>
  <c r="F39"/>
  <c r="F38" s="1"/>
  <c r="E39"/>
  <c r="D39"/>
  <c r="D38" s="1"/>
  <c r="H37"/>
  <c r="G36"/>
  <c r="F36"/>
  <c r="E36"/>
  <c r="D36"/>
  <c r="H35"/>
  <c r="G34"/>
  <c r="F34"/>
  <c r="E34"/>
  <c r="D34"/>
  <c r="H33"/>
  <c r="H32"/>
  <c r="H31"/>
  <c r="H30"/>
  <c r="G29"/>
  <c r="F29"/>
  <c r="E29"/>
  <c r="D29"/>
  <c r="H27"/>
  <c r="H26"/>
  <c r="H25"/>
  <c r="H24"/>
  <c r="H23"/>
  <c r="H22"/>
  <c r="G21"/>
  <c r="G20" s="1"/>
  <c r="F21"/>
  <c r="F20" s="1"/>
  <c r="E21"/>
  <c r="D21"/>
  <c r="D20" s="1"/>
  <c r="H19"/>
  <c r="H18"/>
  <c r="G17"/>
  <c r="G16" s="1"/>
  <c r="F17"/>
  <c r="F16" s="1"/>
  <c r="E17"/>
  <c r="D17"/>
  <c r="D16" s="1"/>
  <c r="H15"/>
  <c r="H14"/>
  <c r="G13"/>
  <c r="F13"/>
  <c r="E13"/>
  <c r="D13"/>
  <c r="H12"/>
  <c r="H11"/>
  <c r="H10"/>
  <c r="H8"/>
  <c r="G7"/>
  <c r="F7"/>
  <c r="E7"/>
  <c r="D7"/>
  <c r="H151" l="1"/>
  <c r="G135"/>
  <c r="G85"/>
  <c r="H108"/>
  <c r="H75"/>
  <c r="D48"/>
  <c r="D47" s="1"/>
  <c r="H49"/>
  <c r="H123"/>
  <c r="H168"/>
  <c r="E235"/>
  <c r="H238"/>
  <c r="G28"/>
  <c r="D63"/>
  <c r="H128"/>
  <c r="F167"/>
  <c r="F166" s="1"/>
  <c r="H170"/>
  <c r="H195"/>
  <c r="H196"/>
  <c r="H227"/>
  <c r="D174"/>
  <c r="D173" s="1"/>
  <c r="D165" s="1"/>
  <c r="H215"/>
  <c r="E204"/>
  <c r="G235"/>
  <c r="G234" s="1"/>
  <c r="G233" s="1"/>
  <c r="H92"/>
  <c r="H136"/>
  <c r="H87"/>
  <c r="G48"/>
  <c r="G47" s="1"/>
  <c r="H39"/>
  <c r="H29"/>
  <c r="H17"/>
  <c r="F125"/>
  <c r="F101" s="1"/>
  <c r="H68"/>
  <c r="G63"/>
  <c r="H63" s="1"/>
  <c r="F63"/>
  <c r="F48"/>
  <c r="F47" s="1"/>
  <c r="F6"/>
  <c r="F203"/>
  <c r="F194" s="1"/>
  <c r="F174"/>
  <c r="F173" s="1"/>
  <c r="F165" s="1"/>
  <c r="F84"/>
  <c r="F28"/>
  <c r="H204"/>
  <c r="G174"/>
  <c r="G173" s="1"/>
  <c r="H143"/>
  <c r="H118"/>
  <c r="H102"/>
  <c r="H82"/>
  <c r="H80"/>
  <c r="H72"/>
  <c r="H64"/>
  <c r="H36"/>
  <c r="H34"/>
  <c r="H21"/>
  <c r="G6"/>
  <c r="H13"/>
  <c r="E234"/>
  <c r="E203"/>
  <c r="E194" s="1"/>
  <c r="D203"/>
  <c r="D194" s="1"/>
  <c r="D101"/>
  <c r="D79" s="1"/>
  <c r="D62" s="1"/>
  <c r="D28"/>
  <c r="D6"/>
  <c r="D5" s="1"/>
  <c r="H7"/>
  <c r="H57"/>
  <c r="H96"/>
  <c r="G167"/>
  <c r="G166" s="1"/>
  <c r="H220"/>
  <c r="G219"/>
  <c r="G203" s="1"/>
  <c r="G194" s="1"/>
  <c r="G125"/>
  <c r="H125" s="1"/>
  <c r="H85"/>
  <c r="G84"/>
  <c r="H157"/>
  <c r="E156"/>
  <c r="H156" s="1"/>
  <c r="H160"/>
  <c r="E6"/>
  <c r="E16"/>
  <c r="H16" s="1"/>
  <c r="E20"/>
  <c r="H20" s="1"/>
  <c r="E28"/>
  <c r="E38"/>
  <c r="H38" s="1"/>
  <c r="E48"/>
  <c r="E56"/>
  <c r="H56" s="1"/>
  <c r="E95"/>
  <c r="H95" s="1"/>
  <c r="E107"/>
  <c r="E135"/>
  <c r="E167"/>
  <c r="E175"/>
  <c r="H135" l="1"/>
  <c r="H28"/>
  <c r="H235"/>
  <c r="H194"/>
  <c r="G5"/>
  <c r="G165"/>
  <c r="F5"/>
  <c r="F79"/>
  <c r="F62" s="1"/>
  <c r="E84"/>
  <c r="H84" s="1"/>
  <c r="H234"/>
  <c r="E233"/>
  <c r="H233" s="1"/>
  <c r="D163"/>
  <c r="D231" s="1"/>
  <c r="D243" s="1"/>
  <c r="H203"/>
  <c r="H219"/>
  <c r="G101"/>
  <c r="G79" s="1"/>
  <c r="G62" s="1"/>
  <c r="H167"/>
  <c r="E166"/>
  <c r="H107"/>
  <c r="E101"/>
  <c r="E79"/>
  <c r="H6"/>
  <c r="H175"/>
  <c r="E174"/>
  <c r="H48"/>
  <c r="E47"/>
  <c r="H47" s="1"/>
  <c r="G163" l="1"/>
  <c r="G231" s="1"/>
  <c r="G243" s="1"/>
  <c r="F163"/>
  <c r="F231" s="1"/>
  <c r="F243" s="1"/>
  <c r="H101"/>
  <c r="H174"/>
  <c r="E173"/>
  <c r="H173" s="1"/>
  <c r="H79"/>
  <c r="E62"/>
  <c r="H62" s="1"/>
  <c r="H166"/>
  <c r="E165"/>
  <c r="H165" s="1"/>
  <c r="E5"/>
  <c r="E163" l="1"/>
  <c r="H5"/>
  <c r="H163" l="1"/>
  <c r="E231"/>
  <c r="E243" l="1"/>
  <c r="H243" s="1"/>
  <c r="H231"/>
  <c r="J41" i="300" l="1"/>
  <c r="I41"/>
  <c r="H41"/>
  <c r="G41"/>
  <c r="F41"/>
  <c r="N27" i="65070"/>
  <c r="O27" s="1"/>
  <c r="K41" i="300" l="1"/>
  <c r="L41" s="1"/>
  <c r="L28" i="65105" l="1"/>
  <c r="L16"/>
  <c r="L13"/>
  <c r="L8"/>
  <c r="L28" i="65097"/>
  <c r="L16"/>
  <c r="L13"/>
  <c r="L8"/>
  <c r="L28" i="65096"/>
  <c r="L16"/>
  <c r="L13"/>
  <c r="L8"/>
  <c r="L32" i="65095"/>
  <c r="L28"/>
  <c r="L16"/>
  <c r="L13"/>
  <c r="L8"/>
  <c r="L28" i="65094"/>
  <c r="L16"/>
  <c r="L13"/>
  <c r="L8"/>
  <c r="L31" i="65093"/>
  <c r="L28"/>
  <c r="L16"/>
  <c r="L13"/>
  <c r="L8"/>
  <c r="L28" i="65089"/>
  <c r="L16"/>
  <c r="L13"/>
  <c r="L8"/>
  <c r="L28" i="65088"/>
  <c r="L16"/>
  <c r="L13"/>
  <c r="L8"/>
  <c r="L28" i="65087"/>
  <c r="L16"/>
  <c r="L13"/>
  <c r="L8"/>
  <c r="L28" i="65086"/>
  <c r="L16"/>
  <c r="L13"/>
  <c r="L8"/>
  <c r="L28" i="65085"/>
  <c r="L16"/>
  <c r="L13"/>
  <c r="L8"/>
  <c r="L28" i="65084"/>
  <c r="L16"/>
  <c r="L13"/>
  <c r="L8"/>
  <c r="L28" i="65083"/>
  <c r="L16"/>
  <c r="L13"/>
  <c r="L8"/>
  <c r="L28" i="65122"/>
  <c r="L16"/>
  <c r="L13"/>
  <c r="L8"/>
  <c r="L28" i="65081"/>
  <c r="L16"/>
  <c r="L13"/>
  <c r="L8"/>
  <c r="L28" i="65082"/>
  <c r="L16"/>
  <c r="L13"/>
  <c r="L8"/>
  <c r="L49" i="65080"/>
  <c r="L45"/>
  <c r="L42"/>
  <c r="L30"/>
  <c r="L16"/>
  <c r="L13"/>
  <c r="L8"/>
  <c r="L38" i="65079"/>
  <c r="L34"/>
  <c r="L28"/>
  <c r="L16"/>
  <c r="L13"/>
  <c r="L8"/>
  <c r="L33" i="65078"/>
  <c r="L29"/>
  <c r="L16"/>
  <c r="L13"/>
  <c r="L8"/>
  <c r="L33" i="65077"/>
  <c r="L28"/>
  <c r="L16"/>
  <c r="L13"/>
  <c r="L8"/>
  <c r="L43" i="65076"/>
  <c r="L32"/>
  <c r="L19"/>
  <c r="L16"/>
  <c r="L11"/>
  <c r="L8"/>
  <c r="L36" i="65075"/>
  <c r="L33"/>
  <c r="L29"/>
  <c r="L16"/>
  <c r="L13"/>
  <c r="L8"/>
  <c r="L28" i="65115"/>
  <c r="L16"/>
  <c r="L13"/>
  <c r="L8"/>
  <c r="L28" i="65100"/>
  <c r="L16"/>
  <c r="L13"/>
  <c r="L8"/>
  <c r="L28" i="65074"/>
  <c r="L16"/>
  <c r="L13"/>
  <c r="L8"/>
  <c r="L29" i="65071"/>
  <c r="L16"/>
  <c r="L13"/>
  <c r="L8"/>
  <c r="L30" i="65070"/>
  <c r="L16"/>
  <c r="L13"/>
  <c r="L8"/>
  <c r="L28" i="65069"/>
  <c r="L16"/>
  <c r="L13"/>
  <c r="L8"/>
  <c r="L28" i="65068"/>
  <c r="L16"/>
  <c r="L8"/>
  <c r="L31" i="65140"/>
  <c r="L28"/>
  <c r="L16"/>
  <c r="L13"/>
  <c r="L8"/>
  <c r="L28" i="65123"/>
  <c r="L16"/>
  <c r="L13"/>
  <c r="L8"/>
  <c r="L28" i="65099"/>
  <c r="L16"/>
  <c r="L13"/>
  <c r="L8"/>
  <c r="L28" i="65067"/>
  <c r="L16"/>
  <c r="L13"/>
  <c r="L8"/>
  <c r="L49" i="65065"/>
  <c r="L46"/>
  <c r="L34"/>
  <c r="L21"/>
  <c r="L18"/>
  <c r="L13"/>
  <c r="L8"/>
  <c r="L28" i="16"/>
  <c r="L13"/>
  <c r="L8"/>
  <c r="E72" i="65137" l="1"/>
  <c r="E65"/>
  <c r="E64"/>
  <c r="E63"/>
  <c r="E62"/>
  <c r="E54"/>
  <c r="E47"/>
  <c r="E40"/>
  <c r="E17"/>
  <c r="K28" i="65105"/>
  <c r="K16"/>
  <c r="K13"/>
  <c r="K8"/>
  <c r="J28"/>
  <c r="J16"/>
  <c r="J13"/>
  <c r="J8"/>
  <c r="I28"/>
  <c r="I16"/>
  <c r="I13"/>
  <c r="I8"/>
  <c r="K28" i="65098"/>
  <c r="K16"/>
  <c r="K13"/>
  <c r="K8"/>
  <c r="J28"/>
  <c r="J16"/>
  <c r="J13"/>
  <c r="J8"/>
  <c r="I28"/>
  <c r="I16"/>
  <c r="I13"/>
  <c r="I8"/>
  <c r="K28" i="65097"/>
  <c r="K16"/>
  <c r="K13"/>
  <c r="K8"/>
  <c r="J28"/>
  <c r="J16"/>
  <c r="J13"/>
  <c r="J8"/>
  <c r="I28"/>
  <c r="I16"/>
  <c r="I13"/>
  <c r="I8"/>
  <c r="K28" i="65096"/>
  <c r="K16"/>
  <c r="K13"/>
  <c r="K8"/>
  <c r="E61" i="65137" l="1"/>
  <c r="J28" i="65096"/>
  <c r="J16"/>
  <c r="J13"/>
  <c r="J8"/>
  <c r="I28"/>
  <c r="I16"/>
  <c r="I13"/>
  <c r="I8"/>
  <c r="K32" i="65095"/>
  <c r="K28"/>
  <c r="K16"/>
  <c r="K13"/>
  <c r="K8"/>
  <c r="J32"/>
  <c r="J28"/>
  <c r="J16"/>
  <c r="J13"/>
  <c r="J8"/>
  <c r="I32"/>
  <c r="I28"/>
  <c r="I16"/>
  <c r="I13"/>
  <c r="I8"/>
  <c r="K28" i="65094"/>
  <c r="K16"/>
  <c r="K13"/>
  <c r="K8"/>
  <c r="J28"/>
  <c r="J16"/>
  <c r="J13"/>
  <c r="J8"/>
  <c r="I28"/>
  <c r="I16"/>
  <c r="I13"/>
  <c r="I8"/>
  <c r="K31" i="65093"/>
  <c r="K28"/>
  <c r="K16"/>
  <c r="K13"/>
  <c r="K8"/>
  <c r="J31"/>
  <c r="J28"/>
  <c r="J16"/>
  <c r="J13"/>
  <c r="J8"/>
  <c r="I31"/>
  <c r="I28"/>
  <c r="I16"/>
  <c r="I13"/>
  <c r="I8"/>
  <c r="K28" i="65089"/>
  <c r="K16"/>
  <c r="K13"/>
  <c r="K8"/>
  <c r="J28"/>
  <c r="J16"/>
  <c r="J13"/>
  <c r="J8"/>
  <c r="I28"/>
  <c r="I16"/>
  <c r="I13"/>
  <c r="I8"/>
  <c r="K28" i="65088"/>
  <c r="K16"/>
  <c r="K13"/>
  <c r="K8"/>
  <c r="J28"/>
  <c r="J16"/>
  <c r="J13"/>
  <c r="J8"/>
  <c r="I28"/>
  <c r="I16"/>
  <c r="I13"/>
  <c r="I8"/>
  <c r="K28" i="65087"/>
  <c r="K16"/>
  <c r="K13"/>
  <c r="K8"/>
  <c r="J28"/>
  <c r="J16"/>
  <c r="J13"/>
  <c r="J8"/>
  <c r="I28"/>
  <c r="I16"/>
  <c r="I13"/>
  <c r="I8"/>
  <c r="K28" i="65086"/>
  <c r="K16"/>
  <c r="K13"/>
  <c r="K8"/>
  <c r="J28"/>
  <c r="J16"/>
  <c r="J13"/>
  <c r="J8"/>
  <c r="I28"/>
  <c r="I16"/>
  <c r="I13"/>
  <c r="I8"/>
  <c r="K28" i="65085"/>
  <c r="K16"/>
  <c r="K13"/>
  <c r="K8"/>
  <c r="J28"/>
  <c r="J16"/>
  <c r="J13"/>
  <c r="J8"/>
  <c r="I28"/>
  <c r="I16"/>
  <c r="I13"/>
  <c r="I8"/>
  <c r="K28" i="65084"/>
  <c r="K16"/>
  <c r="K13"/>
  <c r="K8"/>
  <c r="J28"/>
  <c r="J16"/>
  <c r="J13"/>
  <c r="J8"/>
  <c r="I28"/>
  <c r="I16"/>
  <c r="I13"/>
  <c r="I8"/>
  <c r="K28" i="65083"/>
  <c r="K16"/>
  <c r="K13"/>
  <c r="K8"/>
  <c r="J28"/>
  <c r="J16"/>
  <c r="J13"/>
  <c r="J8"/>
  <c r="I28"/>
  <c r="I16"/>
  <c r="I13"/>
  <c r="I8"/>
  <c r="K28" i="65122"/>
  <c r="K16"/>
  <c r="K13"/>
  <c r="K8"/>
  <c r="J28"/>
  <c r="J16"/>
  <c r="J13"/>
  <c r="J8"/>
  <c r="I28"/>
  <c r="I16"/>
  <c r="I13"/>
  <c r="I8"/>
  <c r="K28" i="65081"/>
  <c r="K16"/>
  <c r="K13"/>
  <c r="K8"/>
  <c r="J28"/>
  <c r="J16"/>
  <c r="J13"/>
  <c r="J8"/>
  <c r="I28"/>
  <c r="I16"/>
  <c r="I13"/>
  <c r="I8"/>
  <c r="K28" i="65082"/>
  <c r="K16"/>
  <c r="K13"/>
  <c r="K8"/>
  <c r="J28"/>
  <c r="J16"/>
  <c r="J13"/>
  <c r="J8"/>
  <c r="I28"/>
  <c r="I16"/>
  <c r="I13"/>
  <c r="I8"/>
  <c r="K49" i="65080"/>
  <c r="K45"/>
  <c r="K42"/>
  <c r="K30"/>
  <c r="K16"/>
  <c r="K13"/>
  <c r="K8"/>
  <c r="J49"/>
  <c r="J45"/>
  <c r="J42"/>
  <c r="J30"/>
  <c r="J16"/>
  <c r="J13"/>
  <c r="J8"/>
  <c r="I49"/>
  <c r="I45"/>
  <c r="I42"/>
  <c r="I30"/>
  <c r="I16"/>
  <c r="I13"/>
  <c r="I8"/>
  <c r="K38" i="65079"/>
  <c r="K34"/>
  <c r="K28"/>
  <c r="K16"/>
  <c r="K13"/>
  <c r="K8"/>
  <c r="J38"/>
  <c r="J34"/>
  <c r="J28"/>
  <c r="J16"/>
  <c r="J13"/>
  <c r="J8"/>
  <c r="I38"/>
  <c r="I34"/>
  <c r="I28"/>
  <c r="I16"/>
  <c r="I13"/>
  <c r="I8"/>
  <c r="K33" i="65078"/>
  <c r="K29"/>
  <c r="K16"/>
  <c r="K13"/>
  <c r="K8"/>
  <c r="J33"/>
  <c r="J29"/>
  <c r="J16"/>
  <c r="J13"/>
  <c r="J8"/>
  <c r="I33"/>
  <c r="I29"/>
  <c r="I16"/>
  <c r="I13"/>
  <c r="I8"/>
  <c r="K33" i="65077"/>
  <c r="K28"/>
  <c r="K16"/>
  <c r="K13"/>
  <c r="K8"/>
  <c r="J33"/>
  <c r="J28"/>
  <c r="J16"/>
  <c r="J13"/>
  <c r="J8"/>
  <c r="I33"/>
  <c r="I28"/>
  <c r="I16"/>
  <c r="I13"/>
  <c r="I8"/>
  <c r="K43" i="65076"/>
  <c r="K32"/>
  <c r="K19"/>
  <c r="K16"/>
  <c r="K11"/>
  <c r="K8"/>
  <c r="J43"/>
  <c r="J32"/>
  <c r="J19"/>
  <c r="J16"/>
  <c r="J11"/>
  <c r="J8"/>
  <c r="I43"/>
  <c r="I32"/>
  <c r="I19"/>
  <c r="I16"/>
  <c r="I11"/>
  <c r="I8"/>
  <c r="K36" i="65075"/>
  <c r="K33"/>
  <c r="K29"/>
  <c r="K16"/>
  <c r="K13"/>
  <c r="K8"/>
  <c r="J36"/>
  <c r="J33"/>
  <c r="J29"/>
  <c r="J16"/>
  <c r="J13"/>
  <c r="J8"/>
  <c r="I36"/>
  <c r="I33"/>
  <c r="I29"/>
  <c r="I16"/>
  <c r="I13"/>
  <c r="I8"/>
  <c r="K28" i="65115"/>
  <c r="K16"/>
  <c r="K13"/>
  <c r="K8"/>
  <c r="J28"/>
  <c r="J16"/>
  <c r="J13"/>
  <c r="J8"/>
  <c r="I28"/>
  <c r="I16"/>
  <c r="I13"/>
  <c r="I8"/>
  <c r="K28" i="65100"/>
  <c r="K16"/>
  <c r="K13"/>
  <c r="K8"/>
  <c r="J28"/>
  <c r="J16"/>
  <c r="J13"/>
  <c r="J8"/>
  <c r="I28"/>
  <c r="I16"/>
  <c r="I13"/>
  <c r="I8"/>
  <c r="K28" i="65074"/>
  <c r="K16"/>
  <c r="K13"/>
  <c r="K8"/>
  <c r="J28"/>
  <c r="J16"/>
  <c r="J13"/>
  <c r="J8"/>
  <c r="I28"/>
  <c r="I16"/>
  <c r="I13"/>
  <c r="I8"/>
  <c r="K29" i="65071"/>
  <c r="K16"/>
  <c r="K13"/>
  <c r="K8"/>
  <c r="J29"/>
  <c r="J16"/>
  <c r="J13"/>
  <c r="J8"/>
  <c r="I29"/>
  <c r="I16"/>
  <c r="I13"/>
  <c r="I8"/>
  <c r="K30" i="65070"/>
  <c r="K16"/>
  <c r="K13"/>
  <c r="K8"/>
  <c r="J30"/>
  <c r="J16"/>
  <c r="J13"/>
  <c r="J8"/>
  <c r="I30"/>
  <c r="I16"/>
  <c r="I13"/>
  <c r="I8"/>
  <c r="K28" i="65069"/>
  <c r="K16"/>
  <c r="K13"/>
  <c r="K8"/>
  <c r="J28"/>
  <c r="J16"/>
  <c r="J13"/>
  <c r="J8"/>
  <c r="I28"/>
  <c r="I16"/>
  <c r="I13"/>
  <c r="I8"/>
  <c r="K28" i="65068"/>
  <c r="K16"/>
  <c r="K13"/>
  <c r="K8"/>
  <c r="J16"/>
  <c r="J13"/>
  <c r="J8"/>
  <c r="J28" i="65140"/>
  <c r="J16"/>
  <c r="J13"/>
  <c r="J8"/>
  <c r="K28" i="65123"/>
  <c r="K16"/>
  <c r="K13"/>
  <c r="K8"/>
  <c r="J16"/>
  <c r="J13"/>
  <c r="J8"/>
  <c r="K28" i="65099"/>
  <c r="K16"/>
  <c r="K13"/>
  <c r="K8"/>
  <c r="J16"/>
  <c r="J13"/>
  <c r="J8"/>
  <c r="I8"/>
  <c r="I13"/>
  <c r="I16"/>
  <c r="I29"/>
  <c r="J29" s="1"/>
  <c r="J28" s="1"/>
  <c r="K28" i="65067"/>
  <c r="K16"/>
  <c r="K13"/>
  <c r="K8"/>
  <c r="J16"/>
  <c r="J13"/>
  <c r="J8"/>
  <c r="I8"/>
  <c r="I13"/>
  <c r="I16"/>
  <c r="I29"/>
  <c r="I28" s="1"/>
  <c r="K31" i="65066"/>
  <c r="K16"/>
  <c r="K13"/>
  <c r="K8"/>
  <c r="J28"/>
  <c r="J13"/>
  <c r="K49" i="65065"/>
  <c r="K46"/>
  <c r="K34"/>
  <c r="K21"/>
  <c r="K18"/>
  <c r="K13"/>
  <c r="K8"/>
  <c r="J49"/>
  <c r="J46"/>
  <c r="J34"/>
  <c r="J21"/>
  <c r="J18"/>
  <c r="J13"/>
  <c r="J8"/>
  <c r="I49"/>
  <c r="I46"/>
  <c r="I34"/>
  <c r="I21"/>
  <c r="I18"/>
  <c r="I13"/>
  <c r="I8"/>
  <c r="I28" i="65099" l="1"/>
  <c r="J29" i="65067"/>
  <c r="J28" s="1"/>
  <c r="J28" i="16"/>
  <c r="J13"/>
  <c r="J16" l="1"/>
  <c r="L16"/>
  <c r="I95" i="300"/>
  <c r="H95"/>
  <c r="G95"/>
  <c r="F95"/>
  <c r="M34" i="65079"/>
  <c r="N35"/>
  <c r="O35" s="1"/>
  <c r="K95" i="300" l="1"/>
  <c r="L95" s="1"/>
  <c r="J95"/>
  <c r="J108"/>
  <c r="I108"/>
  <c r="H108"/>
  <c r="G108"/>
  <c r="J107"/>
  <c r="I107"/>
  <c r="H107"/>
  <c r="F108"/>
  <c r="J63"/>
  <c r="I63"/>
  <c r="H63"/>
  <c r="G63"/>
  <c r="F63"/>
  <c r="J44"/>
  <c r="I44"/>
  <c r="H44"/>
  <c r="J38"/>
  <c r="I38"/>
  <c r="H38"/>
  <c r="G38"/>
  <c r="F38"/>
  <c r="J35"/>
  <c r="I35"/>
  <c r="H35"/>
  <c r="J32"/>
  <c r="I32"/>
  <c r="H32"/>
  <c r="G32"/>
  <c r="J30"/>
  <c r="I30"/>
  <c r="H30"/>
  <c r="J29"/>
  <c r="I29"/>
  <c r="H29"/>
  <c r="J28"/>
  <c r="I28"/>
  <c r="H28"/>
  <c r="J27"/>
  <c r="I27"/>
  <c r="H27"/>
  <c r="G27"/>
  <c r="J26"/>
  <c r="I26"/>
  <c r="H26"/>
  <c r="J25"/>
  <c r="I25"/>
  <c r="H25"/>
  <c r="G25"/>
  <c r="F32"/>
  <c r="F27"/>
  <c r="F25"/>
  <c r="J22"/>
  <c r="I22"/>
  <c r="H22"/>
  <c r="F22"/>
  <c r="J19"/>
  <c r="I19"/>
  <c r="H19"/>
  <c r="J18"/>
  <c r="H18"/>
  <c r="F18"/>
  <c r="J16"/>
  <c r="I16"/>
  <c r="H16"/>
  <c r="F16"/>
  <c r="K8" i="65140"/>
  <c r="K13"/>
  <c r="K16"/>
  <c r="K31"/>
  <c r="O34"/>
  <c r="N33"/>
  <c r="O33" s="1"/>
  <c r="N32"/>
  <c r="I32"/>
  <c r="J32" s="1"/>
  <c r="J31" s="1"/>
  <c r="N31"/>
  <c r="M31"/>
  <c r="O30"/>
  <c r="N29"/>
  <c r="K63" i="300" s="1"/>
  <c r="M28" i="65140"/>
  <c r="K28"/>
  <c r="I28"/>
  <c r="O27"/>
  <c r="O26"/>
  <c r="N26"/>
  <c r="N25"/>
  <c r="O25" s="1"/>
  <c r="O24"/>
  <c r="N24"/>
  <c r="N23"/>
  <c r="O23" s="1"/>
  <c r="O22"/>
  <c r="N22"/>
  <c r="O21"/>
  <c r="N21"/>
  <c r="O20"/>
  <c r="N20"/>
  <c r="N19"/>
  <c r="O19" s="1"/>
  <c r="O18"/>
  <c r="N18"/>
  <c r="N17"/>
  <c r="O17" s="1"/>
  <c r="M16"/>
  <c r="I16"/>
  <c r="O15"/>
  <c r="N14"/>
  <c r="O14" s="1"/>
  <c r="M13"/>
  <c r="I13"/>
  <c r="O12"/>
  <c r="O11"/>
  <c r="N11"/>
  <c r="N10"/>
  <c r="D11" i="65124" s="1"/>
  <c r="N9" i="65140"/>
  <c r="C11" i="65124" s="1"/>
  <c r="M8" i="65140"/>
  <c r="I8"/>
  <c r="I18" i="300"/>
  <c r="I31" i="65140" l="1"/>
  <c r="O32"/>
  <c r="N16"/>
  <c r="F11" i="65124" s="1"/>
  <c r="N28" i="65140"/>
  <c r="O29"/>
  <c r="K36"/>
  <c r="J11" i="65124"/>
  <c r="D13" i="65125"/>
  <c r="C13" s="1"/>
  <c r="N13" i="65140"/>
  <c r="E11" i="65124" s="1"/>
  <c r="O10" i="65140"/>
  <c r="O13"/>
  <c r="J36"/>
  <c r="M36"/>
  <c r="I36"/>
  <c r="L36"/>
  <c r="N8"/>
  <c r="O8" s="1"/>
  <c r="O9"/>
  <c r="O31"/>
  <c r="O16" l="1"/>
  <c r="G11" i="65124"/>
  <c r="L11" s="1"/>
  <c r="O28" i="65140"/>
  <c r="N36"/>
  <c r="O36" s="1"/>
  <c r="J96" i="300" l="1"/>
  <c r="I96"/>
  <c r="H96"/>
  <c r="G96"/>
  <c r="F96"/>
  <c r="K43" i="65079"/>
  <c r="N36"/>
  <c r="O33"/>
  <c r="J40" i="300"/>
  <c r="I40"/>
  <c r="H40"/>
  <c r="G40"/>
  <c r="F40"/>
  <c r="N26" i="65070"/>
  <c r="O26" s="1"/>
  <c r="L13" i="65066"/>
  <c r="L8"/>
  <c r="L63" i="300"/>
  <c r="M28" i="65066"/>
  <c r="L28"/>
  <c r="K28"/>
  <c r="I28"/>
  <c r="F68" i="300"/>
  <c r="L31" i="65066"/>
  <c r="L16"/>
  <c r="O36" i="65079" l="1"/>
  <c r="N34"/>
  <c r="K96" i="300"/>
  <c r="L96" s="1"/>
  <c r="K40"/>
  <c r="L40" s="1"/>
  <c r="H23" i="65124" l="1"/>
  <c r="O34" i="65079"/>
  <c r="G112" i="300"/>
  <c r="H112"/>
  <c r="I112"/>
  <c r="J112"/>
  <c r="F112"/>
  <c r="G110"/>
  <c r="H110"/>
  <c r="I110"/>
  <c r="J110"/>
  <c r="F110"/>
  <c r="M33" i="65078"/>
  <c r="N38"/>
  <c r="O38" s="1"/>
  <c r="N36"/>
  <c r="O36" s="1"/>
  <c r="G97" i="300"/>
  <c r="H97"/>
  <c r="I97"/>
  <c r="J97"/>
  <c r="F97"/>
  <c r="G50"/>
  <c r="H50"/>
  <c r="I50"/>
  <c r="J50"/>
  <c r="F50"/>
  <c r="K41" i="65075"/>
  <c r="J41"/>
  <c r="I41"/>
  <c r="M33"/>
  <c r="N34"/>
  <c r="N33" s="1"/>
  <c r="H19" i="65124" s="1"/>
  <c r="O32" i="65075"/>
  <c r="M29"/>
  <c r="N30"/>
  <c r="O30" s="1"/>
  <c r="M28" i="65093"/>
  <c r="J68" i="300" s="1"/>
  <c r="I68"/>
  <c r="J82"/>
  <c r="J83"/>
  <c r="I83"/>
  <c r="I82"/>
  <c r="H83"/>
  <c r="H82"/>
  <c r="G83"/>
  <c r="G82"/>
  <c r="F83"/>
  <c r="F82"/>
  <c r="M30" i="65080"/>
  <c r="N40"/>
  <c r="N39"/>
  <c r="N31" i="65079"/>
  <c r="G68" i="300"/>
  <c r="H68"/>
  <c r="K33" i="65089"/>
  <c r="G44" i="300"/>
  <c r="O39" i="65080" l="1"/>
  <c r="F62" i="65137"/>
  <c r="K83" i="300"/>
  <c r="L83" s="1"/>
  <c r="F63" i="65137"/>
  <c r="G30" i="300"/>
  <c r="O33" i="65075"/>
  <c r="O34"/>
  <c r="K97" i="300"/>
  <c r="L97" s="1"/>
  <c r="K50"/>
  <c r="L50" s="1"/>
  <c r="K82"/>
  <c r="L82" s="1"/>
  <c r="K112"/>
  <c r="L112" s="1"/>
  <c r="K110"/>
  <c r="L110" s="1"/>
  <c r="I33" i="65115"/>
  <c r="K33" i="65100"/>
  <c r="J34" i="65071"/>
  <c r="I29" i="65068"/>
  <c r="J29" s="1"/>
  <c r="J28" s="1"/>
  <c r="I28"/>
  <c r="I16"/>
  <c r="I13"/>
  <c r="I8"/>
  <c r="I29" i="65123"/>
  <c r="J29" s="1"/>
  <c r="J28" s="1"/>
  <c r="I16"/>
  <c r="I13"/>
  <c r="I8"/>
  <c r="I32" i="65066"/>
  <c r="I24"/>
  <c r="J24" s="1"/>
  <c r="G35" i="300" s="1"/>
  <c r="I22" i="65066"/>
  <c r="J22" s="1"/>
  <c r="I21"/>
  <c r="J21" s="1"/>
  <c r="G29" i="300" s="1"/>
  <c r="I20" i="65066"/>
  <c r="I18"/>
  <c r="I13"/>
  <c r="I11"/>
  <c r="K28" i="16"/>
  <c r="K16"/>
  <c r="K13"/>
  <c r="K8"/>
  <c r="I28"/>
  <c r="I16"/>
  <c r="I13"/>
  <c r="I11"/>
  <c r="J11" s="1"/>
  <c r="F30" i="300" l="1"/>
  <c r="J8" i="16"/>
  <c r="I8" i="65066"/>
  <c r="J11"/>
  <c r="J8" s="1"/>
  <c r="I16"/>
  <c r="J18"/>
  <c r="I8" i="16"/>
  <c r="J20" i="65066"/>
  <c r="G28" i="300" s="1"/>
  <c r="F28"/>
  <c r="I31" i="65066"/>
  <c r="J32"/>
  <c r="I28" i="65123"/>
  <c r="F35" i="300"/>
  <c r="F107"/>
  <c r="F29"/>
  <c r="F44"/>
  <c r="G18"/>
  <c r="F26"/>
  <c r="G16"/>
  <c r="I43" i="65079"/>
  <c r="F19" i="300"/>
  <c r="G22"/>
  <c r="J16" i="65066" l="1"/>
  <c r="G26" i="300"/>
  <c r="G19"/>
  <c r="J31" i="65066"/>
  <c r="G107" i="300"/>
  <c r="J43" i="65079"/>
  <c r="E32" i="65137" s="1"/>
  <c r="N29" i="65093" l="1"/>
  <c r="O29" l="1"/>
  <c r="N9" i="65065"/>
  <c r="M28" i="65074" l="1"/>
  <c r="G94" i="300" l="1"/>
  <c r="G93" s="1"/>
  <c r="H94"/>
  <c r="H93" s="1"/>
  <c r="I94"/>
  <c r="I93" s="1"/>
  <c r="J94"/>
  <c r="J93" s="1"/>
  <c r="F94"/>
  <c r="F93" s="1"/>
  <c r="N30" i="16"/>
  <c r="N29"/>
  <c r="N26"/>
  <c r="N25"/>
  <c r="N24"/>
  <c r="N23"/>
  <c r="N22"/>
  <c r="N21"/>
  <c r="N20"/>
  <c r="N19"/>
  <c r="N18"/>
  <c r="N17"/>
  <c r="N11"/>
  <c r="N52" i="65065"/>
  <c r="N51"/>
  <c r="N50"/>
  <c r="N47"/>
  <c r="K94" i="300" s="1"/>
  <c r="K93" s="1"/>
  <c r="N44" i="65065"/>
  <c r="N43"/>
  <c r="N42"/>
  <c r="N41"/>
  <c r="N40"/>
  <c r="N39"/>
  <c r="N38"/>
  <c r="N37"/>
  <c r="N36"/>
  <c r="N35"/>
  <c r="N32"/>
  <c r="N31"/>
  <c r="N30"/>
  <c r="N29"/>
  <c r="N28"/>
  <c r="N27"/>
  <c r="N26"/>
  <c r="N25"/>
  <c r="N24"/>
  <c r="N23"/>
  <c r="N22"/>
  <c r="N16"/>
  <c r="N11"/>
  <c r="N10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N24"/>
  <c r="N23"/>
  <c r="N22"/>
  <c r="N21"/>
  <c r="N20"/>
  <c r="N19"/>
  <c r="N18"/>
  <c r="N17"/>
  <c r="N11"/>
  <c r="N30" i="65099"/>
  <c r="N29"/>
  <c r="N26"/>
  <c r="N25"/>
  <c r="N24"/>
  <c r="N23"/>
  <c r="N22"/>
  <c r="N21"/>
  <c r="N20"/>
  <c r="N19"/>
  <c r="N18"/>
  <c r="N17"/>
  <c r="N11"/>
  <c r="N30" i="65123"/>
  <c r="N29"/>
  <c r="N26"/>
  <c r="N25"/>
  <c r="N24"/>
  <c r="N23"/>
  <c r="N22"/>
  <c r="N21"/>
  <c r="N20"/>
  <c r="N19"/>
  <c r="N18"/>
  <c r="N17"/>
  <c r="N11"/>
  <c r="N30" i="65068"/>
  <c r="N29"/>
  <c r="N26"/>
  <c r="N25"/>
  <c r="N24"/>
  <c r="N23"/>
  <c r="N22"/>
  <c r="N21"/>
  <c r="N20"/>
  <c r="N19"/>
  <c r="N18"/>
  <c r="N17"/>
  <c r="N11"/>
  <c r="N30" i="65069"/>
  <c r="N29"/>
  <c r="N26"/>
  <c r="N25"/>
  <c r="N24"/>
  <c r="N23"/>
  <c r="N22"/>
  <c r="N21"/>
  <c r="N20"/>
  <c r="N19"/>
  <c r="N18"/>
  <c r="N17"/>
  <c r="N11"/>
  <c r="N32" i="65070"/>
  <c r="N31"/>
  <c r="N28"/>
  <c r="N25"/>
  <c r="N24"/>
  <c r="N23"/>
  <c r="N22"/>
  <c r="N21"/>
  <c r="N20"/>
  <c r="N19"/>
  <c r="N18"/>
  <c r="N17"/>
  <c r="N11"/>
  <c r="N31" i="65071"/>
  <c r="N30"/>
  <c r="N26"/>
  <c r="N25"/>
  <c r="N24"/>
  <c r="N23"/>
  <c r="N22"/>
  <c r="N21"/>
  <c r="N20"/>
  <c r="N19"/>
  <c r="N18"/>
  <c r="N17"/>
  <c r="N11"/>
  <c r="N30" i="65074"/>
  <c r="N29"/>
  <c r="N26"/>
  <c r="N25"/>
  <c r="N24"/>
  <c r="N23"/>
  <c r="N22"/>
  <c r="N21"/>
  <c r="N20"/>
  <c r="N19"/>
  <c r="N18"/>
  <c r="N17"/>
  <c r="N11"/>
  <c r="N30" i="65100"/>
  <c r="N29"/>
  <c r="N26"/>
  <c r="N25"/>
  <c r="N24"/>
  <c r="N23"/>
  <c r="N22"/>
  <c r="N21"/>
  <c r="N20"/>
  <c r="N19"/>
  <c r="N18"/>
  <c r="N17"/>
  <c r="N11"/>
  <c r="N30" i="65115"/>
  <c r="N29"/>
  <c r="N26"/>
  <c r="N25"/>
  <c r="N24"/>
  <c r="N23"/>
  <c r="N22"/>
  <c r="N21"/>
  <c r="N20"/>
  <c r="N19"/>
  <c r="N18"/>
  <c r="N17"/>
  <c r="N11"/>
  <c r="N38" i="65075"/>
  <c r="N37"/>
  <c r="N31"/>
  <c r="N29" s="1"/>
  <c r="N27"/>
  <c r="N26"/>
  <c r="N25"/>
  <c r="N24"/>
  <c r="N23"/>
  <c r="N22"/>
  <c r="N21"/>
  <c r="N20"/>
  <c r="N19"/>
  <c r="N18"/>
  <c r="N17"/>
  <c r="N11"/>
  <c r="N51" i="65076"/>
  <c r="N50"/>
  <c r="N45"/>
  <c r="N44"/>
  <c r="N41"/>
  <c r="N40"/>
  <c r="N35"/>
  <c r="N34"/>
  <c r="N33"/>
  <c r="N30"/>
  <c r="N26"/>
  <c r="N25"/>
  <c r="N24"/>
  <c r="N21"/>
  <c r="N20"/>
  <c r="O20" s="1"/>
  <c r="O21"/>
  <c r="O24"/>
  <c r="O25"/>
  <c r="O26"/>
  <c r="O30"/>
  <c r="N14"/>
  <c r="N9"/>
  <c r="N35" i="65077"/>
  <c r="N34"/>
  <c r="N31"/>
  <c r="N30"/>
  <c r="N29"/>
  <c r="N26"/>
  <c r="N25"/>
  <c r="N24"/>
  <c r="N23"/>
  <c r="N22"/>
  <c r="N21"/>
  <c r="N20"/>
  <c r="N19"/>
  <c r="N18"/>
  <c r="N17"/>
  <c r="N11"/>
  <c r="N37" i="65078"/>
  <c r="N35"/>
  <c r="N34"/>
  <c r="N31"/>
  <c r="N30"/>
  <c r="N27"/>
  <c r="N26"/>
  <c r="N25"/>
  <c r="N24"/>
  <c r="N23"/>
  <c r="N22"/>
  <c r="N21"/>
  <c r="N20"/>
  <c r="N19"/>
  <c r="N18"/>
  <c r="N17"/>
  <c r="N11"/>
  <c r="N40" i="65079"/>
  <c r="N39"/>
  <c r="N32"/>
  <c r="N30"/>
  <c r="N29"/>
  <c r="N26"/>
  <c r="N25"/>
  <c r="N24"/>
  <c r="N23"/>
  <c r="N22"/>
  <c r="N21"/>
  <c r="N20"/>
  <c r="N19"/>
  <c r="N18"/>
  <c r="N17"/>
  <c r="N11"/>
  <c r="J53" i="65080"/>
  <c r="E76" i="65137" s="1"/>
  <c r="K53" i="65080"/>
  <c r="N50"/>
  <c r="N47"/>
  <c r="N46"/>
  <c r="N43"/>
  <c r="N38"/>
  <c r="F65" i="65137" s="1"/>
  <c r="N37" i="65080"/>
  <c r="F64" i="65137" s="1"/>
  <c r="N36" i="65080"/>
  <c r="N35"/>
  <c r="N34"/>
  <c r="N33"/>
  <c r="N32"/>
  <c r="N31"/>
  <c r="F72" i="65137" s="1"/>
  <c r="N28" i="65080"/>
  <c r="N27"/>
  <c r="N26"/>
  <c r="N25"/>
  <c r="N24"/>
  <c r="N23"/>
  <c r="N22"/>
  <c r="N21"/>
  <c r="N20"/>
  <c r="N19"/>
  <c r="N18"/>
  <c r="N17"/>
  <c r="N11"/>
  <c r="N30" i="65082"/>
  <c r="N29"/>
  <c r="N26"/>
  <c r="N25"/>
  <c r="N24"/>
  <c r="N23"/>
  <c r="N22"/>
  <c r="N21"/>
  <c r="N20"/>
  <c r="N19"/>
  <c r="N18"/>
  <c r="N17"/>
  <c r="N11"/>
  <c r="N30" i="65081"/>
  <c r="N29"/>
  <c r="N26"/>
  <c r="N25"/>
  <c r="N24"/>
  <c r="N23"/>
  <c r="N22"/>
  <c r="N21"/>
  <c r="N20"/>
  <c r="N19"/>
  <c r="N18"/>
  <c r="N17"/>
  <c r="N11"/>
  <c r="N30" i="65122"/>
  <c r="N29"/>
  <c r="N26"/>
  <c r="N25"/>
  <c r="N24"/>
  <c r="N23"/>
  <c r="N22"/>
  <c r="N21"/>
  <c r="N20"/>
  <c r="N19"/>
  <c r="N18"/>
  <c r="N17"/>
  <c r="N11"/>
  <c r="N30" i="65083"/>
  <c r="N29"/>
  <c r="N26"/>
  <c r="N25"/>
  <c r="N24"/>
  <c r="N23"/>
  <c r="N22"/>
  <c r="N21"/>
  <c r="N20"/>
  <c r="N19"/>
  <c r="N18"/>
  <c r="N17"/>
  <c r="N11"/>
  <c r="N30" i="65084"/>
  <c r="N29"/>
  <c r="N26"/>
  <c r="N25"/>
  <c r="N24"/>
  <c r="N23"/>
  <c r="N22"/>
  <c r="N21"/>
  <c r="N20"/>
  <c r="N19"/>
  <c r="N18"/>
  <c r="N17"/>
  <c r="N11"/>
  <c r="N30" i="65085"/>
  <c r="N29"/>
  <c r="N26"/>
  <c r="N25"/>
  <c r="N24"/>
  <c r="N23"/>
  <c r="N22"/>
  <c r="N21"/>
  <c r="N20"/>
  <c r="N19"/>
  <c r="N18"/>
  <c r="N17"/>
  <c r="N11"/>
  <c r="N30" i="65086"/>
  <c r="N29"/>
  <c r="N26"/>
  <c r="N25"/>
  <c r="N24"/>
  <c r="N23"/>
  <c r="N22"/>
  <c r="N21"/>
  <c r="N20"/>
  <c r="N19"/>
  <c r="N18"/>
  <c r="N17"/>
  <c r="N11"/>
  <c r="N30" i="65087"/>
  <c r="N29"/>
  <c r="N26"/>
  <c r="N25"/>
  <c r="N24"/>
  <c r="N23"/>
  <c r="N22"/>
  <c r="N21"/>
  <c r="N20"/>
  <c r="N19"/>
  <c r="N18"/>
  <c r="N17"/>
  <c r="N11"/>
  <c r="N30" i="65088"/>
  <c r="N29"/>
  <c r="N26"/>
  <c r="N25"/>
  <c r="N24"/>
  <c r="N23"/>
  <c r="N22"/>
  <c r="N21"/>
  <c r="N20"/>
  <c r="N19"/>
  <c r="N18"/>
  <c r="N17"/>
  <c r="N11"/>
  <c r="N30" i="65089"/>
  <c r="N29"/>
  <c r="N26"/>
  <c r="N25"/>
  <c r="N24"/>
  <c r="N23"/>
  <c r="N22"/>
  <c r="N21"/>
  <c r="N20"/>
  <c r="N19"/>
  <c r="N18"/>
  <c r="N17"/>
  <c r="N11"/>
  <c r="N33" i="65093"/>
  <c r="N32"/>
  <c r="N26"/>
  <c r="N25"/>
  <c r="N24"/>
  <c r="N23"/>
  <c r="N22"/>
  <c r="N21"/>
  <c r="N20"/>
  <c r="N19"/>
  <c r="N18"/>
  <c r="N17"/>
  <c r="N11"/>
  <c r="N30" i="65094"/>
  <c r="N29"/>
  <c r="N26"/>
  <c r="N25"/>
  <c r="N24"/>
  <c r="N23"/>
  <c r="N22"/>
  <c r="N21"/>
  <c r="N20"/>
  <c r="N19"/>
  <c r="N18"/>
  <c r="N17"/>
  <c r="N11"/>
  <c r="N34" i="65095"/>
  <c r="N33"/>
  <c r="N30"/>
  <c r="N29"/>
  <c r="N26"/>
  <c r="N25"/>
  <c r="N24"/>
  <c r="N23"/>
  <c r="N22"/>
  <c r="N21"/>
  <c r="N20"/>
  <c r="N19"/>
  <c r="N18"/>
  <c r="N17"/>
  <c r="N11"/>
  <c r="N30" i="65096"/>
  <c r="N29"/>
  <c r="N26"/>
  <c r="N25"/>
  <c r="N24"/>
  <c r="N23"/>
  <c r="N22"/>
  <c r="N21"/>
  <c r="N20"/>
  <c r="N19"/>
  <c r="N18"/>
  <c r="N17"/>
  <c r="N11"/>
  <c r="N30" i="65097"/>
  <c r="N29"/>
  <c r="N26"/>
  <c r="N25"/>
  <c r="N24"/>
  <c r="N23"/>
  <c r="N22"/>
  <c r="N21"/>
  <c r="N20"/>
  <c r="N19"/>
  <c r="N18"/>
  <c r="N17"/>
  <c r="N11"/>
  <c r="N30" i="65098"/>
  <c r="N29"/>
  <c r="N26"/>
  <c r="N25"/>
  <c r="N24"/>
  <c r="N23"/>
  <c r="N22"/>
  <c r="N21"/>
  <c r="N20"/>
  <c r="N19"/>
  <c r="N18"/>
  <c r="N17"/>
  <c r="N11"/>
  <c r="N30" i="65105"/>
  <c r="N29"/>
  <c r="N26"/>
  <c r="N25"/>
  <c r="N24"/>
  <c r="N23"/>
  <c r="N22"/>
  <c r="N21"/>
  <c r="N20"/>
  <c r="N19"/>
  <c r="N18"/>
  <c r="N17"/>
  <c r="N11"/>
  <c r="O12" i="65065"/>
  <c r="O17"/>
  <c r="O20"/>
  <c r="O33"/>
  <c r="O45"/>
  <c r="O48"/>
  <c r="I119" i="300"/>
  <c r="I118"/>
  <c r="I115"/>
  <c r="I111"/>
  <c r="I109"/>
  <c r="I104"/>
  <c r="I103"/>
  <c r="I100"/>
  <c r="I91"/>
  <c r="I90"/>
  <c r="I88"/>
  <c r="I87"/>
  <c r="I86"/>
  <c r="I85"/>
  <c r="I81"/>
  <c r="I80"/>
  <c r="I79"/>
  <c r="I78"/>
  <c r="I77"/>
  <c r="I76"/>
  <c r="I75"/>
  <c r="I74"/>
  <c r="I73"/>
  <c r="I72"/>
  <c r="I71"/>
  <c r="I69"/>
  <c r="I67"/>
  <c r="I66"/>
  <c r="I65"/>
  <c r="I64"/>
  <c r="I62"/>
  <c r="I61"/>
  <c r="I59"/>
  <c r="I58"/>
  <c r="I57"/>
  <c r="I56"/>
  <c r="I55"/>
  <c r="I54"/>
  <c r="I53"/>
  <c r="I52"/>
  <c r="I51"/>
  <c r="I49"/>
  <c r="I45"/>
  <c r="I43"/>
  <c r="I39"/>
  <c r="I36"/>
  <c r="I33"/>
  <c r="I13"/>
  <c r="I12"/>
  <c r="I11"/>
  <c r="I10"/>
  <c r="J119"/>
  <c r="J118"/>
  <c r="J115"/>
  <c r="J111"/>
  <c r="J109"/>
  <c r="J104"/>
  <c r="J103"/>
  <c r="J100"/>
  <c r="J91"/>
  <c r="J90"/>
  <c r="J88"/>
  <c r="J87"/>
  <c r="J86"/>
  <c r="J85"/>
  <c r="J81"/>
  <c r="J80"/>
  <c r="J79"/>
  <c r="J78"/>
  <c r="J77"/>
  <c r="J76"/>
  <c r="J75"/>
  <c r="J74"/>
  <c r="J73"/>
  <c r="J72"/>
  <c r="J71"/>
  <c r="J69"/>
  <c r="J67"/>
  <c r="J66"/>
  <c r="J65"/>
  <c r="J64"/>
  <c r="J62"/>
  <c r="J61"/>
  <c r="J59"/>
  <c r="J58"/>
  <c r="J57"/>
  <c r="J56"/>
  <c r="J55"/>
  <c r="J54"/>
  <c r="J53"/>
  <c r="J52"/>
  <c r="J51"/>
  <c r="J49"/>
  <c r="J45"/>
  <c r="J43"/>
  <c r="J42"/>
  <c r="J39"/>
  <c r="J36"/>
  <c r="J33"/>
  <c r="J13"/>
  <c r="J12"/>
  <c r="J11"/>
  <c r="J10"/>
  <c r="N19" i="65065"/>
  <c r="N15"/>
  <c r="N14"/>
  <c r="N14" i="65066"/>
  <c r="N10"/>
  <c r="N14" i="65067"/>
  <c r="N10"/>
  <c r="N14" i="65099"/>
  <c r="N10"/>
  <c r="N14" i="65123"/>
  <c r="N10"/>
  <c r="N14" i="65068"/>
  <c r="N10"/>
  <c r="N14" i="65069"/>
  <c r="N10"/>
  <c r="N14" i="65070"/>
  <c r="N10"/>
  <c r="N14" i="65071"/>
  <c r="N10"/>
  <c r="N14" i="65074"/>
  <c r="N10"/>
  <c r="N14" i="65100"/>
  <c r="N10"/>
  <c r="N14" i="65115"/>
  <c r="N10"/>
  <c r="N14" i="65075"/>
  <c r="N10"/>
  <c r="L41"/>
  <c r="N29" i="65076"/>
  <c r="O29" s="1"/>
  <c r="N28"/>
  <c r="O28" s="1"/>
  <c r="N27"/>
  <c r="O27" s="1"/>
  <c r="N22"/>
  <c r="O22" s="1"/>
  <c r="N17"/>
  <c r="N13"/>
  <c r="N14" i="65077"/>
  <c r="N10"/>
  <c r="N14" i="65078"/>
  <c r="N10"/>
  <c r="N14" i="65079"/>
  <c r="N10"/>
  <c r="N14" i="65080"/>
  <c r="N10"/>
  <c r="N14" i="65082"/>
  <c r="N10"/>
  <c r="N14" i="65081"/>
  <c r="N10"/>
  <c r="N14" i="65122"/>
  <c r="N10"/>
  <c r="N14" i="65083"/>
  <c r="N10"/>
  <c r="N14" i="65084"/>
  <c r="N10"/>
  <c r="N14" i="65085"/>
  <c r="N10"/>
  <c r="N14" i="65086"/>
  <c r="N10"/>
  <c r="N14" i="65087"/>
  <c r="N10"/>
  <c r="N14" i="65088"/>
  <c r="N10"/>
  <c r="N14" i="65089"/>
  <c r="N10"/>
  <c r="N14" i="65093"/>
  <c r="N10"/>
  <c r="L36"/>
  <c r="L37" s="1"/>
  <c r="L38" s="1"/>
  <c r="N14" i="65094"/>
  <c r="N10"/>
  <c r="N14" i="65095"/>
  <c r="N10"/>
  <c r="N14" i="65096"/>
  <c r="N10"/>
  <c r="N14" i="65097"/>
  <c r="N10"/>
  <c r="N14" i="65098"/>
  <c r="N10"/>
  <c r="N14" i="65105"/>
  <c r="N10"/>
  <c r="N14" i="16"/>
  <c r="N10"/>
  <c r="M49" i="65065"/>
  <c r="M46"/>
  <c r="M34"/>
  <c r="M21"/>
  <c r="M18"/>
  <c r="M8"/>
  <c r="M31" i="65066"/>
  <c r="M16"/>
  <c r="M13"/>
  <c r="M8"/>
  <c r="M28" i="65067"/>
  <c r="M16"/>
  <c r="M13"/>
  <c r="M8"/>
  <c r="M28" i="65099"/>
  <c r="M16"/>
  <c r="M13"/>
  <c r="M8"/>
  <c r="M28" i="65123"/>
  <c r="M16"/>
  <c r="M13"/>
  <c r="M8"/>
  <c r="M28" i="65068"/>
  <c r="M16"/>
  <c r="M13"/>
  <c r="M8"/>
  <c r="M28" i="65069"/>
  <c r="M16"/>
  <c r="M13"/>
  <c r="M8"/>
  <c r="M30" i="65070"/>
  <c r="M16"/>
  <c r="M13"/>
  <c r="M8"/>
  <c r="M29" i="65071"/>
  <c r="M16"/>
  <c r="M13"/>
  <c r="M8"/>
  <c r="M16" i="65074"/>
  <c r="M13"/>
  <c r="M8"/>
  <c r="M28" i="65100"/>
  <c r="M16"/>
  <c r="M13"/>
  <c r="M8"/>
  <c r="M28" i="65115"/>
  <c r="M16"/>
  <c r="M13"/>
  <c r="M8"/>
  <c r="M36" i="65075"/>
  <c r="M16"/>
  <c r="M41" s="1"/>
  <c r="M13"/>
  <c r="M8"/>
  <c r="M43" i="65076"/>
  <c r="M32"/>
  <c r="M19"/>
  <c r="M16"/>
  <c r="M11"/>
  <c r="M8"/>
  <c r="M33" i="65077"/>
  <c r="M28"/>
  <c r="M16"/>
  <c r="M13"/>
  <c r="M8"/>
  <c r="M29" i="65078"/>
  <c r="M16"/>
  <c r="M13"/>
  <c r="M8"/>
  <c r="M38" i="65079"/>
  <c r="M28"/>
  <c r="M16"/>
  <c r="M13"/>
  <c r="M8"/>
  <c r="M49" i="65080"/>
  <c r="M45"/>
  <c r="M42"/>
  <c r="M16"/>
  <c r="M13"/>
  <c r="M8"/>
  <c r="M28" i="65082"/>
  <c r="M16"/>
  <c r="M13"/>
  <c r="M8"/>
  <c r="M28" i="65081"/>
  <c r="M16"/>
  <c r="M13"/>
  <c r="M8"/>
  <c r="M28" i="65122"/>
  <c r="M16"/>
  <c r="M13"/>
  <c r="M8"/>
  <c r="M28" i="65083"/>
  <c r="M16"/>
  <c r="M13"/>
  <c r="M8"/>
  <c r="M28" i="65084"/>
  <c r="M16"/>
  <c r="M13"/>
  <c r="M8"/>
  <c r="M28" i="65085"/>
  <c r="M16"/>
  <c r="M13"/>
  <c r="M8"/>
  <c r="M28" i="65086"/>
  <c r="M16"/>
  <c r="M13"/>
  <c r="M8"/>
  <c r="M28" i="65087"/>
  <c r="M16"/>
  <c r="M13"/>
  <c r="M8"/>
  <c r="M28" i="65088"/>
  <c r="M16"/>
  <c r="M13"/>
  <c r="M8"/>
  <c r="M28" i="65089"/>
  <c r="M16"/>
  <c r="M13"/>
  <c r="M8"/>
  <c r="M31" i="65093"/>
  <c r="M16"/>
  <c r="M13"/>
  <c r="M8"/>
  <c r="M28" i="65094"/>
  <c r="M16"/>
  <c r="M13"/>
  <c r="M8"/>
  <c r="M32" i="65095"/>
  <c r="M28"/>
  <c r="M16"/>
  <c r="M13"/>
  <c r="M8"/>
  <c r="M28" i="65096"/>
  <c r="M16"/>
  <c r="M13"/>
  <c r="M8"/>
  <c r="M28" i="65097"/>
  <c r="M16"/>
  <c r="M13"/>
  <c r="M8"/>
  <c r="M28" i="65098"/>
  <c r="M16"/>
  <c r="M13"/>
  <c r="M8"/>
  <c r="M28" i="65105"/>
  <c r="M16"/>
  <c r="M13"/>
  <c r="M8"/>
  <c r="M28" i="16"/>
  <c r="M16"/>
  <c r="M13"/>
  <c r="M8"/>
  <c r="N37" i="65076" l="1"/>
  <c r="N47"/>
  <c r="K27" i="300"/>
  <c r="K29"/>
  <c r="K32"/>
  <c r="K19"/>
  <c r="K26"/>
  <c r="K30"/>
  <c r="K35"/>
  <c r="K44"/>
  <c r="K107"/>
  <c r="M43" i="65079"/>
  <c r="M44" s="1"/>
  <c r="M45" s="1"/>
  <c r="K25" i="300"/>
  <c r="K38"/>
  <c r="N28" i="65074"/>
  <c r="K22" i="300"/>
  <c r="K18"/>
  <c r="K108"/>
  <c r="J106"/>
  <c r="I106"/>
  <c r="L43" i="65079"/>
  <c r="L44" s="1"/>
  <c r="L45" s="1"/>
  <c r="I70" i="300"/>
  <c r="I84"/>
  <c r="J60"/>
  <c r="J84"/>
  <c r="J89"/>
  <c r="I89"/>
  <c r="N30" i="65080"/>
  <c r="J48" i="300"/>
  <c r="J70"/>
  <c r="I48"/>
  <c r="I60"/>
  <c r="N33" i="65078"/>
  <c r="N28" i="65093"/>
  <c r="K68" i="300" s="1"/>
  <c r="L33" i="65094"/>
  <c r="L34" s="1"/>
  <c r="L35" s="1"/>
  <c r="J114" i="300"/>
  <c r="M53" i="65080"/>
  <c r="L33" i="65067"/>
  <c r="L33" i="65068"/>
  <c r="L34" s="1"/>
  <c r="L35" s="1"/>
  <c r="L33" i="65123"/>
  <c r="L33" i="65099"/>
  <c r="L42" i="65075"/>
  <c r="L43" s="1"/>
  <c r="L35" i="65070"/>
  <c r="L34" i="65071"/>
  <c r="L35" s="1"/>
  <c r="L33" i="65069"/>
  <c r="L34" s="1"/>
  <c r="L35" s="1"/>
  <c r="L38" i="65077"/>
  <c r="L39" s="1"/>
  <c r="L40" s="1"/>
  <c r="I34" i="300"/>
  <c r="I42"/>
  <c r="N9" i="65089"/>
  <c r="N9" i="65088"/>
  <c r="N9" i="65087"/>
  <c r="N9" i="65086"/>
  <c r="N9" i="65085"/>
  <c r="N9" i="65084"/>
  <c r="N9" i="65083"/>
  <c r="N9" i="65122"/>
  <c r="N12" i="65076"/>
  <c r="N23"/>
  <c r="O23" s="1"/>
  <c r="N9" i="65105"/>
  <c r="N9" i="65098"/>
  <c r="N9" i="65097"/>
  <c r="N9" i="65096"/>
  <c r="N9" i="65095"/>
  <c r="N9" i="65094"/>
  <c r="N9" i="65093"/>
  <c r="N9" i="65081"/>
  <c r="N9" i="65082"/>
  <c r="N9" i="65079"/>
  <c r="N9" i="65078"/>
  <c r="N9" i="65077"/>
  <c r="N9" i="65075"/>
  <c r="N9" i="65115"/>
  <c r="N9" i="65100"/>
  <c r="N9" i="65074"/>
  <c r="N9" i="65071"/>
  <c r="N9" i="65070"/>
  <c r="N9" i="65069"/>
  <c r="N9" i="65068"/>
  <c r="N9" i="65123"/>
  <c r="N9" i="65099"/>
  <c r="N9" i="65067"/>
  <c r="N9" i="65066"/>
  <c r="N9" i="16"/>
  <c r="I114" i="300"/>
  <c r="I17"/>
  <c r="N9" i="65080"/>
  <c r="I21" i="30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7" i="65095"/>
  <c r="M38" s="1"/>
  <c r="M39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3" i="65081"/>
  <c r="M33" i="65082"/>
  <c r="M41" i="65078"/>
  <c r="M42" s="1"/>
  <c r="M43" s="1"/>
  <c r="M38" i="65077"/>
  <c r="M39" s="1"/>
  <c r="M40" s="1"/>
  <c r="M42" i="65075"/>
  <c r="M43" s="1"/>
  <c r="M33" i="65115"/>
  <c r="M34" s="1"/>
  <c r="M33" i="65100"/>
  <c r="M33" i="65074"/>
  <c r="M34" i="65071"/>
  <c r="M35" s="1"/>
  <c r="M35" i="65070"/>
  <c r="M33" i="65069"/>
  <c r="M34" s="1"/>
  <c r="M35" s="1"/>
  <c r="M33" i="65068"/>
  <c r="M34" s="1"/>
  <c r="M35" s="1"/>
  <c r="M33" i="65123"/>
  <c r="M33" i="65099"/>
  <c r="M33" i="65067"/>
  <c r="M36" i="65066"/>
  <c r="J31" i="300"/>
  <c r="M13" i="65065"/>
  <c r="M55" s="1"/>
  <c r="J9" i="300"/>
  <c r="J34"/>
  <c r="I9"/>
  <c r="C2" i="65061" s="1"/>
  <c r="J21" i="300"/>
  <c r="M33" i="16"/>
  <c r="M34" s="1"/>
  <c r="M35" s="1"/>
  <c r="I31" i="300"/>
  <c r="I99"/>
  <c r="J17"/>
  <c r="J15" s="1"/>
  <c r="J37"/>
  <c r="J99"/>
  <c r="L54" i="65076"/>
  <c r="L36" i="65066"/>
  <c r="M54" i="65076"/>
  <c r="M55" s="1"/>
  <c r="M56" s="1"/>
  <c r="M34" i="65100" l="1"/>
  <c r="M35" i="65115" s="1"/>
  <c r="M37" i="65140"/>
  <c r="M38" s="1"/>
  <c r="M34" i="65122"/>
  <c r="K28" i="300"/>
  <c r="J122"/>
  <c r="L33" i="65105"/>
  <c r="L34" s="1"/>
  <c r="L35" s="1"/>
  <c r="L37" i="65095"/>
  <c r="L38" s="1"/>
  <c r="L39" s="1"/>
  <c r="K16" i="300"/>
  <c r="L53" i="65080"/>
  <c r="L33" i="65100"/>
  <c r="L33" i="65122"/>
  <c r="L33" i="65115"/>
  <c r="L34" s="1"/>
  <c r="L33" i="65097"/>
  <c r="L34" s="1"/>
  <c r="L35" s="1"/>
  <c r="L41" i="65078"/>
  <c r="L42" s="1"/>
  <c r="L43" s="1"/>
  <c r="I37" i="300"/>
  <c r="I24" s="1"/>
  <c r="L33" i="65088"/>
  <c r="L33" i="65087"/>
  <c r="L33" i="65086"/>
  <c r="L33" i="65074"/>
  <c r="L55" i="65076"/>
  <c r="L56" s="1"/>
  <c r="M34" i="65089"/>
  <c r="M35" s="1"/>
  <c r="L33" i="16"/>
  <c r="L34" s="1"/>
  <c r="L35" s="1"/>
  <c r="L33" i="65098"/>
  <c r="L34" s="1"/>
  <c r="L35" s="1"/>
  <c r="I15" i="300"/>
  <c r="L33" i="65096"/>
  <c r="L34" s="1"/>
  <c r="L35" s="1"/>
  <c r="L33" i="65089"/>
  <c r="L33" i="65085"/>
  <c r="L33" i="65084"/>
  <c r="L33" i="65083"/>
  <c r="L33" i="65081"/>
  <c r="L33" i="65082"/>
  <c r="L55" i="65065"/>
  <c r="L37" i="65140" s="1"/>
  <c r="L38" s="1"/>
  <c r="J47" i="300"/>
  <c r="J24"/>
  <c r="I47"/>
  <c r="I122" l="1"/>
  <c r="L34" i="65100"/>
  <c r="L35" i="65115" s="1"/>
  <c r="L34" i="65089"/>
  <c r="I7" i="300"/>
  <c r="J7"/>
  <c r="L34" i="65122"/>
  <c r="G64" i="300"/>
  <c r="H64"/>
  <c r="K64"/>
  <c r="G65"/>
  <c r="H65"/>
  <c r="K65"/>
  <c r="F65"/>
  <c r="F64"/>
  <c r="G57"/>
  <c r="L57" s="1"/>
  <c r="H57"/>
  <c r="K57"/>
  <c r="G58"/>
  <c r="L58" s="1"/>
  <c r="H58"/>
  <c r="K58"/>
  <c r="F58"/>
  <c r="F57"/>
  <c r="O32" i="65080"/>
  <c r="N28" i="65077"/>
  <c r="J55" i="65065"/>
  <c r="J35" i="65070"/>
  <c r="E29" i="65137" s="1"/>
  <c r="J33" i="65115"/>
  <c r="J34" s="1"/>
  <c r="J33" i="65122"/>
  <c r="I33" i="65123"/>
  <c r="I33" i="65069"/>
  <c r="I34" s="1"/>
  <c r="I35" s="1"/>
  <c r="I34" i="65071"/>
  <c r="I35" s="1"/>
  <c r="I42" i="65075"/>
  <c r="I43" s="1"/>
  <c r="I41" i="65078"/>
  <c r="I42" s="1"/>
  <c r="I43" s="1"/>
  <c r="I33" i="65096"/>
  <c r="I34" s="1"/>
  <c r="I35" s="1"/>
  <c r="I33" i="65097"/>
  <c r="I34" s="1"/>
  <c r="I35" s="1"/>
  <c r="I33" i="65098"/>
  <c r="I34" s="1"/>
  <c r="I35" s="1"/>
  <c r="I33" i="65105"/>
  <c r="I34" s="1"/>
  <c r="I35" s="1"/>
  <c r="I33" i="16"/>
  <c r="I34" s="1"/>
  <c r="I35" s="1"/>
  <c r="E15" i="304"/>
  <c r="D19"/>
  <c r="K78" i="300"/>
  <c r="H78"/>
  <c r="G78"/>
  <c r="F78"/>
  <c r="O43" i="65065"/>
  <c r="D34" i="304"/>
  <c r="L14" i="300"/>
  <c r="L20"/>
  <c r="L23"/>
  <c r="L46"/>
  <c r="L92"/>
  <c r="L98"/>
  <c r="L105"/>
  <c r="L113"/>
  <c r="L120"/>
  <c r="O33" i="65095"/>
  <c r="O34"/>
  <c r="O35"/>
  <c r="O34" i="65093"/>
  <c r="O35" i="65080"/>
  <c r="O36"/>
  <c r="O37"/>
  <c r="O38"/>
  <c r="O41"/>
  <c r="O43"/>
  <c r="O44"/>
  <c r="O46"/>
  <c r="O47"/>
  <c r="O48"/>
  <c r="O50"/>
  <c r="O51"/>
  <c r="O29" i="65079"/>
  <c r="O30"/>
  <c r="O31"/>
  <c r="O32"/>
  <c r="O37"/>
  <c r="O39"/>
  <c r="O40"/>
  <c r="O41"/>
  <c r="O34" i="65078"/>
  <c r="O35"/>
  <c r="O37"/>
  <c r="O39"/>
  <c r="O32" i="65077"/>
  <c r="O34"/>
  <c r="O35"/>
  <c r="O36"/>
  <c r="O35" i="65076"/>
  <c r="O36"/>
  <c r="O40"/>
  <c r="O41"/>
  <c r="O42"/>
  <c r="O44"/>
  <c r="O45"/>
  <c r="O46"/>
  <c r="O50"/>
  <c r="O51"/>
  <c r="O52"/>
  <c r="O35" i="65065"/>
  <c r="O36"/>
  <c r="O37"/>
  <c r="O38"/>
  <c r="O39"/>
  <c r="O40"/>
  <c r="O41"/>
  <c r="O42"/>
  <c r="O44"/>
  <c r="O47"/>
  <c r="O50"/>
  <c r="O51"/>
  <c r="O52"/>
  <c r="O53"/>
  <c r="O32" i="65093"/>
  <c r="O31" i="65122"/>
  <c r="O32" i="65078"/>
  <c r="O32" i="65071"/>
  <c r="O32" i="65066"/>
  <c r="O34"/>
  <c r="O34" i="65067"/>
  <c r="O35"/>
  <c r="O34" i="65099"/>
  <c r="O35"/>
  <c r="O36" i="65070"/>
  <c r="O37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31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1"/>
  <c r="O22"/>
  <c r="O23"/>
  <c r="O24"/>
  <c r="O25"/>
  <c r="O26"/>
  <c r="O27"/>
  <c r="O28"/>
  <c r="O29"/>
  <c r="O31"/>
  <c r="O34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K33" i="65105"/>
  <c r="K34" s="1"/>
  <c r="K35" s="1"/>
  <c r="K33" i="65098"/>
  <c r="K34" s="1"/>
  <c r="K35" s="1"/>
  <c r="K33" i="65097"/>
  <c r="K34" s="1"/>
  <c r="K35" s="1"/>
  <c r="K33" i="65096"/>
  <c r="K34" s="1"/>
  <c r="K35" s="1"/>
  <c r="K37" i="65095"/>
  <c r="K38" s="1"/>
  <c r="K39" s="1"/>
  <c r="K33" i="65094"/>
  <c r="K34" s="1"/>
  <c r="K35" s="1"/>
  <c r="K36" i="65093"/>
  <c r="K37" s="1"/>
  <c r="K38" s="1"/>
  <c r="K33" i="65088"/>
  <c r="K33" i="65087"/>
  <c r="K33" i="65086"/>
  <c r="K33" i="65085"/>
  <c r="K33" i="65084"/>
  <c r="K33" i="65083"/>
  <c r="K33" i="65122"/>
  <c r="K33" i="65081"/>
  <c r="K33" i="65082"/>
  <c r="K44" i="65079"/>
  <c r="K45" s="1"/>
  <c r="K41" i="65078"/>
  <c r="K42" s="1"/>
  <c r="K43" s="1"/>
  <c r="K38" i="65077"/>
  <c r="K54" i="65076"/>
  <c r="K55" s="1"/>
  <c r="K56" s="1"/>
  <c r="K42" i="65075"/>
  <c r="K43" s="1"/>
  <c r="K33" i="65115"/>
  <c r="K34" s="1"/>
  <c r="K33" i="65074"/>
  <c r="K34" i="65100" s="1"/>
  <c r="K34" i="65071"/>
  <c r="K35" s="1"/>
  <c r="K35" i="65070"/>
  <c r="K33" i="65069"/>
  <c r="K34" s="1"/>
  <c r="K35" s="1"/>
  <c r="K33" i="65068"/>
  <c r="K34" s="1"/>
  <c r="K35" s="1"/>
  <c r="K33" i="65123"/>
  <c r="K33" i="65099"/>
  <c r="K33" i="65067"/>
  <c r="K36" i="65066"/>
  <c r="K33" i="16"/>
  <c r="K34" s="1"/>
  <c r="K35" s="1"/>
  <c r="G81" i="300"/>
  <c r="H81"/>
  <c r="K81"/>
  <c r="F81"/>
  <c r="N28" i="65095"/>
  <c r="O28" s="1"/>
  <c r="O17" i="65076"/>
  <c r="L78" i="300" l="1"/>
  <c r="L64"/>
  <c r="L65"/>
  <c r="L81"/>
  <c r="K39" i="65077"/>
  <c r="K40" s="1"/>
  <c r="L35" i="65089"/>
  <c r="I36" i="65093"/>
  <c r="I37" s="1"/>
  <c r="I38" s="1"/>
  <c r="D18" i="304"/>
  <c r="I33" i="65068"/>
  <c r="I34" s="1"/>
  <c r="I35" s="1"/>
  <c r="I33" i="65094"/>
  <c r="I34" s="1"/>
  <c r="I35" s="1"/>
  <c r="I33" i="65089"/>
  <c r="I33" i="65088"/>
  <c r="I33" i="65087"/>
  <c r="I33" i="65086"/>
  <c r="I33" i="65085"/>
  <c r="I33" i="65084"/>
  <c r="I33" i="65083"/>
  <c r="I33" i="65122"/>
  <c r="I33" i="65081"/>
  <c r="I33" i="65082"/>
  <c r="I38" i="65077"/>
  <c r="I34" i="65115"/>
  <c r="I33" i="65100"/>
  <c r="I33" i="65074"/>
  <c r="I35" i="65070"/>
  <c r="I33" i="65099"/>
  <c r="I36" i="65066"/>
  <c r="I44" i="65079"/>
  <c r="I45" s="1"/>
  <c r="I33" i="65067"/>
  <c r="K17" i="300"/>
  <c r="G17"/>
  <c r="H17"/>
  <c r="K34" i="65089"/>
  <c r="K34" i="65122"/>
  <c r="J44" i="65079"/>
  <c r="J45" s="1"/>
  <c r="O12" i="65076"/>
  <c r="K35" i="65115"/>
  <c r="J33" i="16"/>
  <c r="J33" i="65105"/>
  <c r="J33" i="65098"/>
  <c r="J33" i="65097"/>
  <c r="J33" i="65096"/>
  <c r="J37" i="65095"/>
  <c r="E25" i="65137" s="1"/>
  <c r="J33" i="65089"/>
  <c r="J33" i="65088"/>
  <c r="J33" i="65087"/>
  <c r="J33" i="65086"/>
  <c r="J33" i="65085"/>
  <c r="J33" i="65084"/>
  <c r="J33" i="65083"/>
  <c r="J33" i="65081"/>
  <c r="J33" i="65082"/>
  <c r="J41" i="65078"/>
  <c r="J54" i="65076"/>
  <c r="J55" s="1"/>
  <c r="J56" s="1"/>
  <c r="J33" i="65068"/>
  <c r="E11" i="65137" s="1"/>
  <c r="J33" i="65123"/>
  <c r="J33" i="65099"/>
  <c r="J33" i="65067"/>
  <c r="J33" i="65094"/>
  <c r="J36" i="65093"/>
  <c r="J38" i="65077"/>
  <c r="J33" i="65100"/>
  <c r="J33" i="65074"/>
  <c r="J35" i="65071"/>
  <c r="J33" i="65069"/>
  <c r="E24" i="65137" s="1"/>
  <c r="J36" i="65066"/>
  <c r="I37" i="65095"/>
  <c r="I38" s="1"/>
  <c r="I39" s="1"/>
  <c r="I54" i="65076"/>
  <c r="I55" s="1"/>
  <c r="I56" s="1"/>
  <c r="D29" i="304"/>
  <c r="O14" i="65065"/>
  <c r="K55"/>
  <c r="K37" i="65140" s="1"/>
  <c r="K38" s="1"/>
  <c r="O19" i="65065"/>
  <c r="E86" i="65137" l="1"/>
  <c r="E77" s="1"/>
  <c r="E26"/>
  <c r="E39"/>
  <c r="E30" s="1"/>
  <c r="E70"/>
  <c r="E69"/>
  <c r="E23"/>
  <c r="J37" i="65140"/>
  <c r="J38" s="1"/>
  <c r="H122" i="300"/>
  <c r="E9" i="65137"/>
  <c r="E8" s="1"/>
  <c r="J42" i="65078"/>
  <c r="J43" s="1"/>
  <c r="I34" i="65100"/>
  <c r="I35" i="65115" s="1"/>
  <c r="J34" i="65100"/>
  <c r="J34" i="16"/>
  <c r="J35" s="1"/>
  <c r="G122" i="300"/>
  <c r="I39" i="65077"/>
  <c r="I40" s="1"/>
  <c r="I55" i="65065"/>
  <c r="I37" i="65140" s="1"/>
  <c r="I38" s="1"/>
  <c r="D16" i="304"/>
  <c r="K35" i="65089"/>
  <c r="J34" i="65122"/>
  <c r="I53" i="65080"/>
  <c r="F122" i="300" s="1"/>
  <c r="I34" i="65122"/>
  <c r="I34" i="65089"/>
  <c r="D15" i="304"/>
  <c r="J37" i="65093"/>
  <c r="J42" i="65075"/>
  <c r="J43" s="1"/>
  <c r="J34" i="65089"/>
  <c r="J34" i="65096"/>
  <c r="J34" i="65098"/>
  <c r="J34" i="65105"/>
  <c r="J39" i="65077"/>
  <c r="J40" s="1"/>
  <c r="J34" i="65068"/>
  <c r="J38" i="65095"/>
  <c r="J39" s="1"/>
  <c r="J34" i="65097"/>
  <c r="J34" i="65069"/>
  <c r="J34" i="65094"/>
  <c r="O16" i="65065"/>
  <c r="O32"/>
  <c r="E68" i="65137" l="1"/>
  <c r="E7" s="1"/>
  <c r="I35" i="65089"/>
  <c r="J35"/>
  <c r="D17" i="304"/>
  <c r="D14" s="1"/>
  <c r="J35" i="65094"/>
  <c r="J35" i="65097"/>
  <c r="J35" i="65068"/>
  <c r="J35" i="65098"/>
  <c r="J35" i="65096"/>
  <c r="J35" i="65069"/>
  <c r="J35" i="65105"/>
  <c r="J38" i="65093"/>
  <c r="J35" i="65115"/>
  <c r="O15" i="65065"/>
  <c r="D40" i="304" l="1"/>
  <c r="O13" i="65076"/>
  <c r="O28" i="65093"/>
  <c r="N28" i="65079"/>
  <c r="N28" i="65067"/>
  <c r="O28" s="1"/>
  <c r="O28" i="65079" l="1"/>
  <c r="G118" i="300"/>
  <c r="H118"/>
  <c r="K118"/>
  <c r="G119"/>
  <c r="H119"/>
  <c r="K119"/>
  <c r="F119"/>
  <c r="F118"/>
  <c r="O47" i="65076"/>
  <c r="L119" i="300" l="1"/>
  <c r="L118"/>
  <c r="G115"/>
  <c r="H115"/>
  <c r="G109"/>
  <c r="H109"/>
  <c r="G111"/>
  <c r="H111"/>
  <c r="G100"/>
  <c r="H100"/>
  <c r="G103"/>
  <c r="H103"/>
  <c r="G104"/>
  <c r="H104"/>
  <c r="G90"/>
  <c r="H90"/>
  <c r="G91"/>
  <c r="H91"/>
  <c r="G85"/>
  <c r="H85"/>
  <c r="G86"/>
  <c r="H86"/>
  <c r="G87"/>
  <c r="H87"/>
  <c r="G88"/>
  <c r="H88"/>
  <c r="G71"/>
  <c r="H71"/>
  <c r="G72"/>
  <c r="H72"/>
  <c r="G73"/>
  <c r="H73"/>
  <c r="G74"/>
  <c r="H74"/>
  <c r="G75"/>
  <c r="H75"/>
  <c r="G76"/>
  <c r="H76"/>
  <c r="G77"/>
  <c r="H77"/>
  <c r="G79"/>
  <c r="H79"/>
  <c r="G80"/>
  <c r="H80"/>
  <c r="G61"/>
  <c r="H61"/>
  <c r="G62"/>
  <c r="L62" s="1"/>
  <c r="H62"/>
  <c r="G66"/>
  <c r="H66"/>
  <c r="G67"/>
  <c r="H67"/>
  <c r="G69"/>
  <c r="H69"/>
  <c r="G49"/>
  <c r="H49"/>
  <c r="G51"/>
  <c r="H51"/>
  <c r="G52"/>
  <c r="H52"/>
  <c r="G53"/>
  <c r="H53"/>
  <c r="G54"/>
  <c r="H54"/>
  <c r="G55"/>
  <c r="H55"/>
  <c r="G56"/>
  <c r="H56"/>
  <c r="G59"/>
  <c r="H59"/>
  <c r="G39"/>
  <c r="H39"/>
  <c r="G42"/>
  <c r="H42"/>
  <c r="G43"/>
  <c r="H43"/>
  <c r="G45"/>
  <c r="H45"/>
  <c r="G36"/>
  <c r="L36" s="1"/>
  <c r="H36"/>
  <c r="G33"/>
  <c r="G31" s="1"/>
  <c r="H33"/>
  <c r="H31" s="1"/>
  <c r="G10"/>
  <c r="H10"/>
  <c r="G11"/>
  <c r="H11"/>
  <c r="G12"/>
  <c r="H12"/>
  <c r="G13"/>
  <c r="H13"/>
  <c r="G106" l="1"/>
  <c r="H106"/>
  <c r="H60"/>
  <c r="G48"/>
  <c r="G60"/>
  <c r="G70"/>
  <c r="G84"/>
  <c r="G89"/>
  <c r="H48"/>
  <c r="H70"/>
  <c r="H84"/>
  <c r="H89"/>
  <c r="H114"/>
  <c r="G114"/>
  <c r="E36" i="304" s="1"/>
  <c r="G99" i="300"/>
  <c r="H99"/>
  <c r="G37"/>
  <c r="H37"/>
  <c r="G34"/>
  <c r="H34"/>
  <c r="G21"/>
  <c r="H21"/>
  <c r="H15"/>
  <c r="G9"/>
  <c r="H9"/>
  <c r="N13" i="65094"/>
  <c r="O13" s="1"/>
  <c r="N32" i="65095"/>
  <c r="O32" s="1"/>
  <c r="N31" i="65093"/>
  <c r="O31" s="1"/>
  <c r="O30" i="65080"/>
  <c r="N29" i="65078"/>
  <c r="O29" s="1"/>
  <c r="O28" i="65077"/>
  <c r="N33"/>
  <c r="O33" s="1"/>
  <c r="N32" i="65076"/>
  <c r="O32" s="1"/>
  <c r="O29" i="65075"/>
  <c r="N36"/>
  <c r="O36" s="1"/>
  <c r="O28" i="65066"/>
  <c r="H24" i="300" l="1"/>
  <c r="G24"/>
  <c r="E24" i="304" s="1"/>
  <c r="E21"/>
  <c r="E23"/>
  <c r="E26"/>
  <c r="E27"/>
  <c r="E31"/>
  <c r="G15" i="300"/>
  <c r="G47"/>
  <c r="H47"/>
  <c r="H7" l="1"/>
  <c r="E25" i="304"/>
  <c r="E22"/>
  <c r="G7" i="300"/>
  <c r="E34" i="304" l="1"/>
  <c r="N16" i="65122"/>
  <c r="O16" s="1"/>
  <c r="K45" i="300"/>
  <c r="L45" s="1"/>
  <c r="F45"/>
  <c r="N16" i="65075"/>
  <c r="O16" s="1"/>
  <c r="D28" i="65124"/>
  <c r="N8" i="65080"/>
  <c r="E19" i="304"/>
  <c r="N28" i="65085"/>
  <c r="O28" s="1"/>
  <c r="F19" i="304"/>
  <c r="N13" i="65098"/>
  <c r="O13" s="1"/>
  <c r="N8"/>
  <c r="O8" s="1"/>
  <c r="N13" i="65096"/>
  <c r="O13" s="1"/>
  <c r="N8"/>
  <c r="O8" s="1"/>
  <c r="N13" i="65071"/>
  <c r="O13" s="1"/>
  <c r="N8"/>
  <c r="O8" s="1"/>
  <c r="N13" i="65105"/>
  <c r="N13" i="65097"/>
  <c r="O13" s="1"/>
  <c r="N8"/>
  <c r="O8" s="1"/>
  <c r="N13" i="65095"/>
  <c r="O13" s="1"/>
  <c r="N8"/>
  <c r="O8" s="1"/>
  <c r="N8" i="65094"/>
  <c r="O8" s="1"/>
  <c r="N13" i="65093"/>
  <c r="O13" s="1"/>
  <c r="N8"/>
  <c r="O8" s="1"/>
  <c r="N13" i="65089"/>
  <c r="O13" s="1"/>
  <c r="N8"/>
  <c r="O8" s="1"/>
  <c r="N13" i="65088"/>
  <c r="O13" s="1"/>
  <c r="N8"/>
  <c r="O8" s="1"/>
  <c r="N13" i="65087"/>
  <c r="N8"/>
  <c r="O8" s="1"/>
  <c r="N13" i="65086"/>
  <c r="O13" s="1"/>
  <c r="N8"/>
  <c r="O8" s="1"/>
  <c r="N13" i="65085"/>
  <c r="O13" s="1"/>
  <c r="N8"/>
  <c r="O8" s="1"/>
  <c r="N13" i="65084"/>
  <c r="O13" s="1"/>
  <c r="N8"/>
  <c r="O8" s="1"/>
  <c r="N13" i="65083"/>
  <c r="O13" s="1"/>
  <c r="N8"/>
  <c r="O8" s="1"/>
  <c r="N13" i="65122"/>
  <c r="O13" s="1"/>
  <c r="N8"/>
  <c r="O8" s="1"/>
  <c r="N13" i="65081"/>
  <c r="O13" s="1"/>
  <c r="N8"/>
  <c r="O8" s="1"/>
  <c r="N13" i="65082"/>
  <c r="O13" s="1"/>
  <c r="N8"/>
  <c r="O8" s="1"/>
  <c r="N13" i="65080"/>
  <c r="N13" i="65079"/>
  <c r="O13" s="1"/>
  <c r="N8"/>
  <c r="N13" i="65078"/>
  <c r="O13" s="1"/>
  <c r="N8"/>
  <c r="O8" s="1"/>
  <c r="N13" i="65077"/>
  <c r="O13" s="1"/>
  <c r="N8"/>
  <c r="O8" s="1"/>
  <c r="N16" i="65076"/>
  <c r="N11"/>
  <c r="O11" s="1"/>
  <c r="N13" i="65075"/>
  <c r="O13" s="1"/>
  <c r="N8"/>
  <c r="N13" i="65115"/>
  <c r="O13" s="1"/>
  <c r="N8"/>
  <c r="O8" s="1"/>
  <c r="N13" i="65100"/>
  <c r="O13" s="1"/>
  <c r="N8"/>
  <c r="O8" s="1"/>
  <c r="N13" i="65074"/>
  <c r="O13" s="1"/>
  <c r="N8"/>
  <c r="O8" s="1"/>
  <c r="N13" i="65070"/>
  <c r="O13" s="1"/>
  <c r="N8"/>
  <c r="O8" s="1"/>
  <c r="N13" i="65069"/>
  <c r="N8"/>
  <c r="O8" s="1"/>
  <c r="N13" i="65068"/>
  <c r="O13" s="1"/>
  <c r="N8"/>
  <c r="O8" s="1"/>
  <c r="N13" i="65123"/>
  <c r="O13" s="1"/>
  <c r="N8"/>
  <c r="O8" s="1"/>
  <c r="N13" i="65099"/>
  <c r="N8"/>
  <c r="O8" s="1"/>
  <c r="N13" i="65067"/>
  <c r="O13" s="1"/>
  <c r="N8"/>
  <c r="O8" s="1"/>
  <c r="N13" i="65066"/>
  <c r="O13" s="1"/>
  <c r="N8"/>
  <c r="O8" s="1"/>
  <c r="N18" i="65065"/>
  <c r="O18" s="1"/>
  <c r="N13"/>
  <c r="O13" s="1"/>
  <c r="N13" i="16"/>
  <c r="O13" s="1"/>
  <c r="N8"/>
  <c r="O8" s="1"/>
  <c r="G72" i="65137"/>
  <c r="G65"/>
  <c r="G64"/>
  <c r="L18" i="300"/>
  <c r="L19"/>
  <c r="E44" i="65125"/>
  <c r="F44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F54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D41"/>
  <c r="N16" i="65105"/>
  <c r="O16" s="1"/>
  <c r="N28"/>
  <c r="O28" s="1"/>
  <c r="N16" i="65098"/>
  <c r="N28"/>
  <c r="O28" s="1"/>
  <c r="N16" i="65097"/>
  <c r="O16" s="1"/>
  <c r="N28"/>
  <c r="O28" s="1"/>
  <c r="N16" i="65096"/>
  <c r="O16" s="1"/>
  <c r="N28"/>
  <c r="O28" s="1"/>
  <c r="N16" i="65095"/>
  <c r="O16" s="1"/>
  <c r="N16" i="65094"/>
  <c r="O16" s="1"/>
  <c r="N28"/>
  <c r="D38" i="65125" s="1"/>
  <c r="C38" s="1"/>
  <c r="N16" i="65093"/>
  <c r="O16" s="1"/>
  <c r="G35" i="65124"/>
  <c r="N16" i="65089"/>
  <c r="O16" s="1"/>
  <c r="N28"/>
  <c r="O28" s="1"/>
  <c r="N16" i="65088"/>
  <c r="O16" s="1"/>
  <c r="N28"/>
  <c r="N16" i="65087"/>
  <c r="O16" s="1"/>
  <c r="N28"/>
  <c r="J32" i="65124" s="1"/>
  <c r="N16" i="65086"/>
  <c r="O16" s="1"/>
  <c r="N28"/>
  <c r="O28" s="1"/>
  <c r="N16" i="65085"/>
  <c r="O16" s="1"/>
  <c r="N16" i="65084"/>
  <c r="N28"/>
  <c r="N16" i="65083"/>
  <c r="N28"/>
  <c r="O28" s="1"/>
  <c r="N28" i="65122"/>
  <c r="O28" s="1"/>
  <c r="N16" i="65081"/>
  <c r="N28"/>
  <c r="O28" s="1"/>
  <c r="N16" i="65082"/>
  <c r="O16" s="1"/>
  <c r="N28"/>
  <c r="O28" s="1"/>
  <c r="N16" i="65080"/>
  <c r="O16" s="1"/>
  <c r="N42"/>
  <c r="O42" s="1"/>
  <c r="N45"/>
  <c r="O45" s="1"/>
  <c r="N49"/>
  <c r="O49" s="1"/>
  <c r="N16" i="65079"/>
  <c r="O16" s="1"/>
  <c r="G23" i="65124"/>
  <c r="N38" i="65079"/>
  <c r="O38" s="1"/>
  <c r="N16" i="65078"/>
  <c r="O16" s="1"/>
  <c r="O33"/>
  <c r="N16" i="65077"/>
  <c r="O16" s="1"/>
  <c r="J21" i="65124"/>
  <c r="N8" i="65076"/>
  <c r="O8" s="1"/>
  <c r="N19"/>
  <c r="O19" s="1"/>
  <c r="O37"/>
  <c r="N43"/>
  <c r="O43" s="1"/>
  <c r="K20" i="65124"/>
  <c r="J19"/>
  <c r="N16" i="65115"/>
  <c r="O16" s="1"/>
  <c r="N28"/>
  <c r="N16" i="65100"/>
  <c r="O16" s="1"/>
  <c r="N28"/>
  <c r="O28" s="1"/>
  <c r="N16" i="65074"/>
  <c r="O28"/>
  <c r="N16" i="65071"/>
  <c r="N29"/>
  <c r="N16" i="65070"/>
  <c r="N30"/>
  <c r="O30" s="1"/>
  <c r="N16" i="65069"/>
  <c r="O16" s="1"/>
  <c r="N28"/>
  <c r="O28" s="1"/>
  <c r="N16" i="65068"/>
  <c r="O16" s="1"/>
  <c r="N28"/>
  <c r="O28" s="1"/>
  <c r="N16" i="65123"/>
  <c r="O16" s="1"/>
  <c r="N28"/>
  <c r="O28" s="1"/>
  <c r="N16" i="65099"/>
  <c r="O16" s="1"/>
  <c r="N28"/>
  <c r="N16" i="65067"/>
  <c r="O16" s="1"/>
  <c r="N16" i="65066"/>
  <c r="O16" s="1"/>
  <c r="G7" i="65124"/>
  <c r="N31" i="65066"/>
  <c r="O31" s="1"/>
  <c r="N8" i="65065"/>
  <c r="O8" s="1"/>
  <c r="N21"/>
  <c r="O21" s="1"/>
  <c r="N34"/>
  <c r="O34" s="1"/>
  <c r="N46"/>
  <c r="O46" s="1"/>
  <c r="N49"/>
  <c r="O49" s="1"/>
  <c r="N16" i="16"/>
  <c r="O16" s="1"/>
  <c r="N28"/>
  <c r="J5" i="65124" s="1"/>
  <c r="L8" i="300"/>
  <c r="F10"/>
  <c r="K10"/>
  <c r="L10" s="1"/>
  <c r="F11"/>
  <c r="K11"/>
  <c r="L11" s="1"/>
  <c r="F12"/>
  <c r="K12"/>
  <c r="L12" s="1"/>
  <c r="F13"/>
  <c r="K13"/>
  <c r="L13" s="1"/>
  <c r="F21"/>
  <c r="D23" i="304" s="1"/>
  <c r="L25" i="300"/>
  <c r="L26"/>
  <c r="L27"/>
  <c r="L28"/>
  <c r="L29"/>
  <c r="L30"/>
  <c r="L32"/>
  <c r="F33"/>
  <c r="K33"/>
  <c r="L35"/>
  <c r="F36"/>
  <c r="K36"/>
  <c r="L38"/>
  <c r="F39"/>
  <c r="K39"/>
  <c r="L39" s="1"/>
  <c r="F42"/>
  <c r="K42"/>
  <c r="L42" s="1"/>
  <c r="F43"/>
  <c r="K43"/>
  <c r="L43" s="1"/>
  <c r="L44"/>
  <c r="F49"/>
  <c r="K49"/>
  <c r="L49" s="1"/>
  <c r="F51"/>
  <c r="K51"/>
  <c r="F52"/>
  <c r="K52"/>
  <c r="L52" s="1"/>
  <c r="F53"/>
  <c r="K53"/>
  <c r="L53" s="1"/>
  <c r="F54"/>
  <c r="K54"/>
  <c r="L54" s="1"/>
  <c r="F55"/>
  <c r="K55"/>
  <c r="L55" s="1"/>
  <c r="F56"/>
  <c r="K56"/>
  <c r="L56" s="1"/>
  <c r="F59"/>
  <c r="K59"/>
  <c r="L59" s="1"/>
  <c r="F61"/>
  <c r="K61"/>
  <c r="L61" s="1"/>
  <c r="F62"/>
  <c r="K62"/>
  <c r="F66"/>
  <c r="K66"/>
  <c r="L66" s="1"/>
  <c r="F67"/>
  <c r="K67"/>
  <c r="L67" s="1"/>
  <c r="L68"/>
  <c r="F69"/>
  <c r="K69"/>
  <c r="L69" s="1"/>
  <c r="F71"/>
  <c r="K71"/>
  <c r="F72"/>
  <c r="K72"/>
  <c r="L72" s="1"/>
  <c r="F73"/>
  <c r="K73"/>
  <c r="L73" s="1"/>
  <c r="F74"/>
  <c r="K74"/>
  <c r="L74" s="1"/>
  <c r="F75"/>
  <c r="K75"/>
  <c r="L75" s="1"/>
  <c r="F76"/>
  <c r="K76"/>
  <c r="L76" s="1"/>
  <c r="F77"/>
  <c r="K77"/>
  <c r="L77" s="1"/>
  <c r="F79"/>
  <c r="K79"/>
  <c r="L79" s="1"/>
  <c r="F80"/>
  <c r="K80"/>
  <c r="L80" s="1"/>
  <c r="F85"/>
  <c r="K85"/>
  <c r="F86"/>
  <c r="K86"/>
  <c r="L86" s="1"/>
  <c r="F87"/>
  <c r="K87"/>
  <c r="L87" s="1"/>
  <c r="F88"/>
  <c r="K88"/>
  <c r="L88" s="1"/>
  <c r="F90"/>
  <c r="K90"/>
  <c r="L90" s="1"/>
  <c r="F91"/>
  <c r="K91"/>
  <c r="D26" i="304"/>
  <c r="F100" i="300"/>
  <c r="K100"/>
  <c r="L100" s="1"/>
  <c r="F103"/>
  <c r="K103"/>
  <c r="L103" s="1"/>
  <c r="F104"/>
  <c r="K104"/>
  <c r="L104" s="1"/>
  <c r="L107"/>
  <c r="L108"/>
  <c r="F109"/>
  <c r="K109"/>
  <c r="F111"/>
  <c r="K111"/>
  <c r="F115"/>
  <c r="K115"/>
  <c r="L115" s="1"/>
  <c r="F34" i="304"/>
  <c r="G34"/>
  <c r="F41" i="65124"/>
  <c r="F34"/>
  <c r="F33"/>
  <c r="F30"/>
  <c r="F24"/>
  <c r="F22"/>
  <c r="F12"/>
  <c r="F5"/>
  <c r="J41"/>
  <c r="D42" i="65125"/>
  <c r="C42" s="1"/>
  <c r="J38" i="65124"/>
  <c r="D39" i="65125"/>
  <c r="C39" s="1"/>
  <c r="G37" i="65124"/>
  <c r="J35"/>
  <c r="D37" i="65125"/>
  <c r="C37" s="1"/>
  <c r="D36"/>
  <c r="C36" s="1"/>
  <c r="J30" i="65124"/>
  <c r="D32" i="65125"/>
  <c r="C32" s="1"/>
  <c r="J29" i="65124"/>
  <c r="D30" i="65125"/>
  <c r="C30" s="1"/>
  <c r="J26" i="65124"/>
  <c r="D28" i="65125"/>
  <c r="C28" s="1"/>
  <c r="D24"/>
  <c r="C24" s="1"/>
  <c r="G22" i="65124"/>
  <c r="D21" i="65125"/>
  <c r="C21" s="1"/>
  <c r="J17" i="65124"/>
  <c r="D19" i="65125"/>
  <c r="C19" s="1"/>
  <c r="J16" i="65124"/>
  <c r="D17" i="65125"/>
  <c r="C17" s="1"/>
  <c r="D15"/>
  <c r="C15" s="1"/>
  <c r="J12" i="65124"/>
  <c r="D14" i="65125"/>
  <c r="C14" s="1"/>
  <c r="J10" i="65124"/>
  <c r="D12" i="65125"/>
  <c r="C12" s="1"/>
  <c r="J9" i="65124"/>
  <c r="E5"/>
  <c r="E39"/>
  <c r="E36"/>
  <c r="E34"/>
  <c r="E33"/>
  <c r="E30"/>
  <c r="E29"/>
  <c r="E28"/>
  <c r="E27"/>
  <c r="E26"/>
  <c r="E25"/>
  <c r="E23"/>
  <c r="E18"/>
  <c r="E14"/>
  <c r="N33" i="65123"/>
  <c r="O33" s="1"/>
  <c r="E40" i="65124"/>
  <c r="E38"/>
  <c r="E15"/>
  <c r="E7"/>
  <c r="N33" i="65068"/>
  <c r="F11" i="65137" s="1"/>
  <c r="E12" i="65124"/>
  <c r="N33" i="65087"/>
  <c r="O33" s="1"/>
  <c r="E17" i="65124"/>
  <c r="E31"/>
  <c r="N33" i="65089"/>
  <c r="O33" s="1"/>
  <c r="N33" i="65085"/>
  <c r="O33" s="1"/>
  <c r="G6" i="65124"/>
  <c r="D16" i="65125"/>
  <c r="C16" s="1"/>
  <c r="G20" i="65124"/>
  <c r="G21"/>
  <c r="J23"/>
  <c r="F27"/>
  <c r="F36"/>
  <c r="N35" i="65070"/>
  <c r="F29" i="65137" s="1"/>
  <c r="E35" i="65124"/>
  <c r="N33" i="65115"/>
  <c r="N38" i="65077"/>
  <c r="N33" i="65083"/>
  <c r="D18" i="65125"/>
  <c r="C18" s="1"/>
  <c r="D22"/>
  <c r="C22" s="1"/>
  <c r="J20" i="65124"/>
  <c r="F23"/>
  <c r="D33" i="65125"/>
  <c r="C33" s="1"/>
  <c r="J31" i="65124"/>
  <c r="D40" i="65125"/>
  <c r="C40" s="1"/>
  <c r="J39" i="65124"/>
  <c r="D10" i="65125"/>
  <c r="C10" s="1"/>
  <c r="J8" i="65124"/>
  <c r="J13"/>
  <c r="D23" i="65125"/>
  <c r="C23" s="1"/>
  <c r="F21" i="65124"/>
  <c r="J28"/>
  <c r="F31"/>
  <c r="J37"/>
  <c r="F37"/>
  <c r="F39"/>
  <c r="J40"/>
  <c r="D43" i="65125"/>
  <c r="C43" s="1"/>
  <c r="J14" i="65124"/>
  <c r="J18"/>
  <c r="D25" i="65125"/>
  <c r="C25" s="1"/>
  <c r="D41"/>
  <c r="C41" s="1"/>
  <c r="N33" i="65098"/>
  <c r="G24" i="65124"/>
  <c r="C24"/>
  <c r="G19"/>
  <c r="E17" i="304"/>
  <c r="E29"/>
  <c r="E18"/>
  <c r="K9" i="300"/>
  <c r="N33" i="65081"/>
  <c r="O33" s="1"/>
  <c r="E16" i="304"/>
  <c r="D26" i="65125" l="1"/>
  <c r="C26" s="1"/>
  <c r="J24" i="65124"/>
  <c r="N34" i="65071"/>
  <c r="N35" s="1"/>
  <c r="O35" s="1"/>
  <c r="J6" i="65124"/>
  <c r="D8" i="65125"/>
  <c r="C8" s="1"/>
  <c r="E10" i="65124"/>
  <c r="E22"/>
  <c r="E37"/>
  <c r="J34"/>
  <c r="N36" i="65093"/>
  <c r="O36" s="1"/>
  <c r="N37" i="65095"/>
  <c r="F25" i="65137" s="1"/>
  <c r="N33" i="65122"/>
  <c r="D29" i="65125"/>
  <c r="C29" s="1"/>
  <c r="N33" i="65100"/>
  <c r="E16" i="65124"/>
  <c r="J27"/>
  <c r="F9" i="300"/>
  <c r="D21" i="304" s="1"/>
  <c r="N33" i="65088"/>
  <c r="K24" i="65124"/>
  <c r="E8"/>
  <c r="N33" i="65074"/>
  <c r="N33" i="65084"/>
  <c r="O33" s="1"/>
  <c r="F38" i="65124"/>
  <c r="J25"/>
  <c r="F17"/>
  <c r="F20"/>
  <c r="F19"/>
  <c r="N33" i="65069"/>
  <c r="F24" i="65137" s="1"/>
  <c r="G24" s="1"/>
  <c r="F13" i="65124"/>
  <c r="F8"/>
  <c r="N55" i="65065"/>
  <c r="O55" s="1"/>
  <c r="E6" i="65124"/>
  <c r="F10"/>
  <c r="L9" i="300"/>
  <c r="K99"/>
  <c r="F27" i="304" s="1"/>
  <c r="G27" s="1"/>
  <c r="F86" i="65137"/>
  <c r="F32" i="65124"/>
  <c r="E19"/>
  <c r="L19" s="1"/>
  <c r="J36"/>
  <c r="L36" s="1"/>
  <c r="O28" i="65094"/>
  <c r="O33" i="65083"/>
  <c r="I24" i="65124"/>
  <c r="N54" i="65076"/>
  <c r="N55" s="1"/>
  <c r="I20" i="65124"/>
  <c r="O33" i="65122"/>
  <c r="J7" i="65124"/>
  <c r="L109" i="300"/>
  <c r="K106"/>
  <c r="F106"/>
  <c r="N33" i="65086"/>
  <c r="O33" s="1"/>
  <c r="O8" i="65079"/>
  <c r="N43"/>
  <c r="F32" i="65137" s="1"/>
  <c r="O8" i="65075"/>
  <c r="N41"/>
  <c r="N42" s="1"/>
  <c r="O42" s="1"/>
  <c r="F89" i="300"/>
  <c r="F84"/>
  <c r="F70"/>
  <c r="L85"/>
  <c r="K84"/>
  <c r="L84" s="1"/>
  <c r="K70"/>
  <c r="L70" s="1"/>
  <c r="F60"/>
  <c r="F48"/>
  <c r="K60"/>
  <c r="L60" s="1"/>
  <c r="L91"/>
  <c r="K89"/>
  <c r="L89" s="1"/>
  <c r="L51"/>
  <c r="K48"/>
  <c r="L48" s="1"/>
  <c r="N33" i="65082"/>
  <c r="F70" i="65137" s="1"/>
  <c r="D27" i="65125"/>
  <c r="C27" s="1"/>
  <c r="F25" i="65124"/>
  <c r="L25" s="1"/>
  <c r="F18"/>
  <c r="L18" s="1"/>
  <c r="L111" i="300"/>
  <c r="L71"/>
  <c r="F6" i="65124"/>
  <c r="N41" i="65078"/>
  <c r="O41" s="1"/>
  <c r="J22" i="65124"/>
  <c r="L22" s="1"/>
  <c r="O33" i="65088"/>
  <c r="N34" i="65100"/>
  <c r="O34" s="1"/>
  <c r="O8" i="65080"/>
  <c r="N53"/>
  <c r="F76" i="65137" s="1"/>
  <c r="H6" i="65124"/>
  <c r="H42" s="1"/>
  <c r="F61" i="65137"/>
  <c r="G61" s="1"/>
  <c r="E21" i="65124"/>
  <c r="F15" i="304"/>
  <c r="F37" i="300"/>
  <c r="L33"/>
  <c r="K31"/>
  <c r="L31" s="1"/>
  <c r="L27" i="65124"/>
  <c r="E41"/>
  <c r="O13" i="65105"/>
  <c r="F40" i="65124"/>
  <c r="O16" i="65098"/>
  <c r="N34"/>
  <c r="O34" s="1"/>
  <c r="O33"/>
  <c r="D35" i="65125"/>
  <c r="C35" s="1"/>
  <c r="O28" i="65088"/>
  <c r="D34" i="65125"/>
  <c r="C34" s="1"/>
  <c r="O28" i="65087"/>
  <c r="E32" i="65124"/>
  <c r="L32" s="1"/>
  <c r="O13" i="65087"/>
  <c r="D31" i="65125"/>
  <c r="C31" s="1"/>
  <c r="O28" i="65084"/>
  <c r="F29" i="65124"/>
  <c r="L29" s="1"/>
  <c r="O16" i="65084"/>
  <c r="F28" i="65124"/>
  <c r="L28" s="1"/>
  <c r="O16" i="65083"/>
  <c r="F26" i="65124"/>
  <c r="L26" s="1"/>
  <c r="O16" i="65081"/>
  <c r="E24" i="65124"/>
  <c r="L24" s="1"/>
  <c r="O13" i="65080"/>
  <c r="E20" i="65124"/>
  <c r="O16" i="65076"/>
  <c r="F99" i="300"/>
  <c r="D27" i="304" s="1"/>
  <c r="D20" i="65125"/>
  <c r="C20" s="1"/>
  <c r="O28" i="65115"/>
  <c r="O33" i="65100"/>
  <c r="F16" i="65124"/>
  <c r="L16" s="1"/>
  <c r="O16" i="65074"/>
  <c r="O33"/>
  <c r="J15" i="65124"/>
  <c r="O29" i="65071"/>
  <c r="F15" i="65124"/>
  <c r="O16" i="65071"/>
  <c r="O34"/>
  <c r="F14" i="65124"/>
  <c r="L14" s="1"/>
  <c r="O16" i="65070"/>
  <c r="E13" i="65124"/>
  <c r="O13" i="65069"/>
  <c r="N34"/>
  <c r="O34" s="1"/>
  <c r="N34" i="65068"/>
  <c r="O34" s="1"/>
  <c r="O33"/>
  <c r="D11" i="65125"/>
  <c r="C11" s="1"/>
  <c r="O28" i="65099"/>
  <c r="N33"/>
  <c r="O33" s="1"/>
  <c r="E9" i="65124"/>
  <c r="O13" i="65099"/>
  <c r="L8" i="65124"/>
  <c r="D7" i="65125"/>
  <c r="C7" s="1"/>
  <c r="O28" i="16"/>
  <c r="G29" i="65137"/>
  <c r="O35" i="65070"/>
  <c r="N34" i="65115"/>
  <c r="O34" s="1"/>
  <c r="O33"/>
  <c r="N38" i="65095"/>
  <c r="O37"/>
  <c r="N39" i="65077"/>
  <c r="O38"/>
  <c r="L93" i="300"/>
  <c r="L94"/>
  <c r="K21"/>
  <c r="L22"/>
  <c r="F21" i="304"/>
  <c r="G21" s="1"/>
  <c r="L37" i="65124"/>
  <c r="L38"/>
  <c r="L12"/>
  <c r="K114" i="300"/>
  <c r="F114"/>
  <c r="N33" i="65094"/>
  <c r="L34" i="65124"/>
  <c r="K34" i="300"/>
  <c r="L34" s="1"/>
  <c r="N33" i="65067"/>
  <c r="O33" s="1"/>
  <c r="L5" i="65124"/>
  <c r="E14" i="304"/>
  <c r="E40" s="1"/>
  <c r="G19"/>
  <c r="N33" i="65096"/>
  <c r="F35" i="65124"/>
  <c r="L35" s="1"/>
  <c r="J33"/>
  <c r="L33" s="1"/>
  <c r="D42"/>
  <c r="F9"/>
  <c r="F34" i="300"/>
  <c r="F31"/>
  <c r="N36" i="65066"/>
  <c r="O36" s="1"/>
  <c r="D9" i="65125"/>
  <c r="C9" s="1"/>
  <c r="F7" i="65124"/>
  <c r="L7" s="1"/>
  <c r="N33" i="16"/>
  <c r="N33" i="65097"/>
  <c r="L21" i="65124"/>
  <c r="L39"/>
  <c r="L40"/>
  <c r="G25" i="65137"/>
  <c r="N37" i="65093"/>
  <c r="L31" i="65124"/>
  <c r="L30"/>
  <c r="K42"/>
  <c r="L23"/>
  <c r="F17" i="300"/>
  <c r="F15" s="1"/>
  <c r="D22" i="304" s="1"/>
  <c r="L17" i="65124"/>
  <c r="L15"/>
  <c r="L10"/>
  <c r="G42"/>
  <c r="K37" i="300"/>
  <c r="L37" s="1"/>
  <c r="L43" i="65124"/>
  <c r="E35" i="304"/>
  <c r="L20" i="65124" l="1"/>
  <c r="I42"/>
  <c r="L13"/>
  <c r="O33" i="65069"/>
  <c r="F69" i="65137"/>
  <c r="G69" s="1"/>
  <c r="N44" i="65079"/>
  <c r="N45" s="1"/>
  <c r="O45" s="1"/>
  <c r="F36" i="304"/>
  <c r="G36" s="1"/>
  <c r="L99" i="300"/>
  <c r="F26" i="65137"/>
  <c r="G26" s="1"/>
  <c r="O54" i="65076"/>
  <c r="O33" i="65082"/>
  <c r="F9" i="65137"/>
  <c r="G32"/>
  <c r="N42" i="65078"/>
  <c r="O42" s="1"/>
  <c r="N37" i="65140"/>
  <c r="N38" s="1"/>
  <c r="E42" i="65124"/>
  <c r="L21" i="300"/>
  <c r="O41" i="65075"/>
  <c r="G70" i="65137"/>
  <c r="N34" i="65089"/>
  <c r="O34" s="1"/>
  <c r="O43" i="65079"/>
  <c r="L6" i="65124"/>
  <c r="N34" i="65122"/>
  <c r="O34" s="1"/>
  <c r="N35" i="65098"/>
  <c r="O35" s="1"/>
  <c r="N35" i="65069"/>
  <c r="O35" s="1"/>
  <c r="F47" i="300"/>
  <c r="D25" i="304" s="1"/>
  <c r="L9" i="65124"/>
  <c r="J42"/>
  <c r="O53" i="65080"/>
  <c r="O33" i="16"/>
  <c r="N34"/>
  <c r="N43" i="65075"/>
  <c r="O43" s="1"/>
  <c r="F29" i="304"/>
  <c r="G29" s="1"/>
  <c r="D36"/>
  <c r="D35" s="1"/>
  <c r="D37" s="1"/>
  <c r="N35" i="65068"/>
  <c r="O35" s="1"/>
  <c r="D44" i="65125"/>
  <c r="F42" i="65124"/>
  <c r="F23" i="304"/>
  <c r="G23" s="1"/>
  <c r="N34" i="65097"/>
  <c r="O34" s="1"/>
  <c r="O33"/>
  <c r="N34" i="65096"/>
  <c r="O34" s="1"/>
  <c r="O33"/>
  <c r="N34" i="65094"/>
  <c r="O33"/>
  <c r="N38" i="65093"/>
  <c r="O38" s="1"/>
  <c r="O37"/>
  <c r="N35" i="65115"/>
  <c r="O35" s="1"/>
  <c r="E30" i="304"/>
  <c r="E32" s="1"/>
  <c r="D31"/>
  <c r="D30" s="1"/>
  <c r="D32" s="1"/>
  <c r="F26"/>
  <c r="G26" s="1"/>
  <c r="N39" i="65095"/>
  <c r="O39" s="1"/>
  <c r="O38"/>
  <c r="N40" i="65077"/>
  <c r="O39"/>
  <c r="N56" i="65076"/>
  <c r="O56" s="1"/>
  <c r="O55"/>
  <c r="F31" i="304"/>
  <c r="F30" s="1"/>
  <c r="L106" i="300"/>
  <c r="C44" i="65125"/>
  <c r="L17" i="300"/>
  <c r="L114"/>
  <c r="G11" i="65137"/>
  <c r="K47" i="300"/>
  <c r="F24"/>
  <c r="K24"/>
  <c r="F18" i="304"/>
  <c r="G18" s="1"/>
  <c r="G15"/>
  <c r="E37"/>
  <c r="O44" i="65079" l="1"/>
  <c r="N43" i="65078"/>
  <c r="O43" s="1"/>
  <c r="F68" i="65137"/>
  <c r="G76"/>
  <c r="N35" i="65089"/>
  <c r="O35" s="1"/>
  <c r="O40" i="65077"/>
  <c r="G9" i="65137"/>
  <c r="F8"/>
  <c r="G8" s="1"/>
  <c r="N35" i="16"/>
  <c r="O35" s="1"/>
  <c r="O34"/>
  <c r="G68" i="65137"/>
  <c r="F32" i="304"/>
  <c r="G32" s="1"/>
  <c r="N35" i="65097"/>
  <c r="O35" s="1"/>
  <c r="F23" i="65137"/>
  <c r="G23" s="1"/>
  <c r="N35" i="65096"/>
  <c r="O35" s="1"/>
  <c r="G30" i="304"/>
  <c r="G31"/>
  <c r="O34" i="65094"/>
  <c r="N35"/>
  <c r="O35" s="1"/>
  <c r="E20" i="304"/>
  <c r="E28" s="1"/>
  <c r="E33" s="1"/>
  <c r="D24"/>
  <c r="D20" s="1"/>
  <c r="F35"/>
  <c r="F24"/>
  <c r="G24" s="1"/>
  <c r="L24" i="300"/>
  <c r="F25" i="304"/>
  <c r="G25" s="1"/>
  <c r="L47" i="300"/>
  <c r="O35" i="65123"/>
  <c r="O34"/>
  <c r="F7" i="300"/>
  <c r="F16" i="304"/>
  <c r="G16" s="1"/>
  <c r="F77" i="65137" l="1"/>
  <c r="G86"/>
  <c r="E41" i="304"/>
  <c r="E42" s="1"/>
  <c r="D41"/>
  <c r="D42" s="1"/>
  <c r="D28"/>
  <c r="D33" s="1"/>
  <c r="D38" s="1"/>
  <c r="F37"/>
  <c r="G37" s="1"/>
  <c r="G35"/>
  <c r="E38"/>
  <c r="G77" i="65137" l="1"/>
  <c r="F17" i="304" l="1"/>
  <c r="A4" i="65061" l="1"/>
  <c r="G17" i="304"/>
  <c r="F14"/>
  <c r="G14" l="1"/>
  <c r="F40"/>
  <c r="G40" l="1"/>
  <c r="O9" i="65105"/>
  <c r="N8"/>
  <c r="O8" s="1"/>
  <c r="C41" i="65124"/>
  <c r="C42" s="1"/>
  <c r="L16" i="300"/>
  <c r="L41" i="65124" l="1"/>
  <c r="L42" s="1"/>
  <c r="N33" i="65105"/>
  <c r="F39" i="65137" s="1"/>
  <c r="K15" i="300"/>
  <c r="K7" l="1"/>
  <c r="L7" s="1"/>
  <c r="K122"/>
  <c r="N34" i="65105"/>
  <c r="O34" s="1"/>
  <c r="O33"/>
  <c r="L15" i="300"/>
  <c r="F22" i="304"/>
  <c r="G22" s="1"/>
  <c r="N35" i="65105"/>
  <c r="O35" s="1"/>
  <c r="G39" i="65137"/>
  <c r="F30"/>
  <c r="F7" s="1"/>
  <c r="C131" i="300" l="1"/>
  <c r="L122"/>
  <c r="F20" i="304"/>
  <c r="G20" s="1"/>
  <c r="G30" i="65137"/>
  <c r="G7"/>
  <c r="F41" i="304" l="1"/>
  <c r="F28"/>
  <c r="F33" s="1"/>
  <c r="G41" l="1"/>
  <c r="F42"/>
  <c r="G28"/>
  <c r="G33"/>
  <c r="F38"/>
  <c r="G42" l="1"/>
  <c r="L44" i="65124"/>
  <c r="G38" i="304"/>
  <c r="L45" i="65124" l="1"/>
</calcChain>
</file>

<file path=xl/sharedStrings.xml><?xml version="1.0" encoding="utf-8"?>
<sst xmlns="http://schemas.openxmlformats.org/spreadsheetml/2006/main" count="2781" uniqueCount="951">
  <si>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</si>
  <si>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</si>
  <si>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</si>
  <si>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</si>
  <si>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</si>
  <si>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</si>
  <si>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</si>
  <si>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</si>
  <si>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</si>
  <si>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</si>
  <si>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</si>
  <si>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</si>
  <si>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</si>
  <si>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</si>
  <si>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</si>
  <si>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</si>
  <si>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</si>
  <si>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</si>
  <si>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</si>
  <si>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</si>
  <si>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</si>
  <si>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</si>
  <si>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</si>
  <si>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</si>
  <si>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</si>
  <si>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</si>
  <si>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</si>
  <si>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</si>
  <si>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</si>
  <si>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</si>
  <si>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</si>
  <si>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</si>
  <si>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</si>
  <si>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</si>
  <si>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</si>
  <si>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</si>
  <si>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</si>
  <si>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</si>
  <si>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</si>
  <si>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</si>
  <si>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</si>
  <si>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</si>
  <si>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</si>
  <si>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</si>
  <si>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</si>
  <si>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</si>
  <si>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</si>
  <si>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</si>
  <si>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</si>
  <si>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</si>
  <si>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</si>
  <si>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</si>
  <si>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</si>
  <si>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</si>
  <si>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</si>
  <si>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</si>
  <si>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</si>
  <si>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</si>
  <si>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</si>
  <si>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</si>
  <si>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</si>
  <si>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</si>
  <si>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</si>
  <si>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</si>
  <si>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</si>
  <si>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</si>
  <si>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</si>
  <si>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</si>
  <si>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</si>
  <si>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</si>
  <si>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</si>
  <si>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</si>
  <si>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</si>
  <si>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</si>
  <si>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</si>
  <si>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</si>
  <si>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</si>
  <si>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</si>
  <si>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</si>
  <si>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</si>
  <si>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</si>
  <si>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</si>
  <si>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</si>
  <si>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</si>
  <si>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</si>
  <si>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</si>
  <si>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</si>
  <si>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</si>
  <si>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</si>
  <si>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</si>
  <si>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</si>
  <si>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</si>
  <si>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</si>
  <si>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</si>
  <si>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</si>
  <si>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</si>
  <si>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</si>
  <si>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</si>
  <si>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</si>
  <si>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</si>
  <si>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</si>
  <si>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</si>
  <si>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</si>
  <si>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</si>
  <si>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</si>
  <si>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</si>
  <si>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</si>
  <si>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</si>
  <si>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</si>
  <si>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</si>
  <si>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</si>
  <si>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</si>
  <si>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</si>
  <si>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</si>
  <si>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</si>
  <si>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</si>
  <si>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</si>
  <si>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</si>
  <si>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</si>
  <si>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</si>
  <si>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</si>
  <si>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</si>
  <si>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</si>
  <si>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</si>
  <si>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</si>
  <si>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</si>
  <si>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</si>
  <si>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</si>
  <si>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</si>
  <si>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</si>
  <si>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</si>
  <si>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</si>
  <si>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</si>
  <si>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</si>
  <si>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</si>
  <si>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</si>
  <si>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</si>
  <si>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</si>
  <si>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</si>
  <si>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</si>
  <si>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</si>
  <si>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</si>
  <si>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</si>
  <si>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</si>
  <si>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</si>
  <si>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</si>
  <si>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</si>
  <si>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</si>
  <si>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</si>
  <si>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</si>
  <si>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</si>
  <si>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</si>
  <si>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</si>
  <si>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</si>
  <si>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</si>
  <si>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</si>
  <si>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</si>
  <si>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</si>
  <si>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</si>
  <si>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</si>
  <si>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</si>
  <si>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</si>
  <si>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</si>
  <si>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</si>
  <si>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</si>
  <si>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</si>
  <si>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</si>
  <si>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</si>
  <si>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>06</t>
  </si>
  <si>
    <t>I  OPĆI DIO</t>
  </si>
  <si>
    <t>Članak 1.</t>
  </si>
  <si>
    <t xml:space="preserve">Bosna i Hercegovina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</si>
  <si>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</si>
  <si>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</si>
  <si>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</si>
  <si>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</si>
  <si>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</si>
  <si>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</si>
  <si>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</si>
  <si>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</si>
  <si>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</si>
  <si>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</si>
  <si>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</si>
  <si>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</si>
  <si>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</si>
  <si>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</si>
  <si>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</si>
  <si>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</si>
  <si>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</si>
  <si>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</si>
  <si>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</si>
  <si>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</si>
  <si>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</si>
  <si>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</si>
  <si>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</si>
  <si>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</si>
  <si>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</si>
  <si>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</si>
  <si>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</si>
  <si>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</si>
  <si>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</si>
  <si>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</si>
  <si>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</si>
  <si>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</si>
  <si>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</si>
  <si>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</si>
  <si>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</si>
  <si>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</si>
  <si>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</si>
  <si>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</si>
  <si>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</si>
  <si>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</si>
  <si>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</si>
  <si>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</si>
  <si>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</si>
  <si>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</si>
  <si>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</si>
  <si>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</si>
  <si>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</si>
  <si>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 xml:space="preserve"> Grant za Sveučilište u Mostaru</t>
  </si>
  <si>
    <t xml:space="preserve"> Grantovi nižim razinama vlasti</t>
  </si>
  <si>
    <t>Članak 4.</t>
  </si>
  <si>
    <t>Članak 5.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</si>
  <si>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</si>
  <si>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</si>
  <si>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</si>
  <si>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</si>
  <si>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</si>
  <si>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</si>
  <si>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</si>
  <si>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</si>
  <si>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</si>
  <si>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</si>
  <si>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</si>
  <si>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</si>
  <si>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</si>
  <si>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</si>
  <si>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</si>
  <si>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</si>
  <si>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</si>
  <si>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</si>
  <si>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</si>
  <si>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</si>
  <si>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</si>
  <si>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</si>
  <si>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</si>
  <si>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</si>
  <si>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</si>
  <si>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</si>
  <si>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</si>
  <si>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</si>
  <si>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</si>
  <si>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</si>
  <si>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</si>
  <si>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</si>
  <si>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</si>
  <si>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</si>
  <si>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</si>
  <si>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</si>
  <si>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</si>
  <si>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</si>
  <si>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</si>
  <si>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</si>
  <si>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</si>
  <si>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</si>
  <si>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</si>
  <si>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</si>
  <si>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</si>
  <si>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</si>
  <si>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</si>
  <si>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</si>
  <si>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</si>
  <si>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</si>
  <si>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</si>
  <si>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</si>
  <si>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</si>
  <si>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</si>
  <si>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</si>
  <si>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</si>
  <si>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</si>
  <si>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</si>
  <si>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</si>
  <si>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</si>
  <si>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</si>
  <si>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</si>
  <si>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</si>
  <si>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</si>
  <si>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</si>
  <si>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</si>
  <si>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</si>
  <si>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</si>
  <si>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</si>
  <si>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</si>
  <si>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</si>
  <si>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</si>
  <si>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</si>
  <si>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</si>
  <si>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</si>
  <si>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</si>
  <si>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</si>
  <si>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</si>
  <si>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</si>
  <si>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</si>
  <si>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</si>
  <si>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</si>
  <si>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</si>
  <si>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</si>
  <si>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</si>
  <si>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</si>
  <si>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</si>
  <si>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</si>
  <si>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</si>
  <si>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</si>
  <si>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</si>
  <si>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</si>
  <si>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</si>
  <si>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</si>
  <si>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</si>
  <si>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</si>
  <si>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</si>
  <si>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</si>
  <si>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</si>
  <si>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</si>
  <si>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</si>
  <si>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</si>
  <si>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</si>
  <si>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</si>
  <si>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</si>
  <si>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</si>
  <si>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</si>
  <si>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</si>
  <si>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</si>
  <si>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</si>
  <si>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</si>
  <si>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</si>
  <si>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</si>
  <si>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</si>
  <si>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</si>
  <si>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</si>
  <si>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</si>
  <si>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</si>
  <si>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</si>
  <si>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</si>
  <si>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</si>
  <si>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</si>
  <si>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</si>
  <si>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</si>
  <si>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</si>
  <si>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</si>
  <si>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</si>
  <si>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</si>
  <si>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</si>
  <si>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</si>
  <si>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</si>
  <si>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</si>
  <si>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</si>
  <si>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</si>
  <si>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</si>
  <si>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</si>
  <si>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</si>
  <si>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</si>
  <si>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</si>
  <si>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</si>
  <si>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</si>
  <si>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</si>
  <si>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</si>
  <si>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</si>
  <si>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</si>
  <si>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</si>
  <si>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</si>
  <si>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</si>
  <si>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</si>
  <si>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</si>
  <si>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</si>
  <si>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</si>
  <si>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</si>
  <si>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</si>
  <si>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</si>
  <si>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</si>
  <si>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</si>
  <si>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</si>
  <si>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</si>
  <si>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</si>
  <si>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</si>
  <si>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</si>
  <si>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</si>
  <si>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</si>
  <si>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</si>
  <si>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</si>
  <si>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</si>
  <si>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</si>
  <si>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</si>
  <si>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</si>
  <si>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</si>
  <si>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</si>
  <si>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</si>
  <si>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</si>
  <si>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</si>
  <si>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</si>
  <si>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</si>
  <si>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</si>
  <si>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</si>
  <si>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</si>
  <si>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</si>
  <si>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</si>
  <si>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</si>
  <si>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</si>
  <si>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</si>
  <si>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</si>
  <si>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</si>
  <si>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</si>
  <si>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</si>
  <si>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</si>
  <si>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</si>
  <si>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</si>
  <si>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</si>
  <si>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</si>
  <si>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</si>
  <si>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</si>
  <si>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</si>
  <si>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</si>
  <si>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</si>
  <si>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</si>
  <si>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</si>
  <si>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</si>
  <si>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</si>
  <si>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</si>
  <si>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</si>
  <si>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</si>
  <si>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</si>
  <si>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</si>
  <si>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</si>
  <si>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</si>
  <si>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</si>
  <si>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</si>
  <si>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</si>
  <si>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</si>
  <si>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</si>
  <si>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</si>
  <si>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</si>
  <si>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</si>
  <si>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</si>
  <si>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</si>
  <si>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</si>
  <si>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</si>
  <si>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</si>
  <si>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</si>
  <si>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</si>
  <si>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</si>
  <si>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</si>
  <si>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</si>
  <si>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</si>
  <si>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</si>
  <si>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</si>
  <si>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</si>
  <si>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</si>
  <si>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</si>
  <si>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</si>
  <si>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</si>
  <si>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</si>
  <si>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</si>
  <si>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</si>
  <si>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</si>
  <si>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</si>
  <si>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</si>
  <si>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</si>
  <si>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</si>
  <si>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</si>
  <si>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</si>
  <si>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</si>
  <si>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</si>
  <si>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</si>
  <si>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</si>
  <si>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</si>
  <si>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</si>
  <si>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</si>
  <si>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</si>
  <si>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</si>
  <si>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</si>
  <si>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</si>
  <si>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</si>
  <si>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</si>
  <si>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</si>
  <si>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</si>
  <si>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</si>
  <si>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</si>
  <si>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</si>
  <si>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</si>
  <si>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</si>
  <si>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</si>
  <si>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</si>
  <si>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</si>
  <si>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</si>
  <si>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</si>
  <si>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</si>
  <si>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</si>
  <si>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</si>
  <si>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</si>
  <si>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</si>
  <si>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</si>
  <si>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</si>
  <si>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</si>
  <si>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</si>
  <si>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</si>
  <si>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</si>
  <si>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</si>
  <si>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</si>
  <si>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</si>
  <si>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</si>
  <si>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</si>
  <si>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</si>
  <si>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</si>
  <si>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</si>
  <si>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</si>
  <si>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</si>
  <si>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</si>
  <si>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</si>
  <si>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</si>
  <si>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</si>
  <si>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</si>
  <si>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</si>
  <si>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</si>
  <si>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</si>
  <si>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</si>
  <si>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</si>
  <si>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</si>
  <si>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</si>
  <si>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</si>
  <si>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</si>
  <si>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</si>
  <si>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</si>
  <si>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</si>
  <si>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>INDEKS
6/4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</si>
  <si>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</si>
  <si>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</si>
  <si>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</si>
  <si>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</si>
  <si>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</si>
  <si>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</si>
  <si>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</si>
  <si>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</si>
  <si>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</si>
  <si>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</si>
  <si>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</si>
  <si>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</si>
  <si>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</si>
  <si>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</si>
  <si>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</si>
  <si>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</si>
  <si>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</si>
  <si>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</si>
  <si>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</si>
  <si>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</si>
  <si>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Kapitalni grantovi od poduzeća</t>
  </si>
  <si>
    <t xml:space="preserve">   Primljeni tekući grantovi od gradova</t>
  </si>
  <si>
    <t>Subanalitika</t>
  </si>
  <si>
    <t>BA6017</t>
  </si>
  <si>
    <t>BA6006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</si>
  <si>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</si>
  <si>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</si>
  <si>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</si>
  <si>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</si>
  <si>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</si>
  <si>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</si>
  <si>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</si>
  <si>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</si>
  <si>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</si>
  <si>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</si>
  <si>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</si>
  <si>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</si>
  <si>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</si>
  <si>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</si>
  <si>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</si>
  <si>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</si>
  <si>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</si>
  <si>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</si>
  <si>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</si>
  <si>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</si>
  <si>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</si>
  <si>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</si>
  <si>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</si>
  <si>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</si>
  <si>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</si>
  <si>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</si>
  <si>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</si>
  <si>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</si>
  <si>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kulturu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</si>
  <si>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</si>
  <si>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</si>
  <si>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</si>
  <si>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</si>
  <si>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</si>
  <si>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</si>
  <si>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</si>
  <si>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</si>
  <si>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</si>
  <si>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</si>
  <si>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</si>
  <si>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</si>
  <si>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kulturu</t>
  </si>
  <si>
    <t>iz prorač.
sredstava</t>
  </si>
  <si>
    <t>iz ostalih izvora</t>
  </si>
  <si>
    <t>8=6+7</t>
  </si>
  <si>
    <t>INDEKS 
8/4</t>
  </si>
  <si>
    <t xml:space="preserve"> Grantovi neprofitnim organizacijama i udrugama građana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</si>
  <si>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</si>
  <si>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</si>
  <si>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</si>
  <si>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</si>
  <si>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</si>
  <si>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</si>
  <si>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</si>
  <si>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</si>
  <si>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</si>
  <si>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</si>
  <si>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</si>
  <si>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</si>
  <si>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</si>
  <si>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</si>
  <si>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</si>
  <si>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</si>
  <si>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</si>
  <si>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</si>
  <si>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</si>
  <si>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</si>
  <si>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</si>
  <si>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</si>
  <si>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</si>
  <si>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</si>
  <si>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</si>
  <si>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</si>
  <si>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</si>
  <si>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</si>
  <si>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</si>
  <si>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</si>
  <si>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Bosnia and Herzegovina
Federation of Bosnia and Herzegovina
Posavina County
THE ASSEMBLY</t>
  </si>
  <si>
    <t>Bosna i Hercegovina
Federacija Bosne i 
Hercegovine
Županija Posavska
S K U P Š T I N 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</si>
  <si>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</si>
  <si>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</si>
  <si>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</si>
  <si>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</si>
  <si>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</si>
  <si>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</si>
  <si>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</si>
  <si>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</si>
  <si>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</si>
  <si>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</si>
  <si>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</si>
  <si>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</si>
  <si>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</si>
  <si>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</si>
  <si>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</si>
  <si>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</si>
  <si>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</si>
  <si>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</si>
  <si>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</si>
  <si>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</si>
  <si>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</si>
  <si>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</si>
  <si>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</si>
  <si>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</si>
  <si>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</si>
  <si>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</si>
  <si>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</si>
  <si>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</si>
  <si>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</si>
  <si>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</si>
  <si>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</si>
  <si>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</si>
  <si>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</si>
  <si>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</si>
  <si>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</si>
  <si>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</si>
  <si>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</si>
  <si>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</si>
  <si>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</si>
  <si>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</si>
  <si>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</si>
  <si>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</si>
  <si>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</si>
  <si>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t xml:space="preserve">      99999999 Riznica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</si>
  <si>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</si>
  <si>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</si>
  <si>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</si>
  <si>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</si>
  <si>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</si>
  <si>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</si>
  <si>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</si>
  <si>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</si>
  <si>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</si>
  <si>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</si>
  <si>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</si>
  <si>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Izdaci za nabavku stalnih sredstava za 2020.g.(po pror.korisn.i izv.financiranja)</t>
  </si>
  <si>
    <t xml:space="preserve"> Županije Posavske za 2020. godinu</t>
  </si>
  <si>
    <t>IZDACI ZA NABAVKU STALNIH SREDSTAVA ŽUPANIJE POSAVSKE ZA 2020. GODINU (po proračunskim korisnicima i izvorima financiranja)</t>
  </si>
  <si>
    <t>Usluge sporta i rekreacije</t>
  </si>
  <si>
    <t xml:space="preserve"> o/č Grantovi za sport</t>
  </si>
  <si>
    <t xml:space="preserve"> Grantovi za sport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</si>
  <si>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</si>
  <si>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</si>
  <si>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</si>
  <si>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</si>
  <si>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 xml:space="preserve">   11010001 Vlada ŽP - Brčko Distrikt</t>
  </si>
  <si>
    <t xml:space="preserve">      20010001 Ministarstvo prosvjete, znanosti, kulture i sporta - Ured za 
      Hrvate izvan RH</t>
  </si>
  <si>
    <t xml:space="preserve">      19010001 Ministarstvo poljoprivrede, vodoprivrede i šumarstva - Feder. 
      Ministarstvo prostornog uređenja - Ljetni nasip Kopanice</t>
  </si>
  <si>
    <t xml:space="preserve">      20010001 Ministarstvo prosvjete, znanosti, kulture i sporta - Federalno
      ministarstvo obrazovanja i nauke</t>
  </si>
  <si>
    <t xml:space="preserve">      20020004 Srednja strukovna škola Orašje - Federalno 
      ministarstvo obrazovanja i nauke</t>
  </si>
  <si>
    <t xml:space="preserve">   Kapitalni grantovi od županija</t>
  </si>
  <si>
    <t xml:space="preserve">      20020004 Srednja strukovna škola Orašje - Min.poljoprivrede, 
      vodoprivrede i šumarstva ŽP</t>
  </si>
  <si>
    <t xml:space="preserve">      20020002 Srednja škola P.Zečevića Odžak-Strolit,Peplast i ST Company</t>
  </si>
  <si>
    <t xml:space="preserve">      20030006 Osnovna škola A.G.Matoša Vidovice- BH Telecom d.d.</t>
  </si>
  <si>
    <t xml:space="preserve">      20030007 Osnovna škola Braće Radića Domaljevac - BH Telecom d.d.</t>
  </si>
  <si>
    <t xml:space="preserve">      20030006 Osnovna škola A.G.Matoša Vidovice</t>
  </si>
  <si>
    <t xml:space="preserve">     15010001 Min.gospod.,radai prost.uređenja-Prostorni plan</t>
  </si>
  <si>
    <t xml:space="preserve">      20010001 Ministarstvo prosvjete, znanosti, kulture i sporta - 
      Nabavka besplatnih udžbenika</t>
  </si>
  <si>
    <t xml:space="preserve">   Grant od Federalnog zavoda za zapošljavanje-Min.pravosuđa i uprave</t>
  </si>
  <si>
    <t>KA6012</t>
  </si>
  <si>
    <t>KA6013</t>
  </si>
  <si>
    <t xml:space="preserve"> Grantovi za branitelje i stradalnike Domovinskog rata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</si>
  <si>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</si>
  <si>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</si>
  <si>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</si>
  <si>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</si>
  <si>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</si>
  <si>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</si>
  <si>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</si>
  <si>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</si>
  <si>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</si>
  <si>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Ured za obnovu, stambeno zbrinjavanje i raseljene osobe Vlade ŽP</t>
  </si>
  <si>
    <t>Zajednička služba Vlade Županije Posavske</t>
  </si>
  <si>
    <t>ZAJEDNIČKA SLUŽBA VLADE ŽUPANIJE POSAVSKE</t>
  </si>
  <si>
    <t>Služba za odnose s javnošću Vlade Županije Posavske</t>
  </si>
  <si>
    <t>SLUŽBA ZA ODNOSE S JAVNOŠĆU VLADE ŽUPANIJE POSAVSKE</t>
  </si>
  <si>
    <t>Ured za zakonodavstvo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</si>
  <si>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</si>
  <si>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</si>
  <si>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</si>
  <si>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</si>
  <si>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</si>
  <si>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</si>
  <si>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</si>
  <si>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</si>
  <si>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</si>
  <si>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</si>
  <si>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</si>
  <si>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</si>
  <si>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</si>
  <si>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</si>
  <si>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</si>
  <si>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</si>
  <si>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</si>
  <si>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</si>
  <si>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</si>
  <si>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</si>
  <si>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</si>
  <si>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</si>
  <si>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</si>
  <si>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</si>
  <si>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</si>
  <si>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</si>
  <si>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</si>
  <si>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</si>
  <si>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</si>
  <si>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</si>
  <si>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</si>
  <si>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</si>
  <si>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</si>
  <si>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</si>
  <si>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</si>
  <si>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</si>
  <si>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</si>
  <si>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</si>
  <si>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</si>
  <si>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</si>
  <si>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</si>
  <si>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Kapitalni grant za razvoj poduzetništva, obrta i zadruga</t>
  </si>
  <si>
    <t xml:space="preserve"> Kapitalni grant za uređenje poljoprivrednog zemljišta</t>
  </si>
  <si>
    <t>9 (10)</t>
  </si>
  <si>
    <t>10 (11)</t>
  </si>
  <si>
    <t>7 (9)</t>
  </si>
  <si>
    <t>URED ZA RASELJENE</t>
  </si>
  <si>
    <t>Ured za raseljene</t>
  </si>
  <si>
    <t>45.</t>
  </si>
  <si>
    <t>4 (5)</t>
  </si>
  <si>
    <t xml:space="preserve">   Grant od Federalnog zavoda za zapošljavanje - pripravnici</t>
  </si>
  <si>
    <t>25 (26)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</si>
  <si>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</si>
  <si>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</si>
  <si>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</si>
  <si>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</si>
  <si>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</si>
  <si>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</si>
  <si>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</si>
  <si>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</si>
  <si>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</si>
  <si>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</si>
  <si>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</si>
  <si>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</si>
  <si>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</si>
  <si>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</si>
  <si>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</si>
  <si>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</si>
  <si>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</si>
  <si>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</si>
  <si>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</si>
  <si>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</si>
  <si>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</si>
  <si>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</si>
  <si>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</si>
  <si>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</si>
  <si>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</si>
  <si>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</si>
  <si>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</si>
  <si>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</si>
  <si>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</si>
  <si>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</si>
  <si>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</si>
  <si>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</si>
  <si>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</si>
  <si>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</si>
  <si>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</si>
  <si>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</si>
  <si>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</si>
  <si>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</si>
  <si>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</si>
  <si>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</si>
  <si>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</si>
  <si>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</si>
  <si>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</si>
  <si>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</si>
  <si>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</si>
  <si>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</si>
  <si>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</si>
  <si>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</si>
  <si>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</si>
  <si>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</si>
  <si>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>31 (32)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</si>
  <si>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</si>
  <si>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</si>
  <si>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</si>
  <si>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</si>
  <si>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</si>
  <si>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o/č Grant za pomoć pri stambenom zbrinjavanju mladih obitelji 
      i socijalnih kategorija</t>
  </si>
  <si>
    <t xml:space="preserve"> Grant za pomoć pri stambenom zbrinjavanju mladih obitelji 
 i socijalnih kategorija</t>
  </si>
  <si>
    <t>Federacija Bosne i Hercegovine</t>
  </si>
  <si>
    <t>Blaž Župarić, v.r.</t>
  </si>
  <si>
    <t>Povećanje/ smanjenje PRORAČUNA za 2020.</t>
  </si>
  <si>
    <t>Izmjene i dopune PRORAČUNA za 2020.</t>
  </si>
  <si>
    <t>INDEKS 13/9</t>
  </si>
  <si>
    <t>Povećanje/ smanjenje Proračuna za 2020.</t>
  </si>
  <si>
    <t>Povećanje/ smanjenje 
Proračuna 
za 2020.</t>
  </si>
  <si>
    <t>Povećanje/ smajenje Proračuna za 2020.godinu</t>
  </si>
  <si>
    <t xml:space="preserve">     Članak 2. Proračuna mijenja se i glasi:</t>
  </si>
  <si>
    <t>"Prihodi, primici i financiranje" i "Rashodi i izdaci" po grupama utvrđuju se u Računu prihoda i rashoda za 2020.godinu kako slijedi:</t>
  </si>
  <si>
    <t>Proračun Županije Posavske za 2020.godinu sastoji se od:</t>
  </si>
  <si>
    <t xml:space="preserve">     Članak 3. Proračuna mijenja se i glasi:</t>
  </si>
  <si>
    <t>PRORAČUN za 2020./Povećanje/  smanjenje Proračuna za 2020.</t>
  </si>
  <si>
    <t>Članak 4. Proračuna mijenja se i glasi:</t>
  </si>
  <si>
    <t>Predsjednik Skupštine</t>
  </si>
  <si>
    <t>Funkc.klasifik.rashoda i izdataka Izmjena i dopuna Proračuna ŽP za 2020. godinu</t>
  </si>
  <si>
    <t>Izmjene i dopune Proračuna ŽP za 2020. godinu (po korisn.i ek.klasif.izdataka)</t>
  </si>
  <si>
    <t>BA6019</t>
  </si>
  <si>
    <t>48 (56)</t>
  </si>
  <si>
    <t>52 (54)</t>
  </si>
  <si>
    <t>107 (111)</t>
  </si>
  <si>
    <t>38 (40)</t>
  </si>
  <si>
    <t>44 (46)</t>
  </si>
  <si>
    <t>18 (18)</t>
  </si>
  <si>
    <t xml:space="preserve">      20010001 Ministarstvo prosvjete, znanosti, kulture i sporta - Ured za 
      obnovu i stambeno zbrinjavanje</t>
  </si>
  <si>
    <t xml:space="preserve">      20010001 Ministarstvo prosvjete, znanosti, kulture i sporta - Poboljšanje 
      kvalitete prakt.nastave u srednjem obrazovanju</t>
  </si>
  <si>
    <t xml:space="preserve">   Prihodi od iznajmljivanja vozila</t>
  </si>
  <si>
    <t xml:space="preserve">      12010001 Zajednička služba Vlade Županije Posavske</t>
  </si>
  <si>
    <t xml:space="preserve">      19010001 Ministarstvo poljoprivrede, vodoprivrede i šumarstva ŽP</t>
  </si>
  <si>
    <t xml:space="preserve">      20030001 Osnovna škola Orašje u Orašju - Ured za Hrvate izvan RH</t>
  </si>
  <si>
    <t xml:space="preserve">      20010001 Ministarstvo prosvjete, znan.,kulture i sporta - UNICEF</t>
  </si>
  <si>
    <t>EA6002</t>
  </si>
  <si>
    <t xml:space="preserve">      19010001 Minist.poljopr., vodoprivrede i šumarstva</t>
  </si>
  <si>
    <t xml:space="preserve">      19010001 Minist.poljopr., vodoprivrede i šumarstva </t>
  </si>
  <si>
    <t xml:space="preserve">    o/t Prihodi od neizravnih poreza na ime financ.autocesta u FBiH</t>
  </si>
  <si>
    <t xml:space="preserve">    o/t Prihodi od neizravnih poreza koji pripadaju Direkciji cesta</t>
  </si>
  <si>
    <r>
      <t xml:space="preserve">    o/t Prihodi od neizravnih poreza na ime financ.autocesta u FBiH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</si>
  <si>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o/t Prihodi od neizravnih poreza koji pripadaju Direkciji cesta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</si>
  <si>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(razgraničenja)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</si>
  <si>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</si>
  <si>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99999999 Riznica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</si>
  <si>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23010001 Uprava za civilnu zaštitu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</si>
  <si>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o/č Ugovorene i dr.pos.usluge - troškovi izvršenja mjere pritvora</t>
  </si>
  <si>
    <t xml:space="preserve"> Ugovorene i dr.pos.usluge - troškovi izvršenja mjere pritvora</t>
  </si>
  <si>
    <t>41 (46)</t>
  </si>
  <si>
    <t>21 (22)</t>
  </si>
  <si>
    <t xml:space="preserve">      99999999 Riznica ŽP - Paket makrofinancijske potpore EU</t>
  </si>
  <si>
    <t xml:space="preserve">      99999999 Riznica ŽP - Potpora iz sredstava MMF-a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</si>
  <si>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</si>
  <si>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</si>
  <si>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</si>
  <si>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</si>
  <si>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Vanjske otplate - Koreja</t>
  </si>
  <si>
    <t xml:space="preserve"> Vanjske otplate - Austrija</t>
  </si>
  <si>
    <t>216 (217)</t>
  </si>
  <si>
    <t>15 (16)</t>
  </si>
  <si>
    <t>11 (12)</t>
  </si>
  <si>
    <t>950 (985)</t>
  </si>
  <si>
    <t>PRORAČUN za 2020. (NNŽP 15/19, 6/20)</t>
  </si>
  <si>
    <t>PRORAČUN 
za 2020.
(NNŽP 15/19, 6/20)</t>
  </si>
  <si>
    <t>PRORAČUN za 2020.
(NNŽP 15/19, 6/20)</t>
  </si>
  <si>
    <t>PRORAČUN za 
2020.godinu (NNŽP 15/19, 6/20)</t>
  </si>
  <si>
    <t xml:space="preserve">  Prihodi po osnovi premije i provizije za izdano jamstvo</t>
  </si>
  <si>
    <t xml:space="preserve">  Prihodi po osnovi obračunate provizije za izdano jamstvo</t>
  </si>
  <si>
    <t xml:space="preserve">     U Proračunu Županije Posavske za 2020. godinu ("Narodne novine Županije Posavske", broj: 15/19 i 6/20) članak 1. mijenja se i glasi: </t>
  </si>
  <si>
    <t>Izvršenje Proračuna 01.01.-30.09.20.</t>
  </si>
  <si>
    <t xml:space="preserve">      20020003 ŠC Fra M.Nedića u Orašju- Ured za Hrvate uzvan RH</t>
  </si>
  <si>
    <t xml:space="preserve">      20030005 OŠ S.Radića u Boku - Ured za Hrvate uzvan RH</t>
  </si>
  <si>
    <t xml:space="preserve">   Kapitalni grantovi od općina</t>
  </si>
  <si>
    <t xml:space="preserve">   Porez na dobit od poljoprivrednih djelatnosti</t>
  </si>
  <si>
    <t xml:space="preserve">      13010001 Ministarstvo unutarnjih poslova ŽP</t>
  </si>
  <si>
    <t>II. Izmjene i dopune PRORAČUNA 
za 2020.</t>
  </si>
  <si>
    <t>50 (54)</t>
  </si>
  <si>
    <t>50 (53)</t>
  </si>
  <si>
    <t>44 (48)</t>
  </si>
  <si>
    <t>109 (112)</t>
  </si>
  <si>
    <t>29 (29)</t>
  </si>
  <si>
    <t>36 (37)</t>
  </si>
  <si>
    <t>41 (42)</t>
  </si>
  <si>
    <t>19 (20)</t>
  </si>
  <si>
    <t>27 (27)</t>
  </si>
  <si>
    <t>Izvršenje 
Proračuna 
01.01.-30.09.20.</t>
  </si>
  <si>
    <t>939 (958)</t>
  </si>
  <si>
    <t>II. Izmjene i dopune PRORAČUNA za 
2020.godinu</t>
  </si>
  <si>
    <t>II. Izmjene i dopune PRORAČUNA 
za 2020. godinu</t>
  </si>
  <si>
    <t>II. IZMJENE I DOPUNE PRORAČUNA ŽUPANIJE POSAVSKE ZA 2020. GODINU (po korisnicima i ekonomskim klasifikacijama izdataka)</t>
  </si>
  <si>
    <t>FUNKCIJSKA KLASIFIKACIJA RASHODA I IZDATAKA II. IZMJENA I DOPUNA PRORAČUNA ŽUPANIJE POSAVSKE ZA 2020.GODINU</t>
  </si>
  <si>
    <r>
      <t>II. IZMJENE I DOPUNE 
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2020. godinu</t>
    </r>
  </si>
  <si>
    <t xml:space="preserve">     20020003 Školski centar fra Martina Nedića u Orašju - elem.nepogoda</t>
  </si>
  <si>
    <t xml:space="preserve"> Naknade troškova zaposlenih - volonteri (20)</t>
  </si>
  <si>
    <t xml:space="preserve"> Ugovorene i dr. posebne usluge-volonteri (20)</t>
  </si>
  <si>
    <t xml:space="preserve"> o/č Ugovorene i druge posebne usluge-volonterski rad (20)</t>
  </si>
  <si>
    <t>II. IZMJENE I DOPUNE PRORAČUNA</t>
  </si>
  <si>
    <t>28 (29)</t>
  </si>
  <si>
    <t>20 (20)</t>
  </si>
  <si>
    <t>42 (43)</t>
  </si>
  <si>
    <t>29 (31)</t>
  </si>
  <si>
    <t>53 (54)</t>
  </si>
  <si>
    <t>43 (47)</t>
  </si>
  <si>
    <t>50 (55)</t>
  </si>
  <si>
    <t>950 (970)</t>
  </si>
  <si>
    <t>Domaljevac, prosinac 2020. godine</t>
  </si>
  <si>
    <t xml:space="preserve">     II. Izmjene i dopune Proračuna Županije Posavske za 2020. godinu stupaju na snagu narednog dana od dana objave u "Narodnim novinama Županije Posavske".</t>
  </si>
  <si>
    <t>II. Izmjene i dopune PRORAČUNA za 2020. godinu</t>
  </si>
  <si>
    <t>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104/16, 5/18, 11/19 i 99/19), Skupština Županije Posavske na VI.izvanrednoj sjednici održanoj dana 8.12.2020. godine usvaja</t>
  </si>
  <si>
    <t>Broj: 01-11-84/20</t>
  </si>
  <si>
    <t>Domaljevac, 8.12.2020.g.</t>
  </si>
</sst>
</file>

<file path=xl/styles.xml><?xml version="1.0" encoding="utf-8"?>
<styleSheet xmlns="http://schemas.openxmlformats.org/spreadsheetml/2006/main">
  <numFmts count="6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#,##0.0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rgb="FF9C0006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53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2" fillId="0" borderId="10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2" fillId="0" borderId="19" xfId="3" applyNumberFormat="1" applyBorder="1"/>
    <xf numFmtId="4" fontId="7" fillId="0" borderId="0" xfId="3" applyNumberFormat="1" applyFont="1" applyAlignment="1">
      <alignment horizontal="left"/>
    </xf>
    <xf numFmtId="4" fontId="2" fillId="0" borderId="21" xfId="3" applyNumberFormat="1" applyBorder="1"/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20" xfId="3" applyNumberFormat="1" applyFont="1" applyBorder="1" applyAlignment="1">
      <alignment horizontal="right"/>
    </xf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1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" fontId="10" fillId="0" borderId="18" xfId="0" applyNumberFormat="1" applyFont="1" applyFill="1" applyBorder="1"/>
    <xf numFmtId="0" fontId="10" fillId="0" borderId="3" xfId="0" applyFont="1" applyBorder="1" applyAlignment="1">
      <alignment horizontal="right"/>
    </xf>
    <xf numFmtId="3" fontId="15" fillId="0" borderId="8" xfId="0" applyNumberFormat="1" applyFont="1" applyFill="1" applyBorder="1"/>
    <xf numFmtId="4" fontId="10" fillId="0" borderId="18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8" xfId="0" applyNumberFormat="1" applyFont="1" applyFill="1" applyBorder="1"/>
    <xf numFmtId="3" fontId="16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8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5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0" fontId="10" fillId="0" borderId="25" xfId="0" applyFont="1" applyBorder="1" applyAlignment="1">
      <alignment horizontal="right"/>
    </xf>
    <xf numFmtId="0" fontId="0" fillId="0" borderId="12" xfId="0" applyBorder="1"/>
    <xf numFmtId="4" fontId="22" fillId="6" borderId="18" xfId="0" applyNumberFormat="1" applyFont="1" applyFill="1" applyBorder="1"/>
    <xf numFmtId="4" fontId="8" fillId="6" borderId="18" xfId="0" applyNumberFormat="1" applyFont="1" applyFill="1" applyBorder="1"/>
    <xf numFmtId="4" fontId="10" fillId="0" borderId="28" xfId="0" applyNumberFormat="1" applyFont="1" applyBorder="1"/>
    <xf numFmtId="4" fontId="10" fillId="0" borderId="28" xfId="0" applyNumberFormat="1" applyFont="1" applyFill="1" applyBorder="1"/>
    <xf numFmtId="4" fontId="22" fillId="0" borderId="18" xfId="0" applyNumberFormat="1" applyFont="1" applyBorder="1"/>
    <xf numFmtId="4" fontId="22" fillId="6" borderId="29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8" xfId="0" applyNumberFormat="1" applyFont="1" applyFill="1" applyBorder="1"/>
    <xf numFmtId="4" fontId="27" fillId="0" borderId="18" xfId="0" applyNumberFormat="1" applyFont="1" applyBorder="1"/>
    <xf numFmtId="4" fontId="27" fillId="0" borderId="18" xfId="0" applyNumberFormat="1" applyFont="1" applyFill="1" applyBorder="1"/>
    <xf numFmtId="0" fontId="3" fillId="2" borderId="17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6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0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8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18" xfId="0" applyNumberFormat="1" applyFont="1" applyBorder="1"/>
    <xf numFmtId="3" fontId="2" fillId="0" borderId="8" xfId="0" applyNumberFormat="1" applyFont="1" applyFill="1" applyBorder="1"/>
    <xf numFmtId="4" fontId="2" fillId="0" borderId="31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0" fontId="28" fillId="0" borderId="4" xfId="3" applyFont="1" applyFill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8" fillId="0" borderId="4" xfId="0" applyFont="1" applyBorder="1"/>
    <xf numFmtId="0" fontId="28" fillId="0" borderId="12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0" fontId="3" fillId="0" borderId="14" xfId="3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8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20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8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4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2" xfId="3" applyFont="1" applyFill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17" fillId="0" borderId="10" xfId="3" applyFont="1" applyBorder="1" applyAlignment="1">
      <alignment horizontal="center" vertical="top"/>
    </xf>
    <xf numFmtId="0" fontId="34" fillId="0" borderId="10" xfId="3" applyFont="1" applyBorder="1" applyAlignment="1">
      <alignment horizontal="center" vertical="top"/>
    </xf>
    <xf numFmtId="0" fontId="17" fillId="0" borderId="10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34" fillId="0" borderId="16" xfId="3" applyFont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3" applyNumberFormat="1" applyFont="1" applyBorder="1" applyAlignment="1">
      <alignment horizontal="center" vertical="top"/>
    </xf>
    <xf numFmtId="0" fontId="17" fillId="0" borderId="10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2" xfId="3" applyFont="1" applyFill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2" xfId="3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164" fontId="21" fillId="0" borderId="14" xfId="0" applyNumberFormat="1" applyFont="1" applyBorder="1" applyAlignment="1"/>
    <xf numFmtId="4" fontId="32" fillId="0" borderId="20" xfId="3" applyNumberFormat="1" applyFont="1" applyBorder="1" applyAlignment="1">
      <alignment horizontal="center"/>
    </xf>
    <xf numFmtId="4" fontId="32" fillId="0" borderId="20" xfId="3" applyNumberFormat="1" applyFont="1" applyFill="1" applyBorder="1"/>
    <xf numFmtId="4" fontId="21" fillId="0" borderId="20" xfId="3" applyNumberFormat="1" applyFont="1" applyFill="1" applyBorder="1"/>
    <xf numFmtId="4" fontId="21" fillId="0" borderId="20" xfId="3" applyNumberFormat="1" applyFont="1" applyBorder="1"/>
    <xf numFmtId="4" fontId="21" fillId="0" borderId="21" xfId="3" applyNumberFormat="1" applyFont="1" applyBorder="1"/>
    <xf numFmtId="4" fontId="21" fillId="0" borderId="0" xfId="3" applyNumberFormat="1" applyFont="1"/>
    <xf numFmtId="4" fontId="32" fillId="0" borderId="21" xfId="3" applyNumberFormat="1" applyFont="1" applyBorder="1"/>
    <xf numFmtId="4" fontId="21" fillId="0" borderId="15" xfId="3" applyNumberFormat="1" applyFont="1" applyBorder="1"/>
    <xf numFmtId="4" fontId="32" fillId="0" borderId="20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10" xfId="12" applyNumberFormat="1" applyFont="1" applyBorder="1"/>
    <xf numFmtId="3" fontId="4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0" fontId="9" fillId="6" borderId="42" xfId="3" applyFont="1" applyFill="1" applyBorder="1" applyAlignment="1">
      <alignment horizontal="left"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6" fillId="0" borderId="15" xfId="3" applyNumberFormat="1" applyFont="1" applyBorder="1"/>
    <xf numFmtId="3" fontId="12" fillId="6" borderId="4" xfId="12" applyNumberFormat="1" applyFont="1" applyFill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20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20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10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10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7" xfId="0" applyNumberFormat="1" applyFont="1" applyFill="1" applyBorder="1"/>
    <xf numFmtId="3" fontId="37" fillId="0" borderId="8" xfId="0" applyNumberFormat="1" applyFont="1" applyFill="1" applyBorder="1"/>
    <xf numFmtId="3" fontId="36" fillId="0" borderId="27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30" xfId="0" applyNumberFormat="1" applyFont="1" applyFill="1" applyBorder="1"/>
    <xf numFmtId="0" fontId="36" fillId="0" borderId="0" xfId="0" applyFont="1"/>
    <xf numFmtId="0" fontId="26" fillId="0" borderId="27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/>
    </xf>
    <xf numFmtId="2" fontId="21" fillId="0" borderId="22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>
      <alignment horizontal="left" vertical="center"/>
    </xf>
    <xf numFmtId="0" fontId="39" fillId="4" borderId="22" xfId="0" applyFont="1" applyFill="1" applyBorder="1" applyAlignment="1">
      <alignment horizontal="center" vertic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0" fontId="32" fillId="4" borderId="23" xfId="0" applyFont="1" applyFill="1" applyBorder="1" applyAlignment="1"/>
    <xf numFmtId="0" fontId="39" fillId="4" borderId="23" xfId="0" applyFont="1" applyFill="1" applyBorder="1" applyAlignment="1">
      <alignment horizontal="center"/>
    </xf>
    <xf numFmtId="3" fontId="32" fillId="4" borderId="23" xfId="0" applyNumberFormat="1" applyFont="1" applyFill="1" applyBorder="1" applyAlignment="1"/>
    <xf numFmtId="2" fontId="32" fillId="4" borderId="23" xfId="0" applyNumberFormat="1" applyFont="1" applyFill="1" applyBorder="1" applyAlignment="1">
      <alignment horizontal="right" vertical="center"/>
    </xf>
    <xf numFmtId="3" fontId="32" fillId="4" borderId="22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4" xfId="0" applyFont="1" applyFill="1" applyBorder="1" applyAlignment="1"/>
    <xf numFmtId="0" fontId="39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/>
    <xf numFmtId="2" fontId="21" fillId="0" borderId="24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2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3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4" xfId="0" applyFont="1" applyFill="1" applyBorder="1"/>
    <xf numFmtId="3" fontId="1" fillId="0" borderId="8" xfId="0" applyNumberFormat="1" applyFont="1" applyFill="1" applyBorder="1"/>
    <xf numFmtId="3" fontId="1" fillId="0" borderId="27" xfId="0" applyNumberFormat="1" applyFont="1" applyFill="1" applyBorder="1"/>
    <xf numFmtId="17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3" fontId="29" fillId="0" borderId="0" xfId="2" applyNumberFormat="1" applyFont="1" applyFill="1"/>
    <xf numFmtId="3" fontId="1" fillId="0" borderId="0" xfId="6" applyNumberFormat="1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8" fillId="0" borderId="8" xfId="12" applyNumberFormat="1" applyFont="1" applyFill="1" applyBorder="1" applyAlignment="1">
      <alignment horizontal="right"/>
    </xf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3" fontId="10" fillId="0" borderId="10" xfId="3" applyNumberFormat="1" applyFont="1" applyFill="1" applyBorder="1"/>
    <xf numFmtId="0" fontId="2" fillId="0" borderId="10" xfId="3" applyBorder="1"/>
    <xf numFmtId="0" fontId="18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3" fillId="0" borderId="18" xfId="3" applyNumberFormat="1" applyFont="1" applyBorder="1"/>
    <xf numFmtId="0" fontId="2" fillId="0" borderId="18" xfId="3" applyBorder="1"/>
    <xf numFmtId="0" fontId="2" fillId="0" borderId="31" xfId="3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8" fillId="0" borderId="3" xfId="12" applyNumberFormat="1" applyFont="1" applyFill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3" fontId="2" fillId="0" borderId="9" xfId="3" applyNumberFormat="1" applyBorder="1"/>
    <xf numFmtId="0" fontId="3" fillId="0" borderId="25" xfId="3" applyFont="1" applyFill="1" applyBorder="1" applyAlignment="1">
      <alignment horizontal="center" vertical="center" wrapText="1"/>
    </xf>
    <xf numFmtId="3" fontId="3" fillId="0" borderId="3" xfId="4" applyNumberFormat="1" applyFont="1" applyFill="1" applyBorder="1"/>
    <xf numFmtId="3" fontId="10" fillId="0" borderId="3" xfId="4" applyNumberFormat="1" applyFill="1" applyBorder="1"/>
    <xf numFmtId="3" fontId="2" fillId="0" borderId="3" xfId="3" applyNumberFormat="1" applyBorder="1"/>
    <xf numFmtId="3" fontId="3" fillId="3" borderId="3" xfId="3" applyNumberFormat="1" applyFont="1" applyFill="1" applyBorder="1"/>
    <xf numFmtId="3" fontId="3" fillId="0" borderId="3" xfId="3" applyNumberFormat="1" applyFont="1" applyBorder="1"/>
    <xf numFmtId="3" fontId="2" fillId="0" borderId="3" xfId="3" applyNumberFormat="1" applyFill="1" applyBorder="1"/>
    <xf numFmtId="3" fontId="3" fillId="0" borderId="3" xfId="3" applyNumberFormat="1" applyFont="1" applyFill="1" applyBorder="1" applyAlignment="1">
      <alignment horizontal="right"/>
    </xf>
    <xf numFmtId="3" fontId="2" fillId="0" borderId="5" xfId="3" applyNumberFormat="1" applyBorder="1"/>
    <xf numFmtId="3" fontId="2" fillId="0" borderId="8" xfId="3" applyNumberFormat="1" applyBorder="1"/>
    <xf numFmtId="0" fontId="8" fillId="0" borderId="25" xfId="3" applyFont="1" applyFill="1" applyBorder="1" applyAlignment="1">
      <alignment horizontal="center" vertical="center" wrapText="1"/>
    </xf>
    <xf numFmtId="3" fontId="3" fillId="0" borderId="3" xfId="3" applyNumberFormat="1" applyFont="1" applyFill="1" applyBorder="1"/>
    <xf numFmtId="0" fontId="3" fillId="0" borderId="12" xfId="3" applyFont="1" applyBorder="1" applyAlignment="1">
      <alignment horizontal="center"/>
    </xf>
    <xf numFmtId="3" fontId="3" fillId="7" borderId="3" xfId="4" applyNumberFormat="1" applyFont="1" applyFill="1" applyBorder="1"/>
    <xf numFmtId="3" fontId="10" fillId="7" borderId="3" xfId="4" applyNumberFormat="1" applyFill="1" applyBorder="1"/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3" fillId="0" borderId="4" xfId="4" applyNumberFormat="1" applyFont="1" applyFill="1" applyBorder="1" applyProtection="1"/>
    <xf numFmtId="3" fontId="4" fillId="0" borderId="4" xfId="4" applyNumberFormat="1" applyFont="1" applyFill="1" applyBorder="1" applyProtection="1"/>
    <xf numFmtId="3" fontId="10" fillId="0" borderId="4" xfId="4" applyNumberFormat="1" applyFill="1" applyBorder="1" applyProtection="1"/>
    <xf numFmtId="3" fontId="4" fillId="0" borderId="4" xfId="3" applyNumberFormat="1" applyFont="1" applyBorder="1" applyProtection="1"/>
    <xf numFmtId="3" fontId="3" fillId="3" borderId="4" xfId="3" applyNumberFormat="1" applyFont="1" applyFill="1" applyBorder="1" applyProtection="1"/>
    <xf numFmtId="3" fontId="2" fillId="0" borderId="4" xfId="3" applyNumberFormat="1" applyFill="1" applyBorder="1" applyProtection="1"/>
    <xf numFmtId="3" fontId="10" fillId="0" borderId="4" xfId="3" applyNumberFormat="1" applyFont="1" applyFill="1" applyBorder="1" applyProtection="1"/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0" fontId="8" fillId="0" borderId="25" xfId="3" applyFont="1" applyFill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4" applyNumberFormat="1" applyFont="1" applyFill="1" applyBorder="1" applyProtection="1"/>
    <xf numFmtId="3" fontId="4" fillId="0" borderId="3" xfId="4" applyNumberFormat="1" applyFont="1" applyFill="1" applyBorder="1" applyProtection="1"/>
    <xf numFmtId="3" fontId="10" fillId="0" borderId="3" xfId="4" applyNumberFormat="1" applyFill="1" applyBorder="1" applyProtection="1"/>
    <xf numFmtId="3" fontId="4" fillId="0" borderId="3" xfId="3" applyNumberFormat="1" applyFont="1" applyBorder="1" applyProtection="1"/>
    <xf numFmtId="3" fontId="3" fillId="3" borderId="3" xfId="3" applyNumberFormat="1" applyFont="1" applyFill="1" applyBorder="1" applyProtection="1"/>
    <xf numFmtId="3" fontId="2" fillId="0" borderId="3" xfId="3" applyNumberFormat="1" applyFill="1" applyBorder="1" applyProtection="1"/>
    <xf numFmtId="3" fontId="10" fillId="0" borderId="3" xfId="3" applyNumberFormat="1" applyFont="1" applyFill="1" applyBorder="1" applyProtection="1"/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3" fontId="4" fillId="7" borderId="3" xfId="4" applyNumberFormat="1" applyFont="1" applyFill="1" applyBorder="1"/>
    <xf numFmtId="3" fontId="4" fillId="0" borderId="3" xfId="3" applyNumberFormat="1" applyFont="1" applyBorder="1"/>
    <xf numFmtId="3" fontId="4" fillId="0" borderId="3" xfId="3" applyNumberFormat="1" applyFont="1" applyFill="1" applyBorder="1"/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3" fontId="4" fillId="0" borderId="3" xfId="4" applyNumberFormat="1" applyFont="1" applyFill="1" applyBorder="1"/>
    <xf numFmtId="3" fontId="3" fillId="0" borderId="3" xfId="3" applyNumberFormat="1" applyFont="1" applyBorder="1" applyAlignment="1">
      <alignment horizontal="right"/>
    </xf>
    <xf numFmtId="3" fontId="8" fillId="0" borderId="3" xfId="3" applyNumberFormat="1" applyFont="1" applyFill="1" applyBorder="1"/>
    <xf numFmtId="3" fontId="10" fillId="0" borderId="3" xfId="4" applyNumberFormat="1" applyFont="1" applyFill="1" applyBorder="1"/>
    <xf numFmtId="3" fontId="4" fillId="0" borderId="3" xfId="3" applyNumberFormat="1" applyFont="1" applyFill="1" applyBorder="1" applyAlignment="1">
      <alignment vertical="center"/>
    </xf>
    <xf numFmtId="3" fontId="4" fillId="0" borderId="8" xfId="3" applyNumberFormat="1" applyFont="1" applyFill="1" applyBorder="1"/>
    <xf numFmtId="3" fontId="3" fillId="0" borderId="8" xfId="3" applyNumberFormat="1" applyFont="1" applyFill="1" applyBorder="1"/>
    <xf numFmtId="3" fontId="3" fillId="0" borderId="9" xfId="3" applyNumberFormat="1" applyFont="1" applyBorder="1"/>
    <xf numFmtId="3" fontId="3" fillId="0" borderId="5" xfId="3" applyNumberFormat="1" applyFont="1" applyBorder="1"/>
    <xf numFmtId="3" fontId="3" fillId="0" borderId="32" xfId="3" applyNumberFormat="1" applyFont="1" applyFill="1" applyBorder="1"/>
    <xf numFmtId="3" fontId="2" fillId="0" borderId="18" xfId="3" applyNumberFormat="1" applyBorder="1"/>
    <xf numFmtId="0" fontId="0" fillId="0" borderId="10" xfId="0" applyBorder="1" applyAlignment="1">
      <alignment wrapText="1"/>
    </xf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43" fillId="0" borderId="0" xfId="3" applyFont="1" applyFill="1" applyAlignment="1">
      <alignment vertical="center"/>
    </xf>
    <xf numFmtId="3" fontId="2" fillId="0" borderId="0" xfId="3" applyNumberFormat="1" applyFill="1"/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" fillId="0" borderId="3" xfId="3" applyFont="1" applyFill="1" applyBorder="1" applyAlignment="1">
      <alignment horizontal="right"/>
    </xf>
    <xf numFmtId="0" fontId="3" fillId="0" borderId="4" xfId="3" applyFont="1" applyFill="1" applyBorder="1" applyAlignment="1">
      <alignment horizontal="right"/>
    </xf>
    <xf numFmtId="3" fontId="3" fillId="0" borderId="4" xfId="3" applyNumberFormat="1" applyFont="1" applyBorder="1" applyAlignment="1" applyProtection="1">
      <alignment horizontal="right"/>
    </xf>
    <xf numFmtId="3" fontId="3" fillId="0" borderId="3" xfId="3" applyNumberFormat="1" applyFont="1" applyFill="1" applyBorder="1" applyAlignment="1" applyProtection="1">
      <alignment horizontal="right"/>
    </xf>
    <xf numFmtId="0" fontId="33" fillId="0" borderId="5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/>
    <xf numFmtId="0" fontId="33" fillId="0" borderId="46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3" fontId="8" fillId="0" borderId="4" xfId="3" applyNumberFormat="1" applyFont="1" applyBorder="1"/>
    <xf numFmtId="3" fontId="8" fillId="0" borderId="18" xfId="3" applyNumberFormat="1" applyFont="1" applyBorder="1"/>
    <xf numFmtId="0" fontId="2" fillId="0" borderId="12" xfId="3" applyBorder="1"/>
    <xf numFmtId="0" fontId="2" fillId="0" borderId="11" xfId="3" applyBorder="1"/>
    <xf numFmtId="0" fontId="2" fillId="0" borderId="27" xfId="3" applyBorder="1"/>
    <xf numFmtId="0" fontId="2" fillId="0" borderId="16" xfId="3" applyBorder="1"/>
    <xf numFmtId="0" fontId="3" fillId="0" borderId="11" xfId="3" applyFont="1" applyBorder="1"/>
    <xf numFmtId="49" fontId="31" fillId="0" borderId="4" xfId="3" applyNumberFormat="1" applyFont="1" applyBorder="1" applyAlignment="1">
      <alignment horizontal="center"/>
    </xf>
    <xf numFmtId="49" fontId="31" fillId="0" borderId="4" xfId="3" applyNumberFormat="1" applyFont="1" applyFill="1" applyBorder="1" applyAlignment="1">
      <alignment horizontal="center"/>
    </xf>
    <xf numFmtId="49" fontId="31" fillId="0" borderId="4" xfId="3" applyNumberFormat="1" applyFont="1" applyBorder="1"/>
    <xf numFmtId="49" fontId="33" fillId="0" borderId="8" xfId="3" applyNumberFormat="1" applyFont="1" applyBorder="1" applyAlignment="1">
      <alignment vertical="center"/>
    </xf>
    <xf numFmtId="49" fontId="33" fillId="0" borderId="12" xfId="3" applyNumberFormat="1" applyFont="1" applyBorder="1"/>
    <xf numFmtId="49" fontId="33" fillId="0" borderId="4" xfId="3" applyNumberFormat="1" applyFont="1" applyBorder="1"/>
    <xf numFmtId="49" fontId="33" fillId="0" borderId="4" xfId="3" applyNumberFormat="1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/>
    </xf>
    <xf numFmtId="0" fontId="1" fillId="0" borderId="4" xfId="3" applyFont="1" applyFill="1" applyBorder="1"/>
    <xf numFmtId="0" fontId="34" fillId="0" borderId="16" xfId="3" applyFont="1" applyFill="1" applyBorder="1" applyAlignment="1">
      <alignment horizontal="center" vertical="top"/>
    </xf>
    <xf numFmtId="0" fontId="28" fillId="0" borderId="12" xfId="3" applyFont="1" applyFill="1" applyBorder="1"/>
    <xf numFmtId="49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/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0" xfId="0" applyAlignment="1"/>
    <xf numFmtId="0" fontId="0" fillId="0" borderId="0" xfId="0"/>
    <xf numFmtId="0" fontId="33" fillId="0" borderId="46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3" fontId="1" fillId="0" borderId="8" xfId="0" applyNumberFormat="1" applyFont="1" applyBorder="1"/>
    <xf numFmtId="3" fontId="1" fillId="0" borderId="27" xfId="0" applyNumberFormat="1" applyFont="1" applyBorder="1"/>
    <xf numFmtId="0" fontId="7" fillId="0" borderId="0" xfId="12" applyFont="1" applyAlignment="1">
      <alignment horizontal="left"/>
    </xf>
    <xf numFmtId="0" fontId="28" fillId="0" borderId="0" xfId="12" applyFont="1" applyFill="1" applyAlignment="1">
      <alignment horizontal="left"/>
    </xf>
    <xf numFmtId="4" fontId="7" fillId="0" borderId="0" xfId="12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3" fillId="0" borderId="3" xfId="12" applyNumberFormat="1" applyFont="1" applyBorder="1"/>
    <xf numFmtId="3" fontId="3" fillId="0" borderId="3" xfId="12" applyNumberFormat="1" applyFont="1" applyFill="1" applyBorder="1"/>
    <xf numFmtId="3" fontId="3" fillId="3" borderId="3" xfId="12" applyNumberFormat="1" applyFont="1" applyFill="1" applyBorder="1"/>
    <xf numFmtId="3" fontId="3" fillId="0" borderId="26" xfId="3" applyNumberFormat="1" applyFont="1" applyFill="1" applyBorder="1" applyAlignment="1">
      <alignment horizontal="right"/>
    </xf>
    <xf numFmtId="3" fontId="2" fillId="0" borderId="26" xfId="3" applyNumberFormat="1" applyFill="1" applyBorder="1"/>
    <xf numFmtId="3" fontId="3" fillId="0" borderId="26" xfId="3" applyNumberFormat="1" applyFont="1" applyBorder="1"/>
    <xf numFmtId="3" fontId="3" fillId="0" borderId="26" xfId="4" applyNumberFormat="1" applyFont="1" applyFill="1" applyBorder="1"/>
    <xf numFmtId="3" fontId="2" fillId="0" borderId="26" xfId="3" applyNumberFormat="1" applyBorder="1"/>
    <xf numFmtId="3" fontId="3" fillId="3" borderId="26" xfId="3" applyNumberFormat="1" applyFont="1" applyFill="1" applyBorder="1"/>
    <xf numFmtId="3" fontId="4" fillId="0" borderId="26" xfId="3" applyNumberFormat="1" applyFont="1" applyBorder="1"/>
    <xf numFmtId="3" fontId="4" fillId="0" borderId="26" xfId="3" applyNumberFormat="1" applyFont="1" applyFill="1" applyBorder="1"/>
    <xf numFmtId="3" fontId="10" fillId="0" borderId="26" xfId="3" applyNumberFormat="1" applyFont="1" applyFill="1" applyBorder="1"/>
    <xf numFmtId="3" fontId="3" fillId="0" borderId="18" xfId="12" applyNumberFormat="1" applyFont="1" applyFill="1" applyBorder="1" applyAlignment="1">
      <alignment horizontal="right"/>
    </xf>
    <xf numFmtId="3" fontId="1" fillId="0" borderId="18" xfId="12" applyNumberFormat="1" applyFill="1" applyBorder="1"/>
    <xf numFmtId="3" fontId="3" fillId="0" borderId="18" xfId="12" applyNumberFormat="1" applyFont="1" applyBorder="1"/>
    <xf numFmtId="3" fontId="3" fillId="0" borderId="18" xfId="12" applyNumberFormat="1" applyFont="1" applyFill="1" applyBorder="1"/>
    <xf numFmtId="3" fontId="1" fillId="0" borderId="18" xfId="12" applyNumberFormat="1" applyBorder="1"/>
    <xf numFmtId="3" fontId="3" fillId="3" borderId="18" xfId="12" applyNumberFormat="1" applyFont="1" applyFill="1" applyBorder="1"/>
    <xf numFmtId="3" fontId="4" fillId="0" borderId="18" xfId="12" applyNumberFormat="1" applyFont="1" applyBorder="1"/>
    <xf numFmtId="3" fontId="4" fillId="0" borderId="18" xfId="12" applyNumberFormat="1" applyFont="1" applyFill="1" applyBorder="1" applyAlignment="1">
      <alignment vertical="center"/>
    </xf>
    <xf numFmtId="3" fontId="4" fillId="0" borderId="18" xfId="12" applyNumberFormat="1" applyFont="1" applyFill="1" applyBorder="1"/>
    <xf numFmtId="0" fontId="12" fillId="6" borderId="28" xfId="3" applyFont="1" applyFill="1" applyBorder="1" applyAlignment="1">
      <alignment horizontal="center" vertical="center" wrapText="1"/>
    </xf>
    <xf numFmtId="0" fontId="18" fillId="6" borderId="18" xfId="3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/>
    </xf>
    <xf numFmtId="3" fontId="12" fillId="6" borderId="18" xfId="4" applyNumberFormat="1" applyFont="1" applyFill="1" applyBorder="1"/>
    <xf numFmtId="3" fontId="6" fillId="6" borderId="18" xfId="4" applyNumberFormat="1" applyFont="1" applyFill="1" applyBorder="1"/>
    <xf numFmtId="3" fontId="6" fillId="6" borderId="18" xfId="3" applyNumberFormat="1" applyFont="1" applyFill="1" applyBorder="1"/>
    <xf numFmtId="3" fontId="12" fillId="6" borderId="18" xfId="3" applyNumberFormat="1" applyFont="1" applyFill="1" applyBorder="1"/>
    <xf numFmtId="3" fontId="12" fillId="6" borderId="18" xfId="3" applyNumberFormat="1" applyFont="1" applyFill="1" applyBorder="1" applyAlignment="1">
      <alignment horizontal="right"/>
    </xf>
    <xf numFmtId="3" fontId="6" fillId="6" borderId="31" xfId="3" applyNumberFormat="1" applyFont="1" applyFill="1" applyBorder="1"/>
    <xf numFmtId="0" fontId="12" fillId="6" borderId="20" xfId="3" applyFont="1" applyFill="1" applyBorder="1" applyAlignment="1">
      <alignment horizontal="center"/>
    </xf>
    <xf numFmtId="3" fontId="12" fillId="6" borderId="20" xfId="3" applyNumberFormat="1" applyFont="1" applyFill="1" applyBorder="1" applyAlignment="1">
      <alignment horizontal="right"/>
    </xf>
    <xf numFmtId="3" fontId="6" fillId="6" borderId="20" xfId="3" applyNumberFormat="1" applyFont="1" applyFill="1" applyBorder="1"/>
    <xf numFmtId="3" fontId="12" fillId="6" borderId="20" xfId="3" applyNumberFormat="1" applyFont="1" applyFill="1" applyBorder="1"/>
    <xf numFmtId="3" fontId="12" fillId="6" borderId="20" xfId="4" applyNumberFormat="1" applyFont="1" applyFill="1" applyBorder="1"/>
    <xf numFmtId="0" fontId="6" fillId="6" borderId="18" xfId="3" applyFont="1" applyFill="1" applyBorder="1"/>
    <xf numFmtId="0" fontId="6" fillId="6" borderId="31" xfId="3" applyFont="1" applyFill="1" applyBorder="1"/>
    <xf numFmtId="3" fontId="8" fillId="0" borderId="3" xfId="3" applyNumberFormat="1" applyFont="1" applyBorder="1"/>
    <xf numFmtId="3" fontId="22" fillId="6" borderId="18" xfId="3" applyNumberFormat="1" applyFont="1" applyFill="1" applyBorder="1"/>
    <xf numFmtId="3" fontId="3" fillId="0" borderId="8" xfId="4" applyNumberFormat="1" applyFont="1" applyFill="1" applyBorder="1"/>
    <xf numFmtId="3" fontId="10" fillId="0" borderId="8" xfId="4" applyNumberFormat="1" applyFill="1" applyBorder="1"/>
    <xf numFmtId="3" fontId="2" fillId="0" borderId="8" xfId="3" applyNumberFormat="1" applyFill="1" applyBorder="1"/>
    <xf numFmtId="3" fontId="1" fillId="0" borderId="8" xfId="12" applyNumberFormat="1" applyFill="1" applyBorder="1"/>
    <xf numFmtId="3" fontId="4" fillId="0" borderId="8" xfId="12" applyNumberFormat="1" applyFont="1" applyFill="1" applyBorder="1"/>
    <xf numFmtId="3" fontId="3" fillId="0" borderId="8" xfId="3" applyNumberFormat="1" applyFont="1" applyFill="1" applyBorder="1" applyAlignment="1">
      <alignment horizontal="right"/>
    </xf>
    <xf numFmtId="3" fontId="3" fillId="0" borderId="8" xfId="12" applyNumberFormat="1" applyFont="1" applyFill="1" applyBorder="1"/>
    <xf numFmtId="3" fontId="3" fillId="0" borderId="8" xfId="12" applyNumberFormat="1" applyFont="1" applyBorder="1"/>
    <xf numFmtId="3" fontId="3" fillId="0" borderId="8" xfId="12" applyNumberFormat="1" applyFont="1" applyFill="1" applyBorder="1" applyAlignment="1">
      <alignment horizontal="right"/>
    </xf>
    <xf numFmtId="0" fontId="12" fillId="6" borderId="28" xfId="3" applyFont="1" applyFill="1" applyBorder="1" applyAlignment="1" applyProtection="1">
      <alignment horizontal="center" vertical="center" wrapText="1"/>
    </xf>
    <xf numFmtId="0" fontId="18" fillId="6" borderId="18" xfId="3" applyFont="1" applyFill="1" applyBorder="1" applyAlignment="1" applyProtection="1">
      <alignment horizontal="center"/>
    </xf>
    <xf numFmtId="3" fontId="12" fillId="6" borderId="18" xfId="3" applyNumberFormat="1" applyFont="1" applyFill="1" applyBorder="1" applyAlignment="1" applyProtection="1">
      <alignment horizontal="center"/>
    </xf>
    <xf numFmtId="3" fontId="12" fillId="6" borderId="18" xfId="4" applyNumberFormat="1" applyFont="1" applyFill="1" applyBorder="1" applyProtection="1"/>
    <xf numFmtId="3" fontId="6" fillId="6" borderId="18" xfId="4" applyNumberFormat="1" applyFont="1" applyFill="1" applyBorder="1" applyProtection="1"/>
    <xf numFmtId="3" fontId="6" fillId="6" borderId="18" xfId="3" applyNumberFormat="1" applyFont="1" applyFill="1" applyBorder="1" applyProtection="1"/>
    <xf numFmtId="3" fontId="12" fillId="6" borderId="18" xfId="3" applyNumberFormat="1" applyFont="1" applyFill="1" applyBorder="1" applyProtection="1"/>
    <xf numFmtId="3" fontId="12" fillId="6" borderId="18" xfId="3" applyNumberFormat="1" applyFont="1" applyFill="1" applyBorder="1" applyAlignment="1" applyProtection="1">
      <alignment horizontal="right"/>
    </xf>
    <xf numFmtId="3" fontId="6" fillId="6" borderId="31" xfId="3" applyNumberFormat="1" applyFont="1" applyFill="1" applyBorder="1" applyProtection="1"/>
    <xf numFmtId="3" fontId="3" fillId="0" borderId="8" xfId="4" applyNumberFormat="1" applyFont="1" applyFill="1" applyBorder="1" applyProtection="1"/>
    <xf numFmtId="3" fontId="4" fillId="0" borderId="8" xfId="4" applyNumberFormat="1" applyFont="1" applyFill="1" applyBorder="1" applyProtection="1"/>
    <xf numFmtId="3" fontId="10" fillId="0" borderId="8" xfId="4" applyNumberFormat="1" applyFill="1" applyBorder="1" applyProtection="1"/>
    <xf numFmtId="3" fontId="4" fillId="0" borderId="8" xfId="3" applyNumberFormat="1" applyFont="1" applyBorder="1" applyProtection="1"/>
    <xf numFmtId="3" fontId="3" fillId="3" borderId="8" xfId="3" applyNumberFormat="1" applyFont="1" applyFill="1" applyBorder="1" applyProtection="1"/>
    <xf numFmtId="3" fontId="2" fillId="0" borderId="8" xfId="3" applyNumberFormat="1" applyFill="1" applyBorder="1" applyProtection="1"/>
    <xf numFmtId="3" fontId="10" fillId="0" borderId="8" xfId="3" applyNumberFormat="1" applyFont="1" applyFill="1" applyBorder="1" applyProtection="1"/>
    <xf numFmtId="3" fontId="3" fillId="0" borderId="8" xfId="3" applyNumberFormat="1" applyFont="1" applyBorder="1" applyProtection="1"/>
    <xf numFmtId="3" fontId="3" fillId="0" borderId="8" xfId="3" applyNumberFormat="1" applyFont="1" applyFill="1" applyBorder="1" applyAlignment="1" applyProtection="1">
      <alignment horizontal="right"/>
    </xf>
    <xf numFmtId="3" fontId="3" fillId="0" borderId="8" xfId="12" applyNumberFormat="1" applyFont="1" applyFill="1" applyBorder="1" applyProtection="1"/>
    <xf numFmtId="3" fontId="4" fillId="0" borderId="8" xfId="12" applyNumberFormat="1" applyFont="1" applyFill="1" applyBorder="1" applyProtection="1"/>
    <xf numFmtId="3" fontId="1" fillId="0" borderId="8" xfId="12" applyNumberFormat="1" applyFill="1" applyBorder="1" applyProtection="1"/>
    <xf numFmtId="3" fontId="4" fillId="0" borderId="8" xfId="12" applyNumberFormat="1" applyFont="1" applyBorder="1" applyProtection="1"/>
    <xf numFmtId="3" fontId="3" fillId="3" borderId="8" xfId="12" applyNumberFormat="1" applyFont="1" applyFill="1" applyBorder="1" applyProtection="1"/>
    <xf numFmtId="3" fontId="1" fillId="0" borderId="8" xfId="12" applyNumberFormat="1" applyFont="1" applyFill="1" applyBorder="1" applyProtection="1"/>
    <xf numFmtId="3" fontId="3" fillId="0" borderId="8" xfId="12" applyNumberFormat="1" applyFont="1" applyBorder="1" applyProtection="1"/>
    <xf numFmtId="3" fontId="3" fillId="0" borderId="8" xfId="12" applyNumberFormat="1" applyFont="1" applyFill="1" applyBorder="1" applyAlignment="1" applyProtection="1">
      <alignment horizontal="right"/>
    </xf>
    <xf numFmtId="3" fontId="12" fillId="6" borderId="18" xfId="3" applyNumberFormat="1" applyFont="1" applyFill="1" applyBorder="1" applyAlignment="1">
      <alignment horizontal="center"/>
    </xf>
    <xf numFmtId="3" fontId="3" fillId="7" borderId="8" xfId="4" applyNumberFormat="1" applyFont="1" applyFill="1" applyBorder="1"/>
    <xf numFmtId="3" fontId="4" fillId="7" borderId="8" xfId="4" applyNumberFormat="1" applyFont="1" applyFill="1" applyBorder="1"/>
    <xf numFmtId="3" fontId="10" fillId="7" borderId="8" xfId="4" applyNumberFormat="1" applyFill="1" applyBorder="1"/>
    <xf numFmtId="3" fontId="4" fillId="0" borderId="8" xfId="3" applyNumberFormat="1" applyFont="1" applyBorder="1"/>
    <xf numFmtId="3" fontId="3" fillId="3" borderId="8" xfId="3" applyNumberFormat="1" applyFont="1" applyFill="1" applyBorder="1"/>
    <xf numFmtId="3" fontId="4" fillId="0" borderId="8" xfId="12" applyNumberFormat="1" applyFont="1" applyBorder="1"/>
    <xf numFmtId="3" fontId="3" fillId="7" borderId="8" xfId="12" applyNumberFormat="1" applyFont="1" applyFill="1" applyBorder="1"/>
    <xf numFmtId="3" fontId="4" fillId="7" borderId="8" xfId="12" applyNumberFormat="1" applyFont="1" applyFill="1" applyBorder="1"/>
    <xf numFmtId="3" fontId="1" fillId="7" borderId="8" xfId="12" applyNumberFormat="1" applyFill="1" applyBorder="1"/>
    <xf numFmtId="3" fontId="3" fillId="3" borderId="8" xfId="12" applyNumberFormat="1" applyFont="1" applyFill="1" applyBorder="1"/>
    <xf numFmtId="3" fontId="4" fillId="0" borderId="8" xfId="4" applyNumberFormat="1" applyFont="1" applyFill="1" applyBorder="1"/>
    <xf numFmtId="3" fontId="3" fillId="0" borderId="8" xfId="3" applyNumberFormat="1" applyFont="1" applyBorder="1" applyAlignment="1">
      <alignment horizontal="right"/>
    </xf>
    <xf numFmtId="3" fontId="2" fillId="0" borderId="8" xfId="3" applyNumberFormat="1" applyFont="1" applyFill="1" applyBorder="1"/>
    <xf numFmtId="3" fontId="8" fillId="0" borderId="8" xfId="3" applyNumberFormat="1" applyFont="1" applyFill="1" applyBorder="1"/>
    <xf numFmtId="0" fontId="3" fillId="0" borderId="8" xfId="3" applyFont="1" applyFill="1" applyBorder="1" applyAlignment="1">
      <alignment horizontal="right"/>
    </xf>
    <xf numFmtId="0" fontId="12" fillId="6" borderId="18" xfId="3" applyFont="1" applyFill="1" applyBorder="1" applyAlignment="1">
      <alignment horizontal="right"/>
    </xf>
    <xf numFmtId="3" fontId="3" fillId="0" borderId="8" xfId="12" applyNumberFormat="1" applyFont="1" applyBorder="1" applyAlignment="1">
      <alignment horizontal="right"/>
    </xf>
    <xf numFmtId="3" fontId="1" fillId="0" borderId="8" xfId="12" applyNumberFormat="1" applyBorder="1"/>
    <xf numFmtId="0" fontId="1" fillId="0" borderId="8" xfId="12" applyBorder="1"/>
    <xf numFmtId="0" fontId="3" fillId="0" borderId="8" xfId="12" applyFont="1" applyFill="1" applyBorder="1" applyAlignment="1">
      <alignment horizontal="right"/>
    </xf>
    <xf numFmtId="3" fontId="3" fillId="0" borderId="8" xfId="12" applyNumberFormat="1" applyFont="1" applyFill="1" applyBorder="1" applyProtection="1">
      <protection locked="0"/>
    </xf>
    <xf numFmtId="3" fontId="4" fillId="0" borderId="8" xfId="12" applyNumberFormat="1" applyFont="1" applyFill="1" applyBorder="1" applyProtection="1">
      <protection locked="0"/>
    </xf>
    <xf numFmtId="3" fontId="1" fillId="0" borderId="8" xfId="12" applyNumberFormat="1" applyFill="1" applyBorder="1" applyProtection="1">
      <protection locked="0"/>
    </xf>
    <xf numFmtId="3" fontId="4" fillId="0" borderId="8" xfId="12" applyNumberFormat="1" applyFont="1" applyBorder="1" applyProtection="1">
      <protection locked="0"/>
    </xf>
    <xf numFmtId="3" fontId="3" fillId="3" borderId="8" xfId="12" applyNumberFormat="1" applyFont="1" applyFill="1" applyBorder="1" applyProtection="1">
      <protection locked="0"/>
    </xf>
    <xf numFmtId="3" fontId="3" fillId="0" borderId="8" xfId="12" applyNumberFormat="1" applyFont="1" applyFill="1" applyBorder="1" applyAlignment="1" applyProtection="1">
      <alignment horizontal="right"/>
      <protection locked="0"/>
    </xf>
    <xf numFmtId="3" fontId="10" fillId="0" borderId="8" xfId="4" applyNumberFormat="1" applyFont="1" applyFill="1" applyBorder="1"/>
    <xf numFmtId="3" fontId="4" fillId="0" borderId="8" xfId="3" applyNumberFormat="1" applyFont="1" applyFill="1" applyBorder="1" applyAlignment="1">
      <alignment vertical="center"/>
    </xf>
    <xf numFmtId="3" fontId="4" fillId="0" borderId="8" xfId="12" applyNumberFormat="1" applyFont="1" applyFill="1" applyBorder="1" applyAlignment="1">
      <alignment vertical="center"/>
    </xf>
    <xf numFmtId="3" fontId="1" fillId="0" borderId="8" xfId="12" applyNumberFormat="1" applyFont="1" applyBorder="1"/>
    <xf numFmtId="3" fontId="6" fillId="6" borderId="18" xfId="12" applyNumberFormat="1" applyFont="1" applyFill="1" applyBorder="1"/>
    <xf numFmtId="3" fontId="12" fillId="6" borderId="31" xfId="3" applyNumberFormat="1" applyFont="1" applyFill="1" applyBorder="1"/>
    <xf numFmtId="3" fontId="8" fillId="0" borderId="3" xfId="12" applyNumberFormat="1" applyFont="1" applyFill="1" applyBorder="1" applyAlignment="1">
      <alignment horizontal="right"/>
    </xf>
    <xf numFmtId="0" fontId="1" fillId="0" borderId="0" xfId="3" applyFont="1" applyFill="1"/>
    <xf numFmtId="3" fontId="44" fillId="0" borderId="8" xfId="0" applyNumberFormat="1" applyFont="1" applyFill="1" applyBorder="1"/>
    <xf numFmtId="3" fontId="28" fillId="0" borderId="8" xfId="0" applyNumberFormat="1" applyFont="1" applyFill="1" applyBorder="1"/>
    <xf numFmtId="0" fontId="28" fillId="0" borderId="0" xfId="0" applyFont="1"/>
    <xf numFmtId="0" fontId="28" fillId="0" borderId="3" xfId="0" applyFont="1" applyBorder="1" applyAlignment="1">
      <alignment horizontal="right"/>
    </xf>
    <xf numFmtId="0" fontId="45" fillId="0" borderId="4" xfId="0" applyFont="1" applyBorder="1"/>
    <xf numFmtId="4" fontId="28" fillId="0" borderId="18" xfId="0" applyNumberFormat="1" applyFont="1" applyFill="1" applyBorder="1"/>
    <xf numFmtId="3" fontId="28" fillId="0" borderId="0" xfId="0" applyNumberFormat="1" applyFont="1" applyFill="1"/>
    <xf numFmtId="3" fontId="28" fillId="0" borderId="0" xfId="6" applyNumberFormat="1" applyFont="1" applyFill="1"/>
    <xf numFmtId="0" fontId="28" fillId="0" borderId="0" xfId="0" applyFont="1" applyFill="1"/>
    <xf numFmtId="0" fontId="45" fillId="0" borderId="4" xfId="0" applyFont="1" applyFill="1" applyBorder="1" applyAlignment="1">
      <alignment wrapText="1"/>
    </xf>
    <xf numFmtId="4" fontId="28" fillId="0" borderId="18" xfId="0" applyNumberFormat="1" applyFont="1" applyBorder="1"/>
    <xf numFmtId="3" fontId="46" fillId="0" borderId="0" xfId="2" applyNumberFormat="1" applyFont="1" applyFill="1"/>
    <xf numFmtId="3" fontId="2" fillId="0" borderId="0" xfId="3" applyNumberFormat="1" applyAlignment="1">
      <alignment horizontal="right"/>
    </xf>
    <xf numFmtId="3" fontId="3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2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3" fontId="2" fillId="0" borderId="3" xfId="3" applyNumberFormat="1" applyFont="1" applyFill="1" applyBorder="1"/>
    <xf numFmtId="3" fontId="8" fillId="0" borderId="0" xfId="0" applyNumberFormat="1" applyFont="1"/>
    <xf numFmtId="0" fontId="0" fillId="0" borderId="0" xfId="0"/>
    <xf numFmtId="0" fontId="0" fillId="0" borderId="0" xfId="0"/>
    <xf numFmtId="4" fontId="0" fillId="0" borderId="0" xfId="0" applyNumberFormat="1" applyFill="1"/>
    <xf numFmtId="49" fontId="47" fillId="0" borderId="0" xfId="0" applyNumberFormat="1" applyFont="1"/>
    <xf numFmtId="0" fontId="0" fillId="0" borderId="0" xfId="0"/>
    <xf numFmtId="0" fontId="0" fillId="0" borderId="0" xfId="0"/>
    <xf numFmtId="0" fontId="2" fillId="0" borderId="8" xfId="3" applyFont="1" applyBorder="1"/>
    <xf numFmtId="0" fontId="10" fillId="0" borderId="8" xfId="3" applyFont="1" applyBorder="1"/>
    <xf numFmtId="3" fontId="1" fillId="0" borderId="10" xfId="12" applyNumberFormat="1" applyFont="1" applyFill="1" applyBorder="1"/>
    <xf numFmtId="0" fontId="0" fillId="0" borderId="0" xfId="0"/>
    <xf numFmtId="3" fontId="1" fillId="0" borderId="0" xfId="3" applyNumberFormat="1" applyFont="1"/>
    <xf numFmtId="168" fontId="1" fillId="0" borderId="0" xfId="0" applyNumberFormat="1" applyFont="1" applyFill="1"/>
    <xf numFmtId="3" fontId="36" fillId="0" borderId="0" xfId="0" applyNumberFormat="1" applyFont="1"/>
    <xf numFmtId="3" fontId="4" fillId="0" borderId="3" xfId="12" applyNumberFormat="1" applyFont="1" applyFill="1" applyBorder="1" applyAlignment="1">
      <alignment vertical="center"/>
    </xf>
    <xf numFmtId="0" fontId="8" fillId="0" borderId="0" xfId="3" applyFont="1"/>
    <xf numFmtId="168" fontId="0" fillId="0" borderId="0" xfId="0" applyNumberFormat="1" applyFill="1"/>
    <xf numFmtId="3" fontId="1" fillId="0" borderId="66" xfId="0" applyNumberFormat="1" applyFont="1" applyFill="1" applyBorder="1"/>
    <xf numFmtId="3" fontId="10" fillId="0" borderId="3" xfId="3" applyNumberFormat="1" applyFont="1" applyFill="1" applyBorder="1"/>
    <xf numFmtId="4" fontId="21" fillId="0" borderId="0" xfId="3" applyNumberFormat="1" applyFont="1" applyFill="1"/>
    <xf numFmtId="0" fontId="0" fillId="0" borderId="0" xfId="0" applyFill="1" applyBorder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2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3" xfId="0" applyFont="1" applyFill="1" applyBorder="1" applyAlignment="1">
      <alignment horizontal="right" wrapText="1"/>
    </xf>
    <xf numFmtId="0" fontId="0" fillId="0" borderId="0" xfId="0" applyFill="1" applyAlignment="1">
      <alignment horizontal="justify" vertical="top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 wrapText="1"/>
    </xf>
    <xf numFmtId="4" fontId="3" fillId="6" borderId="40" xfId="3" applyNumberFormat="1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3" fillId="0" borderId="14" xfId="3" applyFont="1" applyBorder="1" applyAlignment="1">
      <alignment horizontal="right"/>
    </xf>
    <xf numFmtId="0" fontId="9" fillId="0" borderId="58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 wrapText="1"/>
    </xf>
    <xf numFmtId="0" fontId="31" fillId="0" borderId="39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32" fillId="0" borderId="63" xfId="3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  <protection locked="0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8" fillId="0" borderId="39" xfId="3" applyFont="1" applyFill="1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wrapText="1"/>
    </xf>
    <xf numFmtId="0" fontId="8" fillId="0" borderId="40" xfId="3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textRotation="90" wrapText="1"/>
    </xf>
    <xf numFmtId="0" fontId="8" fillId="0" borderId="57" xfId="3" applyFont="1" applyFill="1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" fontId="32" fillId="0" borderId="40" xfId="3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/>
    <xf numFmtId="0" fontId="1" fillId="0" borderId="0" xfId="0" applyFont="1" applyAlignment="1">
      <alignment horizontal="center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0"/>
  <sheetViews>
    <sheetView tabSelected="1" zoomScaleNormal="100" workbookViewId="0">
      <selection activeCell="O22" sqref="O22"/>
    </sheetView>
  </sheetViews>
  <sheetFormatPr defaultRowHeight="12.75"/>
  <cols>
    <col min="1" max="14" width="9.7109375" customWidth="1"/>
  </cols>
  <sheetData>
    <row r="1" spans="1:14">
      <c r="A1" s="842"/>
      <c r="B1" s="842"/>
      <c r="C1" s="842"/>
      <c r="D1" s="842"/>
      <c r="E1" s="842"/>
      <c r="F1" s="842"/>
      <c r="G1" s="842"/>
      <c r="H1" s="842"/>
      <c r="I1" s="842"/>
    </row>
    <row r="2" spans="1:14" ht="12.75" customHeight="1">
      <c r="B2" s="429"/>
      <c r="C2" s="430"/>
      <c r="D2" s="843" t="s">
        <v>636</v>
      </c>
      <c r="E2" s="844"/>
      <c r="F2" s="844"/>
      <c r="I2" s="843" t="s">
        <v>635</v>
      </c>
      <c r="J2" s="849"/>
      <c r="K2" s="849"/>
    </row>
    <row r="3" spans="1:14">
      <c r="B3" s="430"/>
      <c r="C3" s="430"/>
      <c r="D3" s="844"/>
      <c r="E3" s="844"/>
      <c r="F3" s="844"/>
      <c r="I3" s="849"/>
      <c r="J3" s="849"/>
      <c r="K3" s="849"/>
    </row>
    <row r="4" spans="1:14">
      <c r="B4" s="430"/>
      <c r="C4" s="430"/>
      <c r="D4" s="844"/>
      <c r="E4" s="844"/>
      <c r="F4" s="844"/>
      <c r="I4" s="849"/>
      <c r="J4" s="849"/>
      <c r="K4" s="849"/>
    </row>
    <row r="5" spans="1:14">
      <c r="B5" s="430"/>
      <c r="C5" s="430"/>
      <c r="D5" s="844"/>
      <c r="E5" s="844"/>
      <c r="F5" s="844"/>
      <c r="I5" s="849"/>
      <c r="J5" s="849"/>
      <c r="K5" s="849"/>
    </row>
    <row r="6" spans="1:14">
      <c r="B6" s="430"/>
      <c r="C6" s="430"/>
      <c r="D6" s="844"/>
      <c r="E6" s="844"/>
      <c r="F6" s="844"/>
      <c r="I6" s="849"/>
      <c r="J6" s="849"/>
      <c r="K6" s="849"/>
    </row>
    <row r="7" spans="1:14">
      <c r="B7" s="430"/>
      <c r="C7" s="430"/>
      <c r="D7" s="844"/>
      <c r="E7" s="844"/>
      <c r="F7" s="844"/>
      <c r="I7" s="849"/>
      <c r="J7" s="849"/>
      <c r="K7" s="849"/>
    </row>
    <row r="8" spans="1:14" ht="13.5" thickBot="1">
      <c r="A8" s="529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</row>
    <row r="9" spans="1:14" ht="13.5" thickTop="1"/>
    <row r="12" spans="1:14" ht="20.25">
      <c r="K12" s="825"/>
    </row>
    <row r="15" spans="1:14" ht="12.75" customHeight="1">
      <c r="A15" s="845" t="s">
        <v>931</v>
      </c>
      <c r="B15" s="846"/>
      <c r="C15" s="846"/>
      <c r="D15" s="846"/>
      <c r="E15" s="846"/>
      <c r="F15" s="846"/>
      <c r="G15" s="846"/>
      <c r="H15" s="846"/>
      <c r="I15" s="846"/>
      <c r="J15" s="846"/>
      <c r="K15" s="846"/>
      <c r="L15" s="847"/>
      <c r="M15" s="847"/>
      <c r="N15" s="847"/>
    </row>
    <row r="16" spans="1:14">
      <c r="A16" s="846"/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7"/>
      <c r="M16" s="847"/>
      <c r="N16" s="847"/>
    </row>
    <row r="17" spans="1:14">
      <c r="A17" s="846"/>
      <c r="B17" s="846"/>
      <c r="C17" s="846"/>
      <c r="D17" s="846"/>
      <c r="E17" s="846"/>
      <c r="F17" s="846"/>
      <c r="G17" s="846"/>
      <c r="H17" s="846"/>
      <c r="I17" s="846"/>
      <c r="J17" s="846"/>
      <c r="K17" s="846"/>
      <c r="L17" s="847"/>
      <c r="M17" s="847"/>
      <c r="N17" s="847"/>
    </row>
    <row r="18" spans="1:14">
      <c r="A18" s="846"/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7"/>
      <c r="M18" s="847"/>
      <c r="N18" s="847"/>
    </row>
    <row r="19" spans="1:14">
      <c r="A19" s="846"/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7"/>
      <c r="M19" s="847"/>
      <c r="N19" s="847"/>
    </row>
    <row r="20" spans="1:14" ht="13.5" customHeight="1">
      <c r="A20" s="846"/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7"/>
      <c r="M20" s="847"/>
      <c r="N20" s="847"/>
    </row>
    <row r="33" spans="1:14" s="466" customFormat="1"/>
    <row r="36" spans="1:14" s="466" customFormat="1"/>
    <row r="38" spans="1:14">
      <c r="A38" s="848" t="s">
        <v>945</v>
      </c>
      <c r="B38" s="842"/>
      <c r="C38" s="842"/>
      <c r="D38" s="842"/>
      <c r="E38" s="842"/>
      <c r="F38" s="842"/>
      <c r="G38" s="842"/>
      <c r="H38" s="842"/>
      <c r="I38" s="842"/>
      <c r="J38" s="842"/>
      <c r="K38" s="842"/>
      <c r="L38" s="842"/>
      <c r="M38" s="842"/>
      <c r="N38" s="842"/>
    </row>
    <row r="39" spans="1:14">
      <c r="A39" s="842"/>
      <c r="B39" s="842"/>
      <c r="C39" s="842"/>
      <c r="D39" s="842"/>
      <c r="E39" s="842"/>
      <c r="F39" s="842"/>
      <c r="G39" s="842"/>
      <c r="H39" s="842"/>
      <c r="I39" s="842"/>
      <c r="J39" s="842"/>
      <c r="K39" s="842"/>
      <c r="L39" s="842"/>
      <c r="M39" s="842"/>
      <c r="N39" s="842"/>
    </row>
    <row r="40" spans="1:14" ht="15.75">
      <c r="A40" s="87"/>
      <c r="B40" s="87"/>
      <c r="C40" s="87"/>
      <c r="D40" s="87"/>
      <c r="E40" s="87"/>
      <c r="F40" s="87"/>
      <c r="G40" s="87"/>
      <c r="H40" s="87"/>
      <c r="I40" s="87"/>
    </row>
  </sheetData>
  <mergeCells count="5">
    <mergeCell ref="A1:I1"/>
    <mergeCell ref="D2:F7"/>
    <mergeCell ref="A15:N20"/>
    <mergeCell ref="A38:N39"/>
    <mergeCell ref="I2:K7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96"/>
  <sheetViews>
    <sheetView zoomScaleNormal="100" workbookViewId="0">
      <selection activeCell="J41" sqref="J41"/>
    </sheetView>
  </sheetViews>
  <sheetFormatPr defaultColWidth="9.140625" defaultRowHeight="12.75"/>
  <cols>
    <col min="1" max="1" width="9.140625" style="314"/>
    <col min="2" max="2" width="4.7109375" style="9" customWidth="1"/>
    <col min="3" max="3" width="5.425781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734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118</v>
      </c>
      <c r="E7" s="667" t="s">
        <v>816</v>
      </c>
      <c r="F7" s="5"/>
      <c r="G7" s="313"/>
      <c r="H7" s="5"/>
      <c r="I7" s="5"/>
      <c r="J7" s="5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53940</v>
      </c>
      <c r="J8" s="556">
        <f t="shared" ref="J8:L8" si="1">SUM(J9:J12)</f>
        <v>53940</v>
      </c>
      <c r="K8" s="556">
        <f>SUM(K9:K11)</f>
        <v>40121</v>
      </c>
      <c r="L8" s="573">
        <f t="shared" si="1"/>
        <v>54370</v>
      </c>
      <c r="M8" s="236">
        <f>SUM(M9:M12)</f>
        <v>0</v>
      </c>
      <c r="N8" s="718">
        <f>SUM(N9:N12)</f>
        <v>54370</v>
      </c>
      <c r="O8" s="376">
        <f>IF(J8=0,"",N8/J8*100)</f>
        <v>100.79718205413421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47560</v>
      </c>
      <c r="J9" s="557">
        <v>47560</v>
      </c>
      <c r="K9" s="557">
        <v>35525</v>
      </c>
      <c r="L9" s="572">
        <f>48070+50</f>
        <v>48120</v>
      </c>
      <c r="M9" s="235">
        <v>0</v>
      </c>
      <c r="N9" s="719">
        <f>SUM(L9:M9)</f>
        <v>48120</v>
      </c>
      <c r="O9" s="377">
        <f>IF(J9=0,"",N9/J9*100)</f>
        <v>101.17746005046257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6380</v>
      </c>
      <c r="J10" s="557">
        <v>6380</v>
      </c>
      <c r="K10" s="557">
        <v>4596</v>
      </c>
      <c r="L10" s="572">
        <f>6050+200</f>
        <v>6250</v>
      </c>
      <c r="M10" s="235">
        <v>0</v>
      </c>
      <c r="N10" s="719">
        <f t="shared" ref="N10:N11" si="2">SUM(L10:M10)</f>
        <v>6250</v>
      </c>
      <c r="O10" s="377">
        <f t="shared" ref="O10:O35" si="3">IF(J10=0,"",N10/J10*100)</f>
        <v>97.96238244514106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v>0</v>
      </c>
      <c r="J11" s="557">
        <v>0</v>
      </c>
      <c r="K11" s="557">
        <v>0</v>
      </c>
      <c r="L11" s="572">
        <v>0</v>
      </c>
      <c r="M11" s="235">
        <v>0</v>
      </c>
      <c r="N11" s="719">
        <f t="shared" si="2"/>
        <v>0</v>
      </c>
      <c r="O11" s="377" t="str">
        <f t="shared" si="3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19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4">I14</f>
        <v>5060</v>
      </c>
      <c r="J13" s="556">
        <f t="shared" si="4"/>
        <v>5060</v>
      </c>
      <c r="K13" s="556">
        <f>K14</f>
        <v>3748</v>
      </c>
      <c r="L13" s="573">
        <f t="shared" si="4"/>
        <v>5130</v>
      </c>
      <c r="M13" s="236">
        <f>M14</f>
        <v>0</v>
      </c>
      <c r="N13" s="718">
        <f>N14</f>
        <v>5130</v>
      </c>
      <c r="O13" s="376">
        <f t="shared" si="3"/>
        <v>101.38339920948616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5060</v>
      </c>
      <c r="J14" s="557">
        <v>5060</v>
      </c>
      <c r="K14" s="557">
        <v>3748</v>
      </c>
      <c r="L14" s="572">
        <f>5080+50</f>
        <v>5130</v>
      </c>
      <c r="M14" s="235">
        <v>0</v>
      </c>
      <c r="N14" s="719">
        <f>SUM(L14:M14)</f>
        <v>5130</v>
      </c>
      <c r="O14" s="377">
        <f t="shared" si="3"/>
        <v>101.38339920948616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0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5">SUM(I17:I26)</f>
        <v>1260</v>
      </c>
      <c r="J16" s="556">
        <f t="shared" ref="J16:L16" si="6">SUM(J17:J26)</f>
        <v>1260</v>
      </c>
      <c r="K16" s="556">
        <f>SUM(K17:K26)</f>
        <v>114</v>
      </c>
      <c r="L16" s="573">
        <f t="shared" si="6"/>
        <v>660</v>
      </c>
      <c r="M16" s="323">
        <f>SUM(M17:M26)</f>
        <v>0</v>
      </c>
      <c r="N16" s="721">
        <f>SUM(N17:N26)</f>
        <v>660</v>
      </c>
      <c r="O16" s="376">
        <f t="shared" si="3"/>
        <v>52.380952380952387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800</v>
      </c>
      <c r="J17" s="557">
        <v>800</v>
      </c>
      <c r="K17" s="557">
        <v>0</v>
      </c>
      <c r="L17" s="572">
        <v>200</v>
      </c>
      <c r="M17" s="393">
        <v>0</v>
      </c>
      <c r="N17" s="719">
        <f t="shared" ref="N17:N26" si="7">SUM(L17:M17)</f>
        <v>200</v>
      </c>
      <c r="O17" s="377">
        <f t="shared" si="3"/>
        <v>25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v>0</v>
      </c>
      <c r="J18" s="557">
        <v>0</v>
      </c>
      <c r="K18" s="557">
        <v>0</v>
      </c>
      <c r="L18" s="572">
        <v>0</v>
      </c>
      <c r="M18" s="393">
        <v>0</v>
      </c>
      <c r="N18" s="719">
        <f t="shared" si="7"/>
        <v>0</v>
      </c>
      <c r="O18" s="377" t="str">
        <f t="shared" si="3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0</v>
      </c>
      <c r="J19" s="557">
        <v>0</v>
      </c>
      <c r="K19" s="557">
        <v>0</v>
      </c>
      <c r="L19" s="572">
        <v>0</v>
      </c>
      <c r="M19" s="393">
        <v>0</v>
      </c>
      <c r="N19" s="719">
        <f t="shared" si="7"/>
        <v>0</v>
      </c>
      <c r="O19" s="377" t="str">
        <f t="shared" si="3"/>
        <v/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0</v>
      </c>
      <c r="J20" s="557">
        <v>0</v>
      </c>
      <c r="K20" s="557">
        <v>0</v>
      </c>
      <c r="L20" s="572">
        <v>0</v>
      </c>
      <c r="M20" s="393">
        <v>0</v>
      </c>
      <c r="N20" s="719">
        <f t="shared" si="7"/>
        <v>0</v>
      </c>
      <c r="O20" s="377" t="str">
        <f t="shared" si="3"/>
        <v/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v>0</v>
      </c>
      <c r="J21" s="557">
        <v>0</v>
      </c>
      <c r="K21" s="557">
        <v>0</v>
      </c>
      <c r="L21" s="572">
        <v>0</v>
      </c>
      <c r="M21" s="393">
        <v>0</v>
      </c>
      <c r="N21" s="719">
        <f t="shared" si="7"/>
        <v>0</v>
      </c>
      <c r="O21" s="377" t="str">
        <f t="shared" si="3"/>
        <v/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v>0</v>
      </c>
      <c r="J22" s="557">
        <v>0</v>
      </c>
      <c r="K22" s="557">
        <v>0</v>
      </c>
      <c r="L22" s="572">
        <v>0</v>
      </c>
      <c r="M22" s="393">
        <v>0</v>
      </c>
      <c r="N22" s="719">
        <f t="shared" si="7"/>
        <v>0</v>
      </c>
      <c r="O22" s="377" t="str">
        <f t="shared" si="3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0</v>
      </c>
      <c r="J23" s="557">
        <v>0</v>
      </c>
      <c r="K23" s="557">
        <v>0</v>
      </c>
      <c r="L23" s="572">
        <v>0</v>
      </c>
      <c r="M23" s="393">
        <v>0</v>
      </c>
      <c r="N23" s="719">
        <f t="shared" si="7"/>
        <v>0</v>
      </c>
      <c r="O23" s="377" t="str">
        <f t="shared" si="3"/>
        <v/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v>0</v>
      </c>
      <c r="J24" s="557">
        <v>0</v>
      </c>
      <c r="K24" s="557">
        <v>0</v>
      </c>
      <c r="L24" s="572">
        <v>0</v>
      </c>
      <c r="M24" s="393">
        <v>0</v>
      </c>
      <c r="N24" s="719">
        <f t="shared" si="7"/>
        <v>0</v>
      </c>
      <c r="O24" s="377" t="str">
        <f t="shared" si="3"/>
        <v/>
      </c>
      <c r="Q24" s="55"/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460</v>
      </c>
      <c r="J25" s="557">
        <v>460</v>
      </c>
      <c r="K25" s="557">
        <v>114</v>
      </c>
      <c r="L25" s="572">
        <v>460</v>
      </c>
      <c r="M25" s="393">
        <v>0</v>
      </c>
      <c r="N25" s="719">
        <f t="shared" si="7"/>
        <v>460</v>
      </c>
      <c r="O25" s="377">
        <f t="shared" si="3"/>
        <v>100</v>
      </c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557">
        <v>0</v>
      </c>
      <c r="K26" s="557">
        <v>0</v>
      </c>
      <c r="L26" s="572">
        <v>0</v>
      </c>
      <c r="M26" s="395">
        <v>0</v>
      </c>
      <c r="N26" s="719">
        <f t="shared" si="7"/>
        <v>0</v>
      </c>
      <c r="O26" s="377" t="str">
        <f t="shared" si="3"/>
        <v/>
      </c>
    </row>
    <row r="27" spans="1:17" s="1" customFormat="1" ht="8.1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09"/>
      <c r="N27" s="720"/>
      <c r="O27" s="377" t="str">
        <f t="shared" si="3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8">SUM(I29:I30)</f>
        <v>1500</v>
      </c>
      <c r="J28" s="556">
        <f t="shared" ref="J28:L28" si="9">SUM(J29:J30)</f>
        <v>1500</v>
      </c>
      <c r="K28" s="556">
        <f>SUM(K29:K30)</f>
        <v>0</v>
      </c>
      <c r="L28" s="573">
        <f t="shared" si="9"/>
        <v>0</v>
      </c>
      <c r="M28" s="318">
        <f t="shared" ref="M28:N28" si="10">SUM(M29:M30)</f>
        <v>0</v>
      </c>
      <c r="N28" s="721">
        <f t="shared" si="10"/>
        <v>0</v>
      </c>
      <c r="O28" s="377">
        <f t="shared" si="3"/>
        <v>0</v>
      </c>
    </row>
    <row r="29" spans="1:17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J29" si="11">SUM(G29:H29)</f>
        <v>0</v>
      </c>
      <c r="J29" s="557">
        <f t="shared" si="11"/>
        <v>0</v>
      </c>
      <c r="K29" s="557">
        <v>0</v>
      </c>
      <c r="L29" s="572">
        <v>0</v>
      </c>
      <c r="M29" s="310">
        <v>0</v>
      </c>
      <c r="N29" s="719">
        <f t="shared" ref="N29:N30" si="12">SUM(L29:M29)</f>
        <v>0</v>
      </c>
      <c r="O29" s="377" t="str">
        <f t="shared" si="3"/>
        <v/>
      </c>
    </row>
    <row r="30" spans="1:17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1500</v>
      </c>
      <c r="J30" s="557">
        <v>1500</v>
      </c>
      <c r="K30" s="557">
        <v>0</v>
      </c>
      <c r="L30" s="572">
        <v>0</v>
      </c>
      <c r="M30" s="309">
        <v>0</v>
      </c>
      <c r="N30" s="719">
        <f t="shared" si="12"/>
        <v>0</v>
      </c>
      <c r="O30" s="377">
        <f t="shared" si="3"/>
        <v>0</v>
      </c>
    </row>
    <row r="31" spans="1:17" ht="8.1" customHeight="1">
      <c r="B31" s="10"/>
      <c r="C31" s="11"/>
      <c r="D31" s="11"/>
      <c r="E31" s="316"/>
      <c r="F31" s="336"/>
      <c r="G31" s="362"/>
      <c r="H31" s="11"/>
      <c r="I31" s="556"/>
      <c r="J31" s="556"/>
      <c r="K31" s="556"/>
      <c r="L31" s="573"/>
      <c r="M31" s="318"/>
      <c r="N31" s="721"/>
      <c r="O31" s="377" t="str">
        <f t="shared" si="3"/>
        <v/>
      </c>
    </row>
    <row r="32" spans="1:17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2</v>
      </c>
      <c r="J32" s="556">
        <v>2</v>
      </c>
      <c r="K32" s="556">
        <v>2</v>
      </c>
      <c r="L32" s="573">
        <v>2</v>
      </c>
      <c r="M32" s="318"/>
      <c r="N32" s="721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15">
        <f>I8+I13+I16+I28</f>
        <v>61760</v>
      </c>
      <c r="J33" s="15">
        <f>J8+J13+J16+J28</f>
        <v>61760</v>
      </c>
      <c r="K33" s="575">
        <f t="shared" ref="K33" si="13">K8+K13+K16+K28</f>
        <v>43983</v>
      </c>
      <c r="L33" s="582">
        <f>L8+L13+L16+L28</f>
        <v>60160</v>
      </c>
      <c r="M33" s="318">
        <f>M8+M13+M16+M28</f>
        <v>0</v>
      </c>
      <c r="N33" s="721">
        <f>N8+N13+N16+N28</f>
        <v>60160</v>
      </c>
      <c r="O33" s="376">
        <f t="shared" si="3"/>
        <v>97.409326424870471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3"/>
        <v/>
      </c>
    </row>
    <row r="36" spans="1:15" ht="8.1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F39" s="338"/>
      <c r="G39" s="364"/>
      <c r="N39" s="423"/>
    </row>
    <row r="40" spans="1:15" ht="12.95" customHeight="1">
      <c r="F40" s="338"/>
      <c r="G40" s="364"/>
      <c r="N40" s="423"/>
    </row>
    <row r="41" spans="1:15" ht="12.95" customHeight="1"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Q96"/>
  <sheetViews>
    <sheetView zoomScaleNormal="100" workbookViewId="0">
      <selection activeCell="L17" sqref="L17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732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7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5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119</v>
      </c>
      <c r="E7" s="667" t="s">
        <v>816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75580</v>
      </c>
      <c r="J8" s="556">
        <f t="shared" ref="J8:L8" si="1">SUM(J9:J12)</f>
        <v>75580</v>
      </c>
      <c r="K8" s="556">
        <f>SUM(K9:K11)</f>
        <v>56425</v>
      </c>
      <c r="L8" s="573">
        <f t="shared" si="1"/>
        <v>76470</v>
      </c>
      <c r="M8" s="236">
        <f>SUM(M9:M12)</f>
        <v>0</v>
      </c>
      <c r="N8" s="718">
        <f>SUM(N9:N12)</f>
        <v>76470</v>
      </c>
      <c r="O8" s="376">
        <f>IF(J8=0,"",N8/J8*100)</f>
        <v>101.17756020111142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65210</v>
      </c>
      <c r="J9" s="557">
        <v>65210</v>
      </c>
      <c r="K9" s="557">
        <v>48686</v>
      </c>
      <c r="L9" s="572">
        <f>65870+100</f>
        <v>65970</v>
      </c>
      <c r="M9" s="235">
        <v>0</v>
      </c>
      <c r="N9" s="719">
        <f>SUM(L9:M9)</f>
        <v>65970</v>
      </c>
      <c r="O9" s="377">
        <f>IF(J9=0,"",N9/J9*100)</f>
        <v>101.1654654194142</v>
      </c>
      <c r="P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10370</v>
      </c>
      <c r="J10" s="557">
        <v>10370</v>
      </c>
      <c r="K10" s="557">
        <v>7739</v>
      </c>
      <c r="L10" s="572">
        <f>10200+300</f>
        <v>10500</v>
      </c>
      <c r="M10" s="235">
        <v>0</v>
      </c>
      <c r="N10" s="719">
        <f t="shared" ref="N10:N11" si="2">SUM(L10:M10)</f>
        <v>10500</v>
      </c>
      <c r="O10" s="377">
        <f t="shared" ref="O10:O35" si="3">IF(J10=0,"",N10/J10*100)</f>
        <v>101.25361620057861</v>
      </c>
      <c r="P10" s="67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v>0</v>
      </c>
      <c r="J11" s="557">
        <v>0</v>
      </c>
      <c r="K11" s="557">
        <v>0</v>
      </c>
      <c r="L11" s="572">
        <v>0</v>
      </c>
      <c r="M11" s="235">
        <v>0</v>
      </c>
      <c r="N11" s="719">
        <f t="shared" si="2"/>
        <v>0</v>
      </c>
      <c r="O11" s="377" t="str">
        <f t="shared" si="3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19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4">I14</f>
        <v>6940</v>
      </c>
      <c r="J13" s="556">
        <f t="shared" si="4"/>
        <v>6940</v>
      </c>
      <c r="K13" s="556">
        <f>K14</f>
        <v>5138</v>
      </c>
      <c r="L13" s="573">
        <f t="shared" si="4"/>
        <v>7020</v>
      </c>
      <c r="M13" s="236">
        <f>M14</f>
        <v>0</v>
      </c>
      <c r="N13" s="718">
        <f>N14</f>
        <v>7020</v>
      </c>
      <c r="O13" s="376">
        <f t="shared" si="3"/>
        <v>101.15273775216139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6940</v>
      </c>
      <c r="J14" s="557">
        <v>6940</v>
      </c>
      <c r="K14" s="557">
        <v>5138</v>
      </c>
      <c r="L14" s="572">
        <f>6960+60</f>
        <v>7020</v>
      </c>
      <c r="M14" s="235">
        <v>0</v>
      </c>
      <c r="N14" s="719">
        <f>SUM(L14:M14)</f>
        <v>7020</v>
      </c>
      <c r="O14" s="377">
        <f t="shared" si="3"/>
        <v>101.15273775216139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0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5">SUM(I17:I26)</f>
        <v>6400</v>
      </c>
      <c r="J16" s="556">
        <f t="shared" ref="J16:L16" si="6">SUM(J17:J26)</f>
        <v>6400</v>
      </c>
      <c r="K16" s="556">
        <f>SUM(K17:K26)</f>
        <v>2987</v>
      </c>
      <c r="L16" s="573">
        <f t="shared" si="6"/>
        <v>5900</v>
      </c>
      <c r="M16" s="323">
        <f>SUM(M17:M26)</f>
        <v>0</v>
      </c>
      <c r="N16" s="721">
        <f>SUM(N17:N26)</f>
        <v>5900</v>
      </c>
      <c r="O16" s="376">
        <f t="shared" si="3"/>
        <v>92.1875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1200</v>
      </c>
      <c r="J17" s="557">
        <v>1200</v>
      </c>
      <c r="K17" s="557">
        <v>0</v>
      </c>
      <c r="L17" s="572">
        <v>500</v>
      </c>
      <c r="M17" s="396">
        <v>0</v>
      </c>
      <c r="N17" s="719">
        <f t="shared" ref="N17:N26" si="7">SUM(L17:M17)</f>
        <v>500</v>
      </c>
      <c r="O17" s="377">
        <f t="shared" si="3"/>
        <v>41.666666666666671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v>0</v>
      </c>
      <c r="J18" s="557">
        <v>0</v>
      </c>
      <c r="K18" s="557">
        <v>0</v>
      </c>
      <c r="L18" s="572">
        <v>0</v>
      </c>
      <c r="M18" s="393">
        <v>0</v>
      </c>
      <c r="N18" s="719">
        <f t="shared" si="7"/>
        <v>0</v>
      </c>
      <c r="O18" s="377" t="str">
        <f t="shared" si="3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2500</v>
      </c>
      <c r="J19" s="557">
        <v>2500</v>
      </c>
      <c r="K19" s="557">
        <v>1238</v>
      </c>
      <c r="L19" s="572">
        <v>2500</v>
      </c>
      <c r="M19" s="393">
        <v>0</v>
      </c>
      <c r="N19" s="719">
        <f t="shared" si="7"/>
        <v>2500</v>
      </c>
      <c r="O19" s="377">
        <f t="shared" si="3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300</v>
      </c>
      <c r="J20" s="557">
        <v>300</v>
      </c>
      <c r="K20" s="557">
        <v>166</v>
      </c>
      <c r="L20" s="572">
        <v>300</v>
      </c>
      <c r="M20" s="396">
        <v>0</v>
      </c>
      <c r="N20" s="719">
        <f t="shared" si="7"/>
        <v>300</v>
      </c>
      <c r="O20" s="377">
        <f t="shared" si="3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v>0</v>
      </c>
      <c r="J21" s="557">
        <v>0</v>
      </c>
      <c r="K21" s="557">
        <v>0</v>
      </c>
      <c r="L21" s="572">
        <v>0</v>
      </c>
      <c r="M21" s="393">
        <v>0</v>
      </c>
      <c r="N21" s="719">
        <f t="shared" si="7"/>
        <v>0</v>
      </c>
      <c r="O21" s="377" t="str">
        <f t="shared" si="3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v>0</v>
      </c>
      <c r="J22" s="557">
        <v>0</v>
      </c>
      <c r="K22" s="557">
        <v>0</v>
      </c>
      <c r="L22" s="572">
        <v>0</v>
      </c>
      <c r="M22" s="393">
        <v>0</v>
      </c>
      <c r="N22" s="719">
        <f t="shared" si="7"/>
        <v>0</v>
      </c>
      <c r="O22" s="377" t="str">
        <f t="shared" si="3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500</v>
      </c>
      <c r="J23" s="557">
        <v>500</v>
      </c>
      <c r="K23" s="557">
        <v>0</v>
      </c>
      <c r="L23" s="572">
        <v>500</v>
      </c>
      <c r="M23" s="393">
        <v>0</v>
      </c>
      <c r="N23" s="719">
        <f t="shared" si="7"/>
        <v>500</v>
      </c>
      <c r="O23" s="377">
        <f t="shared" si="3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v>0</v>
      </c>
      <c r="J24" s="557">
        <v>0</v>
      </c>
      <c r="K24" s="557">
        <v>0</v>
      </c>
      <c r="L24" s="572">
        <v>0</v>
      </c>
      <c r="M24" s="393">
        <v>0</v>
      </c>
      <c r="N24" s="719">
        <f t="shared" si="7"/>
        <v>0</v>
      </c>
      <c r="O24" s="377" t="str">
        <f t="shared" si="3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1900</v>
      </c>
      <c r="J25" s="557">
        <v>1900</v>
      </c>
      <c r="K25" s="557">
        <v>1583</v>
      </c>
      <c r="L25" s="572">
        <v>2100</v>
      </c>
      <c r="M25" s="396">
        <v>0</v>
      </c>
      <c r="N25" s="719">
        <f t="shared" si="7"/>
        <v>2100</v>
      </c>
      <c r="O25" s="377">
        <f t="shared" si="3"/>
        <v>110.5263157894737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557">
        <v>0</v>
      </c>
      <c r="K26" s="557">
        <v>0</v>
      </c>
      <c r="L26" s="572">
        <v>0</v>
      </c>
      <c r="M26" s="397">
        <v>0</v>
      </c>
      <c r="N26" s="719">
        <f t="shared" si="7"/>
        <v>0</v>
      </c>
      <c r="O26" s="377" t="str">
        <f t="shared" si="3"/>
        <v/>
      </c>
    </row>
    <row r="27" spans="1:15" s="1" customFormat="1" ht="8.1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10"/>
      <c r="N27" s="720"/>
      <c r="O27" s="377" t="str">
        <f t="shared" si="3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8">SUM(I29:I30)</f>
        <v>1500</v>
      </c>
      <c r="J28" s="556">
        <f t="shared" ref="J28:L28" si="9">SUM(J29:J30)</f>
        <v>1500</v>
      </c>
      <c r="K28" s="556">
        <f>SUM(K29:K30)</f>
        <v>0</v>
      </c>
      <c r="L28" s="573">
        <f t="shared" si="9"/>
        <v>1500</v>
      </c>
      <c r="M28" s="325">
        <f>SUM(M29:M30)</f>
        <v>0</v>
      </c>
      <c r="N28" s="721">
        <f>SUM(N29:N30)</f>
        <v>1500</v>
      </c>
      <c r="O28" s="376">
        <f t="shared" si="3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J29" si="10">SUM(G29:H29)</f>
        <v>0</v>
      </c>
      <c r="J29" s="557">
        <f t="shared" si="10"/>
        <v>0</v>
      </c>
      <c r="K29" s="557">
        <v>0</v>
      </c>
      <c r="L29" s="572">
        <v>0</v>
      </c>
      <c r="M29" s="310">
        <v>0</v>
      </c>
      <c r="N29" s="719">
        <f t="shared" ref="N29:N30" si="11">SUM(L29:M29)</f>
        <v>0</v>
      </c>
      <c r="O29" s="377" t="str">
        <f t="shared" si="3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1500</v>
      </c>
      <c r="J30" s="557">
        <v>1500</v>
      </c>
      <c r="K30" s="557">
        <v>0</v>
      </c>
      <c r="L30" s="572">
        <v>1500</v>
      </c>
      <c r="M30" s="310">
        <v>0</v>
      </c>
      <c r="N30" s="719">
        <f t="shared" si="11"/>
        <v>1500</v>
      </c>
      <c r="O30" s="377">
        <f t="shared" si="3"/>
        <v>100</v>
      </c>
    </row>
    <row r="31" spans="1:15" ht="8.1" customHeight="1">
      <c r="B31" s="10"/>
      <c r="C31" s="11"/>
      <c r="D31" s="11"/>
      <c r="E31" s="316"/>
      <c r="F31" s="336"/>
      <c r="G31" s="362"/>
      <c r="H31" s="11"/>
      <c r="I31" s="557"/>
      <c r="J31" s="557"/>
      <c r="K31" s="557"/>
      <c r="L31" s="572"/>
      <c r="M31" s="309"/>
      <c r="N31" s="720"/>
      <c r="O31" s="377" t="str">
        <f t="shared" si="3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3</v>
      </c>
      <c r="J32" s="556">
        <v>3</v>
      </c>
      <c r="K32" s="556">
        <v>3</v>
      </c>
      <c r="L32" s="573">
        <v>3</v>
      </c>
      <c r="M32" s="325"/>
      <c r="N32" s="721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90420</v>
      </c>
      <c r="J33" s="318">
        <f>J8+J13+J16+J28</f>
        <v>90420</v>
      </c>
      <c r="K33" s="575">
        <f t="shared" ref="K33" si="12">K8+K13+K16+K28</f>
        <v>64550</v>
      </c>
      <c r="L33" s="582">
        <f>L8+L13+L16+L28</f>
        <v>90890</v>
      </c>
      <c r="M33" s="318">
        <f>M8+M13+M16+M28</f>
        <v>0</v>
      </c>
      <c r="N33" s="721">
        <f>N8+N13+N16+N28</f>
        <v>90890</v>
      </c>
      <c r="O33" s="376">
        <f t="shared" si="3"/>
        <v>100.51979650519796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75"/>
      <c r="J35" s="318"/>
      <c r="K35" s="575"/>
      <c r="L35" s="582"/>
      <c r="M35" s="318"/>
      <c r="N35" s="721"/>
      <c r="O35" s="377" t="str">
        <f t="shared" si="3"/>
        <v/>
      </c>
    </row>
    <row r="36" spans="1:15" ht="8.1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Q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B2" s="897" t="s">
        <v>473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133</v>
      </c>
      <c r="E7" s="667" t="s">
        <v>816</v>
      </c>
      <c r="F7" s="5"/>
      <c r="G7" s="313"/>
      <c r="H7" s="5"/>
      <c r="I7" s="574"/>
      <c r="J7" s="589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186120</v>
      </c>
      <c r="J8" s="556">
        <f t="shared" ref="J8:L8" si="1">SUM(J9:J12)</f>
        <v>186120</v>
      </c>
      <c r="K8" s="556">
        <f>SUM(K9:K11)</f>
        <v>133131</v>
      </c>
      <c r="L8" s="573">
        <f t="shared" si="1"/>
        <v>188570</v>
      </c>
      <c r="M8" s="249">
        <f>SUM(M9:M12)</f>
        <v>0</v>
      </c>
      <c r="N8" s="718">
        <f>SUM(N9:N12)</f>
        <v>188570</v>
      </c>
      <c r="O8" s="376">
        <f>IF(J8=0,"",N8/J8*100)</f>
        <v>101.31635503975929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145550</v>
      </c>
      <c r="J9" s="557">
        <v>145550</v>
      </c>
      <c r="K9" s="557">
        <v>102338</v>
      </c>
      <c r="L9" s="572">
        <f>144880+250</f>
        <v>145130</v>
      </c>
      <c r="M9" s="250">
        <v>0</v>
      </c>
      <c r="N9" s="719">
        <f>SUM(L9:M9)</f>
        <v>145130</v>
      </c>
      <c r="O9" s="377">
        <f>IF(J9=0,"",N9/J9*100)</f>
        <v>99.711439367914807</v>
      </c>
      <c r="P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40570</v>
      </c>
      <c r="J10" s="557">
        <v>40570</v>
      </c>
      <c r="K10" s="557">
        <v>30793</v>
      </c>
      <c r="L10" s="572">
        <f>42540+900</f>
        <v>43440</v>
      </c>
      <c r="M10" s="250">
        <v>0</v>
      </c>
      <c r="N10" s="719">
        <f t="shared" ref="N10:N11" si="2">SUM(L10:M10)</f>
        <v>43440</v>
      </c>
      <c r="O10" s="377">
        <f t="shared" ref="O10:O35" si="3">IF(J10=0,"",N10/J10*100)</f>
        <v>107.07419275326595</v>
      </c>
      <c r="P10" s="67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v>0</v>
      </c>
      <c r="J11" s="557">
        <v>0</v>
      </c>
      <c r="K11" s="557">
        <v>0</v>
      </c>
      <c r="L11" s="572">
        <v>0</v>
      </c>
      <c r="M11" s="250">
        <v>0</v>
      </c>
      <c r="N11" s="719">
        <f t="shared" si="2"/>
        <v>0</v>
      </c>
      <c r="O11" s="377" t="str">
        <f t="shared" si="3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50"/>
      <c r="N12" s="719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4">I14</f>
        <v>15750</v>
      </c>
      <c r="J13" s="556">
        <f t="shared" si="4"/>
        <v>15750</v>
      </c>
      <c r="K13" s="556">
        <f>K14</f>
        <v>10813</v>
      </c>
      <c r="L13" s="573">
        <f t="shared" si="4"/>
        <v>15440</v>
      </c>
      <c r="M13" s="249">
        <f>M14</f>
        <v>0</v>
      </c>
      <c r="N13" s="718">
        <f>N14</f>
        <v>15440</v>
      </c>
      <c r="O13" s="376">
        <f t="shared" si="3"/>
        <v>98.031746031746039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15750</v>
      </c>
      <c r="J14" s="557">
        <v>15750</v>
      </c>
      <c r="K14" s="557">
        <v>10813</v>
      </c>
      <c r="L14" s="572">
        <f>15320+120</f>
        <v>15440</v>
      </c>
      <c r="M14" s="250">
        <v>0</v>
      </c>
      <c r="N14" s="719">
        <f>SUM(L14:M14)</f>
        <v>15440</v>
      </c>
      <c r="O14" s="377">
        <f t="shared" si="3"/>
        <v>98.031746031746039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0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5">SUM(I17:I26)</f>
        <v>9400</v>
      </c>
      <c r="J16" s="556">
        <f t="shared" ref="J16:L16" si="6">SUM(J17:J26)</f>
        <v>9400</v>
      </c>
      <c r="K16" s="556">
        <f>SUM(K17:K26)</f>
        <v>4543</v>
      </c>
      <c r="L16" s="573">
        <f t="shared" si="6"/>
        <v>7700</v>
      </c>
      <c r="M16" s="323">
        <f>SUM(M17:M26)</f>
        <v>0</v>
      </c>
      <c r="N16" s="721">
        <f>SUM(N17:N26)</f>
        <v>7700</v>
      </c>
      <c r="O16" s="376">
        <f t="shared" si="3"/>
        <v>81.914893617021278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4800</v>
      </c>
      <c r="J17" s="557">
        <v>4800</v>
      </c>
      <c r="K17" s="557">
        <v>2533</v>
      </c>
      <c r="L17" s="572">
        <v>3500</v>
      </c>
      <c r="M17" s="396">
        <v>0</v>
      </c>
      <c r="N17" s="719">
        <f t="shared" ref="N17:N26" si="7">SUM(L17:M17)</f>
        <v>3500</v>
      </c>
      <c r="O17" s="377">
        <f t="shared" si="3"/>
        <v>72.916666666666657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v>0</v>
      </c>
      <c r="J18" s="557">
        <v>0</v>
      </c>
      <c r="K18" s="557">
        <v>0</v>
      </c>
      <c r="L18" s="572">
        <v>0</v>
      </c>
      <c r="M18" s="393">
        <v>0</v>
      </c>
      <c r="N18" s="719">
        <f t="shared" si="7"/>
        <v>0</v>
      </c>
      <c r="O18" s="377" t="str">
        <f t="shared" si="3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1000</v>
      </c>
      <c r="J19" s="557">
        <v>1000</v>
      </c>
      <c r="K19" s="557">
        <v>557</v>
      </c>
      <c r="L19" s="572">
        <v>800</v>
      </c>
      <c r="M19" s="393">
        <v>0</v>
      </c>
      <c r="N19" s="719">
        <f t="shared" si="7"/>
        <v>800</v>
      </c>
      <c r="O19" s="377">
        <f t="shared" si="3"/>
        <v>80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1000</v>
      </c>
      <c r="J20" s="557">
        <v>1000</v>
      </c>
      <c r="K20" s="557">
        <v>119</v>
      </c>
      <c r="L20" s="572">
        <v>800</v>
      </c>
      <c r="M20" s="396">
        <v>0</v>
      </c>
      <c r="N20" s="719">
        <f t="shared" si="7"/>
        <v>800</v>
      </c>
      <c r="O20" s="377">
        <f t="shared" si="3"/>
        <v>80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v>0</v>
      </c>
      <c r="J21" s="557">
        <v>0</v>
      </c>
      <c r="K21" s="557">
        <v>0</v>
      </c>
      <c r="L21" s="572">
        <v>0</v>
      </c>
      <c r="M21" s="393">
        <v>0</v>
      </c>
      <c r="N21" s="719">
        <f t="shared" si="7"/>
        <v>0</v>
      </c>
      <c r="O21" s="377" t="str">
        <f t="shared" si="3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v>0</v>
      </c>
      <c r="J22" s="557">
        <v>0</v>
      </c>
      <c r="K22" s="557">
        <v>0</v>
      </c>
      <c r="L22" s="572">
        <v>0</v>
      </c>
      <c r="M22" s="393">
        <v>0</v>
      </c>
      <c r="N22" s="719">
        <f t="shared" si="7"/>
        <v>0</v>
      </c>
      <c r="O22" s="377" t="str">
        <f t="shared" si="3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1200</v>
      </c>
      <c r="J23" s="557">
        <v>1200</v>
      </c>
      <c r="K23" s="557">
        <v>465</v>
      </c>
      <c r="L23" s="572">
        <v>1200</v>
      </c>
      <c r="M23" s="393">
        <v>0</v>
      </c>
      <c r="N23" s="719">
        <f t="shared" si="7"/>
        <v>1200</v>
      </c>
      <c r="O23" s="377">
        <f t="shared" si="3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v>0</v>
      </c>
      <c r="J24" s="557">
        <v>0</v>
      </c>
      <c r="K24" s="557">
        <v>0</v>
      </c>
      <c r="L24" s="572">
        <v>0</v>
      </c>
      <c r="M24" s="393">
        <v>0</v>
      </c>
      <c r="N24" s="719">
        <f t="shared" si="7"/>
        <v>0</v>
      </c>
      <c r="O24" s="377" t="str">
        <f t="shared" si="3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1400</v>
      </c>
      <c r="J25" s="557">
        <v>1400</v>
      </c>
      <c r="K25" s="557">
        <v>869</v>
      </c>
      <c r="L25" s="572">
        <v>1400</v>
      </c>
      <c r="M25" s="396">
        <v>0</v>
      </c>
      <c r="N25" s="719">
        <f t="shared" si="7"/>
        <v>1400</v>
      </c>
      <c r="O25" s="377">
        <f t="shared" si="3"/>
        <v>100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557">
        <v>0</v>
      </c>
      <c r="K26" s="557">
        <v>0</v>
      </c>
      <c r="L26" s="572">
        <v>0</v>
      </c>
      <c r="M26" s="397">
        <v>0</v>
      </c>
      <c r="N26" s="719">
        <f t="shared" si="7"/>
        <v>0</v>
      </c>
      <c r="O26" s="377" t="str">
        <f t="shared" si="3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10"/>
      <c r="N27" s="720"/>
      <c r="O27" s="377" t="str">
        <f t="shared" si="3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8">SUM(I29:I30)</f>
        <v>3000</v>
      </c>
      <c r="J28" s="556">
        <f t="shared" ref="J28:L28" si="9">SUM(J29:J30)</f>
        <v>3000</v>
      </c>
      <c r="K28" s="556">
        <f>SUM(K29:K30)</f>
        <v>0</v>
      </c>
      <c r="L28" s="573">
        <f t="shared" si="9"/>
        <v>4000</v>
      </c>
      <c r="M28" s="325">
        <f>SUM(M29:M30)</f>
        <v>0</v>
      </c>
      <c r="N28" s="721">
        <f>SUM(N29:N30)</f>
        <v>4000</v>
      </c>
      <c r="O28" s="376">
        <f t="shared" si="3"/>
        <v>133.33333333333331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J29" si="10">SUM(G29:H29)</f>
        <v>0</v>
      </c>
      <c r="J29" s="557">
        <f t="shared" si="10"/>
        <v>0</v>
      </c>
      <c r="K29" s="557">
        <v>0</v>
      </c>
      <c r="L29" s="572">
        <v>0</v>
      </c>
      <c r="M29" s="310">
        <v>0</v>
      </c>
      <c r="N29" s="719">
        <f t="shared" ref="N29:N30" si="11">SUM(L29:M29)</f>
        <v>0</v>
      </c>
      <c r="O29" s="377" t="str">
        <f t="shared" si="3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3000</v>
      </c>
      <c r="J30" s="557">
        <v>3000</v>
      </c>
      <c r="K30" s="557">
        <v>0</v>
      </c>
      <c r="L30" s="572">
        <v>4000</v>
      </c>
      <c r="M30" s="310">
        <v>0</v>
      </c>
      <c r="N30" s="719">
        <f t="shared" si="11"/>
        <v>4000</v>
      </c>
      <c r="O30" s="377">
        <f t="shared" si="3"/>
        <v>133.33333333333331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557"/>
      <c r="J31" s="557"/>
      <c r="K31" s="557"/>
      <c r="L31" s="572"/>
      <c r="M31" s="309"/>
      <c r="N31" s="720"/>
      <c r="O31" s="377" t="str">
        <f t="shared" si="3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8" t="s">
        <v>779</v>
      </c>
      <c r="J32" s="558" t="s">
        <v>779</v>
      </c>
      <c r="K32" s="556">
        <v>9</v>
      </c>
      <c r="L32" s="801">
        <v>9</v>
      </c>
      <c r="M32" s="327"/>
      <c r="N32" s="722">
        <v>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214270</v>
      </c>
      <c r="J33" s="318">
        <f>J8+J13+J16+J28</f>
        <v>214270</v>
      </c>
      <c r="K33" s="575">
        <f t="shared" ref="K33" si="12">K8+K13+K16+K28</f>
        <v>148487</v>
      </c>
      <c r="L33" s="582">
        <f>L8+L13+L16+L28</f>
        <v>215710</v>
      </c>
      <c r="M33" s="318">
        <f>M8+M13+M16+M28</f>
        <v>0</v>
      </c>
      <c r="N33" s="721">
        <f>N8+N13+N16+N28</f>
        <v>215710</v>
      </c>
      <c r="O33" s="376">
        <f t="shared" si="3"/>
        <v>100.67204928361413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1"/>
      <c r="O34" s="376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/>
      <c r="J35" s="15"/>
      <c r="K35" s="575"/>
      <c r="L35" s="582"/>
      <c r="M35" s="318"/>
      <c r="N35" s="721"/>
      <c r="O35" s="376" t="str">
        <f t="shared" si="3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/>
  <dimension ref="A1:R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314" customWidth="1"/>
    <col min="3" max="3" width="5.140625" style="314" customWidth="1"/>
    <col min="4" max="5" width="5" style="314" customWidth="1"/>
    <col min="6" max="7" width="8.7109375" style="319" customWidth="1"/>
    <col min="8" max="8" width="50.7109375" style="314" customWidth="1"/>
    <col min="9" max="13" width="14.7109375" style="314" customWidth="1"/>
    <col min="14" max="14" width="15.7109375" style="314" customWidth="1"/>
    <col min="15" max="15" width="7.7109375" style="380" customWidth="1"/>
    <col min="16" max="16384" width="9.140625" style="314"/>
  </cols>
  <sheetData>
    <row r="1" spans="2:18" ht="13.5" thickBot="1"/>
    <row r="2" spans="2:18" s="408" customFormat="1" ht="20.100000000000001" customHeight="1" thickTop="1" thickBot="1">
      <c r="B2" s="897" t="s">
        <v>727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2:18" s="311" customFormat="1" ht="8.1" customHeight="1" thickTop="1" thickBot="1">
      <c r="F3" s="312"/>
      <c r="G3" s="312"/>
      <c r="H3" s="900"/>
      <c r="I3" s="900"/>
      <c r="J3" s="644"/>
      <c r="K3" s="644"/>
      <c r="L3" s="107"/>
      <c r="M3" s="107"/>
      <c r="N3" s="107"/>
      <c r="O3" s="374"/>
    </row>
    <row r="4" spans="2:18" s="311" customFormat="1" ht="39" customHeight="1"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2:18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2:18" s="312" customFormat="1" ht="12.95" customHeight="1"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2:18" s="312" customFormat="1" ht="12.95" customHeight="1">
      <c r="B7" s="6" t="s">
        <v>115</v>
      </c>
      <c r="C7" s="7" t="s">
        <v>80</v>
      </c>
      <c r="D7" s="7" t="s">
        <v>134</v>
      </c>
      <c r="E7" s="667" t="s">
        <v>816</v>
      </c>
      <c r="F7" s="313"/>
      <c r="G7" s="313"/>
      <c r="H7" s="313"/>
      <c r="I7" s="313"/>
      <c r="J7" s="313"/>
      <c r="K7" s="574"/>
      <c r="L7" s="4"/>
      <c r="M7" s="313"/>
      <c r="N7" s="717"/>
      <c r="O7" s="375"/>
    </row>
    <row r="8" spans="2:18" s="311" customFormat="1" ht="12.95" customHeight="1">
      <c r="B8" s="317"/>
      <c r="C8" s="8"/>
      <c r="D8" s="8"/>
      <c r="E8" s="8"/>
      <c r="F8" s="335">
        <v>611000</v>
      </c>
      <c r="G8" s="361"/>
      <c r="H8" s="8" t="s">
        <v>146</v>
      </c>
      <c r="I8" s="389">
        <f t="shared" ref="I8" si="0">SUM(I9:I12)</f>
        <v>90800</v>
      </c>
      <c r="J8" s="389">
        <f t="shared" ref="J8:L8" si="1">SUM(J9:J12)</f>
        <v>90800</v>
      </c>
      <c r="K8" s="560">
        <f>SUM(K9:K11)</f>
        <v>67858</v>
      </c>
      <c r="L8" s="573">
        <f t="shared" si="1"/>
        <v>93600</v>
      </c>
      <c r="M8" s="236">
        <f>SUM(M9:M12)</f>
        <v>0</v>
      </c>
      <c r="N8" s="718">
        <f>SUM(N9:N12)</f>
        <v>93600</v>
      </c>
      <c r="O8" s="376">
        <f>IF(J8=0,"",N8/J8*100)</f>
        <v>103.08370044052863</v>
      </c>
    </row>
    <row r="9" spans="2:18" ht="12.95" customHeight="1">
      <c r="B9" s="315"/>
      <c r="C9" s="316"/>
      <c r="D9" s="316"/>
      <c r="E9" s="316"/>
      <c r="F9" s="336">
        <v>611100</v>
      </c>
      <c r="G9" s="362"/>
      <c r="H9" s="320" t="s">
        <v>174</v>
      </c>
      <c r="I9" s="392">
        <v>71620</v>
      </c>
      <c r="J9" s="392">
        <v>71620</v>
      </c>
      <c r="K9" s="559">
        <v>52295</v>
      </c>
      <c r="L9" s="572">
        <f>72310+150</f>
        <v>72460</v>
      </c>
      <c r="M9" s="235">
        <v>0</v>
      </c>
      <c r="N9" s="719">
        <f>SUM(L9:M9)</f>
        <v>72460</v>
      </c>
      <c r="O9" s="377">
        <f>IF(J9=0,"",N9/J9*100)</f>
        <v>101.17285674392629</v>
      </c>
    </row>
    <row r="10" spans="2:18" ht="12.95" customHeight="1">
      <c r="B10" s="315"/>
      <c r="C10" s="316"/>
      <c r="D10" s="316"/>
      <c r="E10" s="316"/>
      <c r="F10" s="336">
        <v>611200</v>
      </c>
      <c r="G10" s="362"/>
      <c r="H10" s="316" t="s">
        <v>175</v>
      </c>
      <c r="I10" s="392">
        <v>19180</v>
      </c>
      <c r="J10" s="392">
        <v>19180</v>
      </c>
      <c r="K10" s="559">
        <v>15563</v>
      </c>
      <c r="L10" s="572">
        <f>20740+400</f>
        <v>21140</v>
      </c>
      <c r="M10" s="235">
        <v>0</v>
      </c>
      <c r="N10" s="719">
        <f t="shared" ref="N10:N11" si="2">SUM(L10:M10)</f>
        <v>21140</v>
      </c>
      <c r="O10" s="377">
        <f t="shared" ref="O10:O33" si="3">IF(J10=0,"",N10/J10*100)</f>
        <v>110.21897810218979</v>
      </c>
    </row>
    <row r="11" spans="2:18" ht="12.95" customHeight="1">
      <c r="B11" s="315"/>
      <c r="C11" s="316"/>
      <c r="D11" s="316"/>
      <c r="E11" s="316"/>
      <c r="F11" s="336">
        <v>611200</v>
      </c>
      <c r="G11" s="362"/>
      <c r="H11" s="210" t="s">
        <v>464</v>
      </c>
      <c r="I11" s="392">
        <v>0</v>
      </c>
      <c r="J11" s="392">
        <v>0</v>
      </c>
      <c r="K11" s="559">
        <v>0</v>
      </c>
      <c r="L11" s="572">
        <v>0</v>
      </c>
      <c r="M11" s="235">
        <v>0</v>
      </c>
      <c r="N11" s="719">
        <f t="shared" si="2"/>
        <v>0</v>
      </c>
      <c r="O11" s="377" t="str">
        <f t="shared" si="3"/>
        <v/>
      </c>
      <c r="Q11" s="62"/>
    </row>
    <row r="12" spans="2:18" ht="8.1" customHeight="1">
      <c r="B12" s="315"/>
      <c r="C12" s="316"/>
      <c r="D12" s="316"/>
      <c r="E12" s="316"/>
      <c r="F12" s="336"/>
      <c r="G12" s="362"/>
      <c r="H12" s="320"/>
      <c r="I12" s="392"/>
      <c r="J12" s="392"/>
      <c r="K12" s="559"/>
      <c r="L12" s="572"/>
      <c r="M12" s="235"/>
      <c r="N12" s="719"/>
      <c r="O12" s="377" t="str">
        <f t="shared" si="3"/>
        <v/>
      </c>
    </row>
    <row r="13" spans="2:18" s="311" customFormat="1" ht="12.95" customHeight="1">
      <c r="B13" s="317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L13" si="4">I14</f>
        <v>7600</v>
      </c>
      <c r="J13" s="389">
        <f t="shared" si="4"/>
        <v>7600</v>
      </c>
      <c r="K13" s="560">
        <f>K14</f>
        <v>5523</v>
      </c>
      <c r="L13" s="573">
        <f t="shared" si="4"/>
        <v>7740</v>
      </c>
      <c r="M13" s="236">
        <f>M14</f>
        <v>0</v>
      </c>
      <c r="N13" s="718">
        <f>N14</f>
        <v>7740</v>
      </c>
      <c r="O13" s="376">
        <f t="shared" si="3"/>
        <v>101.84210526315789</v>
      </c>
      <c r="R13" s="68"/>
    </row>
    <row r="14" spans="2:18" ht="12.95" customHeight="1">
      <c r="B14" s="315"/>
      <c r="C14" s="316"/>
      <c r="D14" s="316"/>
      <c r="E14" s="316"/>
      <c r="F14" s="336">
        <v>612100</v>
      </c>
      <c r="G14" s="362"/>
      <c r="H14" s="13" t="s">
        <v>82</v>
      </c>
      <c r="I14" s="392">
        <v>7600</v>
      </c>
      <c r="J14" s="392">
        <v>7600</v>
      </c>
      <c r="K14" s="559">
        <v>5523</v>
      </c>
      <c r="L14" s="572">
        <f>7640+100</f>
        <v>7740</v>
      </c>
      <c r="M14" s="235">
        <v>0</v>
      </c>
      <c r="N14" s="719">
        <f>SUM(L14:M14)</f>
        <v>7740</v>
      </c>
      <c r="O14" s="377">
        <f t="shared" si="3"/>
        <v>101.84210526315789</v>
      </c>
      <c r="R14" s="55"/>
    </row>
    <row r="15" spans="2:18" ht="8.1" customHeight="1">
      <c r="B15" s="315"/>
      <c r="C15" s="316"/>
      <c r="D15" s="316"/>
      <c r="E15" s="316"/>
      <c r="F15" s="336"/>
      <c r="G15" s="362"/>
      <c r="H15" s="316"/>
      <c r="I15" s="392"/>
      <c r="J15" s="392"/>
      <c r="K15" s="559"/>
      <c r="L15" s="572"/>
      <c r="M15" s="309"/>
      <c r="N15" s="720"/>
      <c r="O15" s="377" t="str">
        <f t="shared" si="3"/>
        <v/>
      </c>
    </row>
    <row r="16" spans="2:18" s="311" customFormat="1" ht="12.95" customHeight="1">
      <c r="B16" s="317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" si="5">SUM(I17:I26)</f>
        <v>4400</v>
      </c>
      <c r="J16" s="389">
        <f t="shared" ref="J16:L16" si="6">SUM(J17:J26)</f>
        <v>4400</v>
      </c>
      <c r="K16" s="560">
        <f>SUM(K17:K26)</f>
        <v>1085</v>
      </c>
      <c r="L16" s="573">
        <f t="shared" si="6"/>
        <v>3750</v>
      </c>
      <c r="M16" s="323">
        <f>SUM(M17:M26)</f>
        <v>0</v>
      </c>
      <c r="N16" s="721">
        <f>SUM(N17:N26)</f>
        <v>3750</v>
      </c>
      <c r="O16" s="376">
        <f t="shared" si="3"/>
        <v>85.227272727272734</v>
      </c>
    </row>
    <row r="17" spans="2:16" ht="12.95" customHeight="1">
      <c r="B17" s="315"/>
      <c r="C17" s="316"/>
      <c r="D17" s="316"/>
      <c r="E17" s="316"/>
      <c r="F17" s="336">
        <v>613100</v>
      </c>
      <c r="G17" s="362"/>
      <c r="H17" s="316" t="s">
        <v>83</v>
      </c>
      <c r="I17" s="392">
        <v>1200</v>
      </c>
      <c r="J17" s="392">
        <v>1200</v>
      </c>
      <c r="K17" s="559">
        <v>0</v>
      </c>
      <c r="L17" s="572">
        <v>300</v>
      </c>
      <c r="M17" s="393">
        <v>0</v>
      </c>
      <c r="N17" s="719">
        <f t="shared" ref="N17:N26" si="7">SUM(L17:M17)</f>
        <v>300</v>
      </c>
      <c r="O17" s="377">
        <f t="shared" si="3"/>
        <v>25</v>
      </c>
    </row>
    <row r="18" spans="2:16" ht="12.95" customHeight="1">
      <c r="B18" s="315"/>
      <c r="C18" s="316"/>
      <c r="D18" s="316"/>
      <c r="E18" s="316"/>
      <c r="F18" s="336">
        <v>613200</v>
      </c>
      <c r="G18" s="362"/>
      <c r="H18" s="316" t="s">
        <v>84</v>
      </c>
      <c r="I18" s="392">
        <v>0</v>
      </c>
      <c r="J18" s="392">
        <v>0</v>
      </c>
      <c r="K18" s="559">
        <v>0</v>
      </c>
      <c r="L18" s="572">
        <v>0</v>
      </c>
      <c r="M18" s="393">
        <v>0</v>
      </c>
      <c r="N18" s="719">
        <f t="shared" si="7"/>
        <v>0</v>
      </c>
      <c r="O18" s="377" t="str">
        <f t="shared" si="3"/>
        <v/>
      </c>
    </row>
    <row r="19" spans="2:16" ht="12.95" customHeight="1">
      <c r="B19" s="315"/>
      <c r="C19" s="316"/>
      <c r="D19" s="316"/>
      <c r="E19" s="316"/>
      <c r="F19" s="336">
        <v>613300</v>
      </c>
      <c r="G19" s="362"/>
      <c r="H19" s="320" t="s">
        <v>176</v>
      </c>
      <c r="I19" s="392">
        <v>1500</v>
      </c>
      <c r="J19" s="392">
        <v>1500</v>
      </c>
      <c r="K19" s="559">
        <v>717</v>
      </c>
      <c r="L19" s="572">
        <v>1000</v>
      </c>
      <c r="M19" s="393">
        <v>0</v>
      </c>
      <c r="N19" s="719">
        <f t="shared" si="7"/>
        <v>1000</v>
      </c>
      <c r="O19" s="377">
        <f t="shared" si="3"/>
        <v>66.666666666666657</v>
      </c>
    </row>
    <row r="20" spans="2:16" ht="12.95" customHeight="1">
      <c r="B20" s="315"/>
      <c r="C20" s="316"/>
      <c r="D20" s="316"/>
      <c r="E20" s="316"/>
      <c r="F20" s="336">
        <v>613400</v>
      </c>
      <c r="G20" s="362"/>
      <c r="H20" s="316" t="s">
        <v>148</v>
      </c>
      <c r="I20" s="392">
        <v>0</v>
      </c>
      <c r="J20" s="392">
        <v>0</v>
      </c>
      <c r="K20" s="559">
        <v>0</v>
      </c>
      <c r="L20" s="572">
        <v>0</v>
      </c>
      <c r="M20" s="393">
        <v>0</v>
      </c>
      <c r="N20" s="719">
        <f t="shared" si="7"/>
        <v>0</v>
      </c>
      <c r="O20" s="377" t="str">
        <f t="shared" si="3"/>
        <v/>
      </c>
    </row>
    <row r="21" spans="2:16" ht="12.95" customHeight="1">
      <c r="B21" s="315"/>
      <c r="C21" s="316"/>
      <c r="D21" s="316"/>
      <c r="E21" s="316"/>
      <c r="F21" s="336">
        <v>613500</v>
      </c>
      <c r="G21" s="362"/>
      <c r="H21" s="316" t="s">
        <v>85</v>
      </c>
      <c r="I21" s="392">
        <v>0</v>
      </c>
      <c r="J21" s="392">
        <v>0</v>
      </c>
      <c r="K21" s="559">
        <v>0</v>
      </c>
      <c r="L21" s="572">
        <v>0</v>
      </c>
      <c r="M21" s="393">
        <v>0</v>
      </c>
      <c r="N21" s="719">
        <f t="shared" si="7"/>
        <v>0</v>
      </c>
      <c r="O21" s="377" t="str">
        <f t="shared" si="3"/>
        <v/>
      </c>
    </row>
    <row r="22" spans="2:16" ht="12.95" customHeight="1">
      <c r="B22" s="315"/>
      <c r="C22" s="316"/>
      <c r="D22" s="316"/>
      <c r="E22" s="316"/>
      <c r="F22" s="336">
        <v>613600</v>
      </c>
      <c r="G22" s="362"/>
      <c r="H22" s="320" t="s">
        <v>177</v>
      </c>
      <c r="I22" s="392">
        <v>0</v>
      </c>
      <c r="J22" s="392">
        <v>0</v>
      </c>
      <c r="K22" s="559">
        <v>0</v>
      </c>
      <c r="L22" s="572">
        <v>0</v>
      </c>
      <c r="M22" s="393">
        <v>0</v>
      </c>
      <c r="N22" s="719">
        <f t="shared" si="7"/>
        <v>0</v>
      </c>
      <c r="O22" s="377" t="str">
        <f t="shared" si="3"/>
        <v/>
      </c>
    </row>
    <row r="23" spans="2:16" ht="12.95" customHeight="1">
      <c r="B23" s="315"/>
      <c r="C23" s="316"/>
      <c r="D23" s="316"/>
      <c r="E23" s="316"/>
      <c r="F23" s="336">
        <v>613700</v>
      </c>
      <c r="G23" s="362"/>
      <c r="H23" s="316" t="s">
        <v>86</v>
      </c>
      <c r="I23" s="392">
        <v>400</v>
      </c>
      <c r="J23" s="392">
        <v>400</v>
      </c>
      <c r="K23" s="559">
        <v>122</v>
      </c>
      <c r="L23" s="572">
        <v>600</v>
      </c>
      <c r="M23" s="393">
        <v>0</v>
      </c>
      <c r="N23" s="719">
        <f t="shared" si="7"/>
        <v>600</v>
      </c>
      <c r="O23" s="377">
        <f t="shared" si="3"/>
        <v>150</v>
      </c>
    </row>
    <row r="24" spans="2:16" ht="12.95" customHeight="1">
      <c r="B24" s="315"/>
      <c r="C24" s="316"/>
      <c r="D24" s="316"/>
      <c r="E24" s="316"/>
      <c r="F24" s="336">
        <v>613800</v>
      </c>
      <c r="G24" s="362"/>
      <c r="H24" s="316" t="s">
        <v>149</v>
      </c>
      <c r="I24" s="392">
        <v>0</v>
      </c>
      <c r="J24" s="392">
        <v>0</v>
      </c>
      <c r="K24" s="559">
        <v>0</v>
      </c>
      <c r="L24" s="572">
        <v>0</v>
      </c>
      <c r="M24" s="393">
        <v>0</v>
      </c>
      <c r="N24" s="719">
        <f t="shared" si="7"/>
        <v>0</v>
      </c>
      <c r="O24" s="377" t="str">
        <f t="shared" si="3"/>
        <v/>
      </c>
      <c r="P24" s="55"/>
    </row>
    <row r="25" spans="2:16" ht="12.95" customHeight="1">
      <c r="B25" s="315"/>
      <c r="C25" s="316"/>
      <c r="D25" s="316"/>
      <c r="E25" s="316"/>
      <c r="F25" s="336">
        <v>613900</v>
      </c>
      <c r="G25" s="362"/>
      <c r="H25" s="316" t="s">
        <v>150</v>
      </c>
      <c r="I25" s="392">
        <v>1300</v>
      </c>
      <c r="J25" s="392">
        <v>1300</v>
      </c>
      <c r="K25" s="559">
        <v>246</v>
      </c>
      <c r="L25" s="572">
        <v>1850</v>
      </c>
      <c r="M25" s="396">
        <v>0</v>
      </c>
      <c r="N25" s="719">
        <f t="shared" si="7"/>
        <v>1850</v>
      </c>
      <c r="O25" s="377">
        <f t="shared" si="3"/>
        <v>142.30769230769232</v>
      </c>
    </row>
    <row r="26" spans="2:16" ht="12.95" customHeight="1">
      <c r="B26" s="315"/>
      <c r="C26" s="316"/>
      <c r="D26" s="316"/>
      <c r="E26" s="316"/>
      <c r="F26" s="336">
        <v>613900</v>
      </c>
      <c r="G26" s="362"/>
      <c r="H26" s="210" t="s">
        <v>465</v>
      </c>
      <c r="I26" s="392">
        <v>0</v>
      </c>
      <c r="J26" s="392">
        <v>0</v>
      </c>
      <c r="K26" s="559">
        <v>0</v>
      </c>
      <c r="L26" s="572">
        <v>0</v>
      </c>
      <c r="M26" s="393">
        <v>0</v>
      </c>
      <c r="N26" s="719">
        <f t="shared" si="7"/>
        <v>0</v>
      </c>
      <c r="O26" s="377" t="str">
        <f t="shared" si="3"/>
        <v/>
      </c>
    </row>
    <row r="27" spans="2:16" ht="8.1" customHeight="1">
      <c r="B27" s="315"/>
      <c r="C27" s="316"/>
      <c r="D27" s="316"/>
      <c r="E27" s="316"/>
      <c r="F27" s="336"/>
      <c r="G27" s="362"/>
      <c r="H27" s="316"/>
      <c r="I27" s="389"/>
      <c r="J27" s="389"/>
      <c r="K27" s="560"/>
      <c r="L27" s="573"/>
      <c r="M27" s="318"/>
      <c r="N27" s="721"/>
      <c r="O27" s="377" t="str">
        <f t="shared" si="3"/>
        <v/>
      </c>
    </row>
    <row r="28" spans="2:16" s="311" customFormat="1" ht="12.95" customHeight="1">
      <c r="B28" s="317"/>
      <c r="C28" s="8"/>
      <c r="D28" s="8"/>
      <c r="E28" s="666"/>
      <c r="F28" s="346">
        <v>614000</v>
      </c>
      <c r="G28" s="373"/>
      <c r="H28" s="8" t="s">
        <v>178</v>
      </c>
      <c r="I28" s="389">
        <f t="shared" ref="I28:N28" si="8">SUM(I29:I29)</f>
        <v>50000</v>
      </c>
      <c r="J28" s="389">
        <f t="shared" si="8"/>
        <v>50000</v>
      </c>
      <c r="K28" s="560">
        <f t="shared" si="8"/>
        <v>0</v>
      </c>
      <c r="L28" s="573">
        <f t="shared" si="8"/>
        <v>50000</v>
      </c>
      <c r="M28" s="318">
        <f t="shared" si="8"/>
        <v>0</v>
      </c>
      <c r="N28" s="721">
        <f t="shared" si="8"/>
        <v>50000</v>
      </c>
      <c r="O28" s="376">
        <f t="shared" si="3"/>
        <v>100</v>
      </c>
    </row>
    <row r="29" spans="2:16" ht="24" customHeight="1">
      <c r="B29" s="315"/>
      <c r="C29" s="316"/>
      <c r="D29" s="24"/>
      <c r="E29" s="24"/>
      <c r="F29" s="384">
        <v>614200</v>
      </c>
      <c r="G29" s="674" t="s">
        <v>726</v>
      </c>
      <c r="H29" s="637" t="s">
        <v>843</v>
      </c>
      <c r="I29" s="392">
        <v>50000</v>
      </c>
      <c r="J29" s="392">
        <v>50000</v>
      </c>
      <c r="K29" s="559">
        <v>0</v>
      </c>
      <c r="L29" s="572">
        <v>50000</v>
      </c>
      <c r="M29" s="310">
        <v>0</v>
      </c>
      <c r="N29" s="719">
        <f>SUM(L29:M29)</f>
        <v>50000</v>
      </c>
      <c r="O29" s="377">
        <f t="shared" si="3"/>
        <v>100</v>
      </c>
    </row>
    <row r="30" spans="2:16" ht="8.1" customHeight="1">
      <c r="B30" s="315"/>
      <c r="C30" s="316"/>
      <c r="D30" s="316"/>
      <c r="E30" s="662"/>
      <c r="F30" s="344"/>
      <c r="G30" s="369"/>
      <c r="H30" s="316"/>
      <c r="I30" s="392"/>
      <c r="J30" s="392"/>
      <c r="K30" s="559"/>
      <c r="L30" s="572"/>
      <c r="M30" s="309"/>
      <c r="N30" s="720"/>
      <c r="O30" s="377" t="str">
        <f t="shared" si="3"/>
        <v/>
      </c>
    </row>
    <row r="31" spans="2:16" s="311" customFormat="1" ht="12.95" customHeight="1">
      <c r="B31" s="317"/>
      <c r="C31" s="8"/>
      <c r="D31" s="8"/>
      <c r="E31" s="8"/>
      <c r="F31" s="335">
        <v>821000</v>
      </c>
      <c r="G31" s="361"/>
      <c r="H31" s="8" t="s">
        <v>89</v>
      </c>
      <c r="I31" s="389">
        <f t="shared" ref="I31" si="9">SUM(I32:I33)</f>
        <v>1000</v>
      </c>
      <c r="J31" s="389">
        <f t="shared" ref="J31:L31" si="10">SUM(J32:J33)</f>
        <v>1000</v>
      </c>
      <c r="K31" s="560">
        <f>SUM(K32:K33)</f>
        <v>910</v>
      </c>
      <c r="L31" s="573">
        <f t="shared" si="10"/>
        <v>2000</v>
      </c>
      <c r="M31" s="318">
        <f>SUM(M32:M33)</f>
        <v>0</v>
      </c>
      <c r="N31" s="721">
        <f>SUM(N32:N33)</f>
        <v>2000</v>
      </c>
      <c r="O31" s="376">
        <f t="shared" si="3"/>
        <v>200</v>
      </c>
    </row>
    <row r="32" spans="2:16" ht="12.95" customHeight="1">
      <c r="B32" s="315"/>
      <c r="C32" s="316"/>
      <c r="D32" s="316"/>
      <c r="E32" s="316"/>
      <c r="F32" s="336">
        <v>821200</v>
      </c>
      <c r="G32" s="362"/>
      <c r="H32" s="316" t="s">
        <v>90</v>
      </c>
      <c r="I32" s="392">
        <f t="shared" ref="I32:J32" si="11">SUM(G32:H32)</f>
        <v>0</v>
      </c>
      <c r="J32" s="392">
        <f t="shared" si="11"/>
        <v>0</v>
      </c>
      <c r="K32" s="559">
        <v>0</v>
      </c>
      <c r="L32" s="572">
        <v>0</v>
      </c>
      <c r="M32" s="310">
        <v>0</v>
      </c>
      <c r="N32" s="719">
        <f t="shared" ref="N32:N33" si="12">SUM(L32:M32)</f>
        <v>0</v>
      </c>
      <c r="O32" s="377" t="str">
        <f t="shared" si="3"/>
        <v/>
      </c>
    </row>
    <row r="33" spans="1:18" ht="12.95" customHeight="1">
      <c r="B33" s="315"/>
      <c r="C33" s="316"/>
      <c r="D33" s="316"/>
      <c r="E33" s="316"/>
      <c r="F33" s="336">
        <v>821300</v>
      </c>
      <c r="G33" s="362"/>
      <c r="H33" s="316" t="s">
        <v>91</v>
      </c>
      <c r="I33" s="392">
        <v>1000</v>
      </c>
      <c r="J33" s="392">
        <v>1000</v>
      </c>
      <c r="K33" s="559">
        <v>910</v>
      </c>
      <c r="L33" s="572">
        <v>2000</v>
      </c>
      <c r="M33" s="309">
        <v>0</v>
      </c>
      <c r="N33" s="719">
        <f t="shared" si="12"/>
        <v>2000</v>
      </c>
      <c r="O33" s="377">
        <f t="shared" si="3"/>
        <v>200</v>
      </c>
    </row>
    <row r="34" spans="1:18" ht="8.1" customHeight="1">
      <c r="B34" s="315"/>
      <c r="C34" s="316"/>
      <c r="D34" s="316"/>
      <c r="E34" s="316"/>
      <c r="F34" s="336"/>
      <c r="G34" s="362"/>
      <c r="H34" s="316"/>
      <c r="I34" s="392"/>
      <c r="J34" s="392"/>
      <c r="K34" s="559"/>
      <c r="L34" s="569"/>
      <c r="M34" s="309"/>
      <c r="N34" s="720"/>
      <c r="O34" s="377" t="str">
        <f>IF(J34=0,"",N34/J34*100)</f>
        <v/>
      </c>
    </row>
    <row r="35" spans="1:18" s="311" customFormat="1" ht="12.95" customHeight="1">
      <c r="B35" s="317"/>
      <c r="C35" s="8"/>
      <c r="D35" s="8"/>
      <c r="E35" s="8"/>
      <c r="F35" s="335"/>
      <c r="G35" s="361"/>
      <c r="H35" s="8" t="s">
        <v>92</v>
      </c>
      <c r="I35" s="389">
        <v>4</v>
      </c>
      <c r="J35" s="389">
        <v>4</v>
      </c>
      <c r="K35" s="560">
        <v>4</v>
      </c>
      <c r="L35" s="695">
        <v>4</v>
      </c>
      <c r="M35" s="325"/>
      <c r="N35" s="721">
        <v>4</v>
      </c>
      <c r="O35" s="377"/>
    </row>
    <row r="36" spans="1:18" s="311" customFormat="1" ht="12.95" customHeight="1">
      <c r="B36" s="317"/>
      <c r="C36" s="8"/>
      <c r="D36" s="8"/>
      <c r="E36" s="8"/>
      <c r="F36" s="335"/>
      <c r="G36" s="361"/>
      <c r="H36" s="8" t="s">
        <v>110</v>
      </c>
      <c r="I36" s="318">
        <f t="shared" ref="I36:N36" si="13">I31+I28+I16+I13+I8</f>
        <v>153800</v>
      </c>
      <c r="J36" s="318">
        <f t="shared" si="13"/>
        <v>153800</v>
      </c>
      <c r="K36" s="565">
        <f t="shared" si="13"/>
        <v>75376</v>
      </c>
      <c r="L36" s="582">
        <f t="shared" si="13"/>
        <v>157090</v>
      </c>
      <c r="M36" s="318">
        <f t="shared" si="13"/>
        <v>0</v>
      </c>
      <c r="N36" s="721">
        <f t="shared" si="13"/>
        <v>157090</v>
      </c>
      <c r="O36" s="376">
        <f>IF(J36=0,"",N36/J36*100)</f>
        <v>102.13914174252277</v>
      </c>
    </row>
    <row r="37" spans="1:18" s="311" customFormat="1" ht="12.95" customHeight="1">
      <c r="B37" s="317"/>
      <c r="C37" s="8"/>
      <c r="D37" s="8"/>
      <c r="E37" s="8"/>
      <c r="F37" s="335"/>
      <c r="G37" s="361"/>
      <c r="H37" s="8" t="s">
        <v>93</v>
      </c>
      <c r="I37" s="318">
        <f>I36+'7'!I33+'6'!I33+'5'!I33+'4 (S)'!I36+'3'!I55</f>
        <v>2240870</v>
      </c>
      <c r="J37" s="318">
        <f>J36+'7'!J33+'6'!J33+'5'!J33+'4 (S)'!J36+'3'!J55</f>
        <v>2240870</v>
      </c>
      <c r="K37" s="565">
        <f>K36+'7'!K33+'6'!K33+'5'!K33+'4 (S)'!K36+'3'!K55</f>
        <v>1552906</v>
      </c>
      <c r="L37" s="582">
        <f>L36+'7'!L33+'6'!L33+'5'!L33+'4 (S)'!L36+'3'!L55</f>
        <v>2468380</v>
      </c>
      <c r="M37" s="318">
        <f>M36+'7'!M33+'6'!M33+'5'!M33+'4 (S)'!M36+'3'!M55</f>
        <v>0</v>
      </c>
      <c r="N37" s="721">
        <f>N36+'7'!N33+'6'!N33+'5'!N33+'4 (S)'!N36+'3'!N55</f>
        <v>2468380</v>
      </c>
      <c r="O37" s="383"/>
    </row>
    <row r="38" spans="1:18" s="311" customFormat="1" ht="12.95" customHeight="1">
      <c r="B38" s="317"/>
      <c r="C38" s="8"/>
      <c r="D38" s="8"/>
      <c r="E38" s="8"/>
      <c r="F38" s="335"/>
      <c r="G38" s="361"/>
      <c r="H38" s="8" t="s">
        <v>94</v>
      </c>
      <c r="I38" s="660">
        <f>I37</f>
        <v>2240870</v>
      </c>
      <c r="J38" s="660">
        <f t="shared" ref="J38:N38" si="14">J37</f>
        <v>2240870</v>
      </c>
      <c r="K38" s="661">
        <f t="shared" si="14"/>
        <v>1552906</v>
      </c>
      <c r="L38" s="731">
        <f t="shared" si="14"/>
        <v>2468380</v>
      </c>
      <c r="M38" s="660">
        <f t="shared" si="14"/>
        <v>0</v>
      </c>
      <c r="N38" s="732">
        <f t="shared" si="14"/>
        <v>2468380</v>
      </c>
      <c r="O38" s="378"/>
    </row>
    <row r="39" spans="1:18" ht="8.1" customHeight="1" thickBot="1">
      <c r="B39" s="16"/>
      <c r="C39" s="17"/>
      <c r="D39" s="17"/>
      <c r="E39" s="17"/>
      <c r="F39" s="337"/>
      <c r="G39" s="363"/>
      <c r="H39" s="17"/>
      <c r="I39" s="17"/>
      <c r="J39" s="17"/>
      <c r="K39" s="27"/>
      <c r="L39" s="16"/>
      <c r="M39" s="17"/>
      <c r="N39" s="730"/>
      <c r="O39" s="379"/>
    </row>
    <row r="40" spans="1:18" ht="12.95" customHeight="1">
      <c r="F40" s="338"/>
      <c r="G40" s="364"/>
      <c r="N40" s="423"/>
    </row>
    <row r="41" spans="1:18" ht="12.95" customHeight="1">
      <c r="B41" s="55"/>
      <c r="F41" s="338"/>
      <c r="G41" s="364"/>
      <c r="N41" s="423"/>
    </row>
    <row r="42" spans="1:18" ht="12.95" customHeight="1">
      <c r="F42" s="338"/>
      <c r="G42" s="364"/>
      <c r="N42" s="423"/>
    </row>
    <row r="43" spans="1:18" ht="12.95" customHeight="1">
      <c r="F43" s="338"/>
      <c r="G43" s="364"/>
      <c r="N43" s="423"/>
    </row>
    <row r="44" spans="1:18" ht="12.95" customHeight="1">
      <c r="F44" s="338"/>
      <c r="G44" s="364"/>
      <c r="N44" s="423"/>
    </row>
    <row r="45" spans="1:18" ht="12.95" customHeight="1">
      <c r="F45" s="338"/>
      <c r="G45" s="364"/>
      <c r="N45" s="423"/>
    </row>
    <row r="46" spans="1:18" ht="12.95" customHeight="1">
      <c r="F46" s="338"/>
      <c r="G46" s="364"/>
      <c r="N46" s="423"/>
    </row>
    <row r="47" spans="1:18" ht="12.95" customHeight="1">
      <c r="F47" s="338"/>
      <c r="G47" s="364"/>
      <c r="N47" s="423"/>
    </row>
    <row r="48" spans="1:18" s="380" customFormat="1" ht="12.95" customHeight="1">
      <c r="A48" s="314"/>
      <c r="B48" s="314"/>
      <c r="C48" s="314"/>
      <c r="D48" s="314"/>
      <c r="E48" s="314"/>
      <c r="F48" s="338"/>
      <c r="G48" s="364"/>
      <c r="H48" s="314"/>
      <c r="I48" s="314"/>
      <c r="J48" s="314"/>
      <c r="K48" s="314"/>
      <c r="L48" s="314"/>
      <c r="M48" s="314"/>
      <c r="N48" s="423"/>
      <c r="P48" s="314"/>
      <c r="Q48" s="314"/>
      <c r="R48" s="314"/>
    </row>
    <row r="49" spans="1:18" s="380" customFormat="1" ht="12.95" customHeight="1">
      <c r="A49" s="314"/>
      <c r="B49" s="314"/>
      <c r="C49" s="314"/>
      <c r="D49" s="314"/>
      <c r="E49" s="314"/>
      <c r="F49" s="338"/>
      <c r="G49" s="364"/>
      <c r="H49" s="314"/>
      <c r="I49" s="314"/>
      <c r="J49" s="314"/>
      <c r="K49" s="314"/>
      <c r="L49" s="314"/>
      <c r="M49" s="314"/>
      <c r="N49" s="423"/>
      <c r="P49" s="314"/>
      <c r="Q49" s="314"/>
      <c r="R49" s="314"/>
    </row>
    <row r="50" spans="1:18" s="380" customFormat="1" ht="12.95" customHeight="1">
      <c r="A50" s="314"/>
      <c r="B50" s="314"/>
      <c r="C50" s="314"/>
      <c r="D50" s="314"/>
      <c r="E50" s="314"/>
      <c r="F50" s="338"/>
      <c r="G50" s="364"/>
      <c r="H50" s="314"/>
      <c r="I50" s="314"/>
      <c r="J50" s="314"/>
      <c r="K50" s="314"/>
      <c r="L50" s="314"/>
      <c r="M50" s="314"/>
      <c r="N50" s="423"/>
      <c r="P50" s="314"/>
      <c r="Q50" s="314"/>
      <c r="R50" s="314"/>
    </row>
    <row r="51" spans="1:18" s="380" customFormat="1" ht="12.95" customHeight="1">
      <c r="A51" s="314"/>
      <c r="B51" s="314"/>
      <c r="C51" s="314"/>
      <c r="D51" s="314"/>
      <c r="E51" s="314"/>
      <c r="F51" s="338"/>
      <c r="G51" s="364"/>
      <c r="H51" s="314"/>
      <c r="I51" s="314"/>
      <c r="J51" s="314"/>
      <c r="K51" s="314"/>
      <c r="L51" s="314"/>
      <c r="M51" s="314"/>
      <c r="N51" s="423"/>
      <c r="P51" s="314"/>
      <c r="Q51" s="314"/>
      <c r="R51" s="314"/>
    </row>
    <row r="52" spans="1:18" s="380" customFormat="1" ht="12.95" customHeight="1">
      <c r="A52" s="314"/>
      <c r="B52" s="314"/>
      <c r="C52" s="314"/>
      <c r="D52" s="314"/>
      <c r="E52" s="314"/>
      <c r="F52" s="338"/>
      <c r="G52" s="364"/>
      <c r="H52" s="314"/>
      <c r="I52" s="314"/>
      <c r="J52" s="314"/>
      <c r="K52" s="314"/>
      <c r="L52" s="314"/>
      <c r="M52" s="314"/>
      <c r="N52" s="423"/>
      <c r="P52" s="314"/>
      <c r="Q52" s="314"/>
      <c r="R52" s="314"/>
    </row>
    <row r="53" spans="1:18" s="380" customFormat="1" ht="12.95" customHeight="1">
      <c r="A53" s="314"/>
      <c r="B53" s="314"/>
      <c r="C53" s="314"/>
      <c r="D53" s="314"/>
      <c r="E53" s="314"/>
      <c r="F53" s="338"/>
      <c r="G53" s="364"/>
      <c r="H53" s="314"/>
      <c r="I53" s="314"/>
      <c r="J53" s="314"/>
      <c r="K53" s="314"/>
      <c r="L53" s="314"/>
      <c r="M53" s="314"/>
      <c r="N53" s="423"/>
      <c r="P53" s="314"/>
      <c r="Q53" s="314"/>
      <c r="R53" s="314"/>
    </row>
    <row r="54" spans="1:18" s="380" customFormat="1" ht="12.95" customHeight="1">
      <c r="A54" s="314"/>
      <c r="B54" s="314"/>
      <c r="C54" s="314"/>
      <c r="D54" s="314"/>
      <c r="E54" s="314"/>
      <c r="F54" s="338"/>
      <c r="G54" s="364"/>
      <c r="H54" s="314"/>
      <c r="I54" s="314"/>
      <c r="J54" s="314"/>
      <c r="K54" s="314"/>
      <c r="L54" s="314"/>
      <c r="M54" s="314"/>
      <c r="N54" s="423"/>
      <c r="P54" s="314"/>
      <c r="Q54" s="314"/>
      <c r="R54" s="314"/>
    </row>
    <row r="55" spans="1:18" s="380" customFormat="1" ht="12.95" customHeight="1">
      <c r="A55" s="314"/>
      <c r="B55" s="314"/>
      <c r="C55" s="314"/>
      <c r="D55" s="314"/>
      <c r="E55" s="314"/>
      <c r="F55" s="338"/>
      <c r="G55" s="364"/>
      <c r="H55" s="314"/>
      <c r="I55" s="314"/>
      <c r="J55" s="314"/>
      <c r="K55" s="314"/>
      <c r="L55" s="314"/>
      <c r="M55" s="314"/>
      <c r="N55" s="423"/>
      <c r="P55" s="314"/>
      <c r="Q55" s="314"/>
      <c r="R55" s="314"/>
    </row>
    <row r="56" spans="1:18" s="380" customFormat="1" ht="12.95" customHeight="1">
      <c r="A56" s="314"/>
      <c r="B56" s="314"/>
      <c r="C56" s="314"/>
      <c r="D56" s="314"/>
      <c r="E56" s="314"/>
      <c r="F56" s="338"/>
      <c r="G56" s="364"/>
      <c r="H56" s="314"/>
      <c r="I56" s="314"/>
      <c r="J56" s="314"/>
      <c r="K56" s="314"/>
      <c r="L56" s="314"/>
      <c r="M56" s="314"/>
      <c r="N56" s="423"/>
      <c r="P56" s="314"/>
      <c r="Q56" s="314"/>
      <c r="R56" s="314"/>
    </row>
    <row r="57" spans="1:18" s="380" customFormat="1" ht="12.95" customHeight="1">
      <c r="A57" s="314"/>
      <c r="B57" s="314"/>
      <c r="C57" s="314"/>
      <c r="D57" s="314"/>
      <c r="E57" s="314"/>
      <c r="F57" s="338"/>
      <c r="G57" s="364"/>
      <c r="H57" s="314"/>
      <c r="I57" s="314"/>
      <c r="J57" s="314"/>
      <c r="K57" s="314"/>
      <c r="L57" s="314"/>
      <c r="M57" s="314"/>
      <c r="N57" s="423"/>
      <c r="P57" s="314"/>
      <c r="Q57" s="314"/>
      <c r="R57" s="314"/>
    </row>
    <row r="58" spans="1:18" s="380" customFormat="1" ht="12.95" customHeight="1">
      <c r="A58" s="314"/>
      <c r="B58" s="314"/>
      <c r="C58" s="314"/>
      <c r="D58" s="314"/>
      <c r="E58" s="314"/>
      <c r="F58" s="338"/>
      <c r="G58" s="364"/>
      <c r="H58" s="314"/>
      <c r="I58" s="314"/>
      <c r="J58" s="314"/>
      <c r="K58" s="314"/>
      <c r="L58" s="314"/>
      <c r="M58" s="314"/>
      <c r="N58" s="423"/>
      <c r="P58" s="314"/>
      <c r="Q58" s="314"/>
      <c r="R58" s="314"/>
    </row>
    <row r="59" spans="1:18" s="380" customFormat="1" ht="12.95" customHeight="1">
      <c r="A59" s="314"/>
      <c r="B59" s="314"/>
      <c r="C59" s="314"/>
      <c r="D59" s="314"/>
      <c r="E59" s="314"/>
      <c r="F59" s="338"/>
      <c r="G59" s="364"/>
      <c r="H59" s="314"/>
      <c r="I59" s="314"/>
      <c r="J59" s="314"/>
      <c r="K59" s="314"/>
      <c r="L59" s="314"/>
      <c r="M59" s="314"/>
      <c r="N59" s="423"/>
      <c r="P59" s="314"/>
      <c r="Q59" s="314"/>
      <c r="R59" s="314"/>
    </row>
    <row r="60" spans="1:18" s="380" customFormat="1" ht="17.100000000000001" customHeight="1">
      <c r="A60" s="314"/>
      <c r="B60" s="314"/>
      <c r="C60" s="314"/>
      <c r="D60" s="314"/>
      <c r="E60" s="314"/>
      <c r="F60" s="338"/>
      <c r="G60" s="364"/>
      <c r="H60" s="314"/>
      <c r="I60" s="314"/>
      <c r="J60" s="314"/>
      <c r="K60" s="314"/>
      <c r="L60" s="314"/>
      <c r="M60" s="314"/>
      <c r="N60" s="423"/>
      <c r="P60" s="314"/>
      <c r="Q60" s="314"/>
      <c r="R60" s="314"/>
    </row>
    <row r="61" spans="1:18" s="380" customFormat="1" ht="14.25">
      <c r="A61" s="314"/>
      <c r="B61" s="314"/>
      <c r="C61" s="314"/>
      <c r="D61" s="314"/>
      <c r="E61" s="314"/>
      <c r="F61" s="338"/>
      <c r="G61" s="364"/>
      <c r="H61" s="314"/>
      <c r="I61" s="314"/>
      <c r="J61" s="314"/>
      <c r="K61" s="314"/>
      <c r="L61" s="314"/>
      <c r="M61" s="314"/>
      <c r="N61" s="423"/>
      <c r="P61" s="314"/>
      <c r="Q61" s="314"/>
      <c r="R61" s="314"/>
    </row>
    <row r="62" spans="1:18" s="380" customFormat="1" ht="14.25">
      <c r="A62" s="314"/>
      <c r="B62" s="314"/>
      <c r="C62" s="314"/>
      <c r="D62" s="314"/>
      <c r="E62" s="314"/>
      <c r="F62" s="338"/>
      <c r="G62" s="364"/>
      <c r="H62" s="314"/>
      <c r="I62" s="314"/>
      <c r="J62" s="314"/>
      <c r="K62" s="314"/>
      <c r="L62" s="314"/>
      <c r="M62" s="314"/>
      <c r="N62" s="423"/>
      <c r="P62" s="314"/>
      <c r="Q62" s="314"/>
      <c r="R62" s="314"/>
    </row>
    <row r="63" spans="1:18" s="380" customFormat="1" ht="14.25">
      <c r="A63" s="314"/>
      <c r="B63" s="314"/>
      <c r="C63" s="314"/>
      <c r="D63" s="314"/>
      <c r="E63" s="314"/>
      <c r="F63" s="338"/>
      <c r="G63" s="364"/>
      <c r="H63" s="314"/>
      <c r="I63" s="314"/>
      <c r="J63" s="314"/>
      <c r="K63" s="314"/>
      <c r="L63" s="314"/>
      <c r="M63" s="314"/>
      <c r="N63" s="423"/>
      <c r="P63" s="314"/>
      <c r="Q63" s="314"/>
      <c r="R63" s="314"/>
    </row>
    <row r="64" spans="1:18" s="380" customFormat="1" ht="14.25">
      <c r="A64" s="314"/>
      <c r="B64" s="314"/>
      <c r="C64" s="314"/>
      <c r="D64" s="314"/>
      <c r="E64" s="314"/>
      <c r="F64" s="338"/>
      <c r="G64" s="364"/>
      <c r="H64" s="314"/>
      <c r="I64" s="314"/>
      <c r="J64" s="314"/>
      <c r="K64" s="314"/>
      <c r="L64" s="314"/>
      <c r="M64" s="314"/>
      <c r="N64" s="423"/>
      <c r="P64" s="314"/>
      <c r="Q64" s="314"/>
      <c r="R64" s="314"/>
    </row>
    <row r="65" spans="1:18" s="380" customFormat="1" ht="14.25">
      <c r="A65" s="314"/>
      <c r="B65" s="314"/>
      <c r="C65" s="314"/>
      <c r="D65" s="314"/>
      <c r="E65" s="314"/>
      <c r="F65" s="338"/>
      <c r="G65" s="364"/>
      <c r="H65" s="314"/>
      <c r="I65" s="314"/>
      <c r="J65" s="314"/>
      <c r="K65" s="314"/>
      <c r="L65" s="314"/>
      <c r="M65" s="314"/>
      <c r="N65" s="423"/>
      <c r="P65" s="314"/>
      <c r="Q65" s="314"/>
      <c r="R65" s="314"/>
    </row>
    <row r="66" spans="1:18" s="380" customFormat="1" ht="14.25">
      <c r="A66" s="314"/>
      <c r="B66" s="314"/>
      <c r="C66" s="314"/>
      <c r="D66" s="314"/>
      <c r="E66" s="314"/>
      <c r="F66" s="338"/>
      <c r="G66" s="364"/>
      <c r="H66" s="314"/>
      <c r="I66" s="314"/>
      <c r="J66" s="314"/>
      <c r="K66" s="314"/>
      <c r="L66" s="314"/>
      <c r="M66" s="314"/>
      <c r="N66" s="423"/>
      <c r="P66" s="314"/>
      <c r="Q66" s="314"/>
      <c r="R66" s="314"/>
    </row>
    <row r="67" spans="1:18" s="380" customFormat="1" ht="14.25">
      <c r="A67" s="314"/>
      <c r="B67" s="314"/>
      <c r="C67" s="314"/>
      <c r="D67" s="314"/>
      <c r="E67" s="314"/>
      <c r="F67" s="338"/>
      <c r="G67" s="364"/>
      <c r="H67" s="314"/>
      <c r="I67" s="314"/>
      <c r="J67" s="314"/>
      <c r="K67" s="314"/>
      <c r="L67" s="314"/>
      <c r="M67" s="314"/>
      <c r="N67" s="423"/>
      <c r="P67" s="314"/>
      <c r="Q67" s="314"/>
      <c r="R67" s="314"/>
    </row>
    <row r="68" spans="1:18" s="380" customFormat="1" ht="14.25">
      <c r="A68" s="314"/>
      <c r="B68" s="314"/>
      <c r="C68" s="314"/>
      <c r="D68" s="314"/>
      <c r="E68" s="314"/>
      <c r="F68" s="338"/>
      <c r="G68" s="364"/>
      <c r="H68" s="314"/>
      <c r="I68" s="314"/>
      <c r="J68" s="314"/>
      <c r="K68" s="314"/>
      <c r="L68" s="314"/>
      <c r="M68" s="314"/>
      <c r="N68" s="423"/>
      <c r="P68" s="314"/>
      <c r="Q68" s="314"/>
      <c r="R68" s="314"/>
    </row>
    <row r="69" spans="1:18" s="380" customFormat="1" ht="14.25">
      <c r="A69" s="314"/>
      <c r="B69" s="314"/>
      <c r="C69" s="314"/>
      <c r="D69" s="314"/>
      <c r="E69" s="314"/>
      <c r="F69" s="338"/>
      <c r="G69" s="364"/>
      <c r="H69" s="314"/>
      <c r="I69" s="314"/>
      <c r="J69" s="314"/>
      <c r="K69" s="314"/>
      <c r="L69" s="314"/>
      <c r="M69" s="314"/>
      <c r="N69" s="423"/>
      <c r="P69" s="314"/>
      <c r="Q69" s="314"/>
      <c r="R69" s="314"/>
    </row>
    <row r="70" spans="1:18" s="380" customFormat="1" ht="14.25">
      <c r="A70" s="314"/>
      <c r="B70" s="314"/>
      <c r="C70" s="314"/>
      <c r="D70" s="314"/>
      <c r="E70" s="314"/>
      <c r="F70" s="338"/>
      <c r="G70" s="364"/>
      <c r="H70" s="314"/>
      <c r="I70" s="314"/>
      <c r="J70" s="314"/>
      <c r="K70" s="314"/>
      <c r="L70" s="314"/>
      <c r="M70" s="314"/>
      <c r="N70" s="423"/>
      <c r="P70" s="314"/>
      <c r="Q70" s="314"/>
      <c r="R70" s="314"/>
    </row>
    <row r="71" spans="1:18" s="380" customFormat="1" ht="14.25">
      <c r="A71" s="314"/>
      <c r="B71" s="314"/>
      <c r="C71" s="314"/>
      <c r="D71" s="314"/>
      <c r="E71" s="314"/>
      <c r="F71" s="338"/>
      <c r="G71" s="364"/>
      <c r="H71" s="314"/>
      <c r="I71" s="314"/>
      <c r="J71" s="314"/>
      <c r="K71" s="314"/>
      <c r="L71" s="314"/>
      <c r="M71" s="314"/>
      <c r="N71" s="423"/>
      <c r="P71" s="314"/>
      <c r="Q71" s="314"/>
      <c r="R71" s="314"/>
    </row>
    <row r="72" spans="1:18" s="380" customFormat="1" ht="14.25">
      <c r="A72" s="314"/>
      <c r="B72" s="314"/>
      <c r="C72" s="314"/>
      <c r="D72" s="314"/>
      <c r="E72" s="314"/>
      <c r="F72" s="338"/>
      <c r="G72" s="364"/>
      <c r="H72" s="314"/>
      <c r="I72" s="314"/>
      <c r="J72" s="314"/>
      <c r="K72" s="314"/>
      <c r="L72" s="314"/>
      <c r="M72" s="314"/>
      <c r="N72" s="423"/>
      <c r="P72" s="314"/>
      <c r="Q72" s="314"/>
      <c r="R72" s="314"/>
    </row>
    <row r="73" spans="1:18" s="380" customFormat="1" ht="14.25">
      <c r="A73" s="314"/>
      <c r="B73" s="314"/>
      <c r="C73" s="314"/>
      <c r="D73" s="314"/>
      <c r="E73" s="314"/>
      <c r="F73" s="338"/>
      <c r="G73" s="364"/>
      <c r="H73" s="314"/>
      <c r="I73" s="314"/>
      <c r="J73" s="314"/>
      <c r="K73" s="314"/>
      <c r="L73" s="314"/>
      <c r="M73" s="314"/>
      <c r="N73" s="423"/>
      <c r="P73" s="314"/>
      <c r="Q73" s="314"/>
      <c r="R73" s="314"/>
    </row>
    <row r="74" spans="1:18" s="380" customFormat="1" ht="14.25">
      <c r="A74" s="314"/>
      <c r="B74" s="314"/>
      <c r="C74" s="314"/>
      <c r="D74" s="314"/>
      <c r="E74" s="314"/>
      <c r="F74" s="338"/>
      <c r="G74" s="338"/>
      <c r="H74" s="314"/>
      <c r="I74" s="314"/>
      <c r="J74" s="314"/>
      <c r="K74" s="314"/>
      <c r="L74" s="314"/>
      <c r="M74" s="314"/>
      <c r="N74" s="423"/>
      <c r="P74" s="314"/>
      <c r="Q74" s="314"/>
      <c r="R74" s="314"/>
    </row>
    <row r="75" spans="1:18" s="380" customFormat="1" ht="14.25">
      <c r="A75" s="314"/>
      <c r="B75" s="314"/>
      <c r="C75" s="314"/>
      <c r="D75" s="314"/>
      <c r="E75" s="314"/>
      <c r="F75" s="338"/>
      <c r="G75" s="338"/>
      <c r="H75" s="314"/>
      <c r="I75" s="314"/>
      <c r="J75" s="314"/>
      <c r="K75" s="314"/>
      <c r="L75" s="314"/>
      <c r="M75" s="314"/>
      <c r="N75" s="423"/>
      <c r="P75" s="314"/>
      <c r="Q75" s="314"/>
      <c r="R75" s="314"/>
    </row>
    <row r="76" spans="1:18" s="380" customFormat="1" ht="14.25">
      <c r="A76" s="314"/>
      <c r="B76" s="314"/>
      <c r="C76" s="314"/>
      <c r="D76" s="314"/>
      <c r="E76" s="314"/>
      <c r="F76" s="338"/>
      <c r="G76" s="338"/>
      <c r="H76" s="314"/>
      <c r="I76" s="314"/>
      <c r="J76" s="314"/>
      <c r="K76" s="314"/>
      <c r="L76" s="314"/>
      <c r="M76" s="314"/>
      <c r="N76" s="423"/>
      <c r="P76" s="314"/>
      <c r="Q76" s="314"/>
      <c r="R76" s="314"/>
    </row>
    <row r="77" spans="1:18" s="380" customFormat="1" ht="14.25">
      <c r="A77" s="314"/>
      <c r="B77" s="314"/>
      <c r="C77" s="314"/>
      <c r="D77" s="314"/>
      <c r="E77" s="314"/>
      <c r="F77" s="338"/>
      <c r="G77" s="338"/>
      <c r="H77" s="314"/>
      <c r="I77" s="314"/>
      <c r="J77" s="314"/>
      <c r="K77" s="314"/>
      <c r="L77" s="314"/>
      <c r="M77" s="314"/>
      <c r="N77" s="423"/>
      <c r="P77" s="314"/>
      <c r="Q77" s="314"/>
      <c r="R77" s="314"/>
    </row>
    <row r="78" spans="1:18" s="380" customFormat="1" ht="14.25">
      <c r="A78" s="314"/>
      <c r="B78" s="314"/>
      <c r="C78" s="314"/>
      <c r="D78" s="314"/>
      <c r="E78" s="314"/>
      <c r="F78" s="338"/>
      <c r="G78" s="338"/>
      <c r="H78" s="314"/>
      <c r="I78" s="314"/>
      <c r="J78" s="314"/>
      <c r="K78" s="314"/>
      <c r="L78" s="314"/>
      <c r="M78" s="314"/>
      <c r="N78" s="423"/>
      <c r="P78" s="314"/>
      <c r="Q78" s="314"/>
      <c r="R78" s="314"/>
    </row>
    <row r="79" spans="1:18" s="380" customFormat="1" ht="14.25">
      <c r="A79" s="314"/>
      <c r="B79" s="314"/>
      <c r="C79" s="314"/>
      <c r="D79" s="314"/>
      <c r="E79" s="314"/>
      <c r="F79" s="338"/>
      <c r="G79" s="338"/>
      <c r="H79" s="314"/>
      <c r="I79" s="314"/>
      <c r="J79" s="314"/>
      <c r="K79" s="314"/>
      <c r="L79" s="314"/>
      <c r="M79" s="314"/>
      <c r="N79" s="423"/>
      <c r="P79" s="314"/>
      <c r="Q79" s="314"/>
      <c r="R79" s="314"/>
    </row>
    <row r="80" spans="1:18" s="380" customFormat="1" ht="14.25">
      <c r="A80" s="314"/>
      <c r="B80" s="314"/>
      <c r="C80" s="314"/>
      <c r="D80" s="314"/>
      <c r="E80" s="314"/>
      <c r="F80" s="338"/>
      <c r="G80" s="338"/>
      <c r="H80" s="314"/>
      <c r="I80" s="314"/>
      <c r="J80" s="314"/>
      <c r="K80" s="314"/>
      <c r="L80" s="314"/>
      <c r="M80" s="314"/>
      <c r="N80" s="423"/>
      <c r="P80" s="314"/>
      <c r="Q80" s="314"/>
      <c r="R80" s="314"/>
    </row>
    <row r="81" spans="1:18" s="380" customFormat="1" ht="14.25">
      <c r="A81" s="314"/>
      <c r="B81" s="314"/>
      <c r="C81" s="314"/>
      <c r="D81" s="314"/>
      <c r="E81" s="314"/>
      <c r="F81" s="338"/>
      <c r="G81" s="338"/>
      <c r="H81" s="314"/>
      <c r="I81" s="314"/>
      <c r="J81" s="314"/>
      <c r="K81" s="314"/>
      <c r="L81" s="314"/>
      <c r="M81" s="314"/>
      <c r="N81" s="423"/>
      <c r="P81" s="314"/>
      <c r="Q81" s="314"/>
      <c r="R81" s="314"/>
    </row>
    <row r="82" spans="1:18" s="380" customFormat="1" ht="14.25">
      <c r="A82" s="314"/>
      <c r="B82" s="314"/>
      <c r="C82" s="314"/>
      <c r="D82" s="314"/>
      <c r="E82" s="314"/>
      <c r="F82" s="338"/>
      <c r="G82" s="338"/>
      <c r="H82" s="314"/>
      <c r="I82" s="314"/>
      <c r="J82" s="314"/>
      <c r="K82" s="314"/>
      <c r="L82" s="314"/>
      <c r="M82" s="314"/>
      <c r="N82" s="423"/>
      <c r="P82" s="314"/>
      <c r="Q82" s="314"/>
      <c r="R82" s="314"/>
    </row>
    <row r="83" spans="1:18" s="380" customFormat="1" ht="14.25">
      <c r="A83" s="314"/>
      <c r="B83" s="314"/>
      <c r="C83" s="314"/>
      <c r="D83" s="314"/>
      <c r="E83" s="314"/>
      <c r="F83" s="338"/>
      <c r="G83" s="338"/>
      <c r="H83" s="314"/>
      <c r="I83" s="314"/>
      <c r="J83" s="314"/>
      <c r="K83" s="314"/>
      <c r="L83" s="314"/>
      <c r="M83" s="314"/>
      <c r="N83" s="423"/>
      <c r="P83" s="314"/>
      <c r="Q83" s="314"/>
      <c r="R83" s="314"/>
    </row>
    <row r="84" spans="1:18" s="380" customFormat="1" ht="14.25">
      <c r="A84" s="314"/>
      <c r="B84" s="314"/>
      <c r="C84" s="314"/>
      <c r="D84" s="314"/>
      <c r="E84" s="314"/>
      <c r="F84" s="338"/>
      <c r="G84" s="338"/>
      <c r="H84" s="314"/>
      <c r="I84" s="314"/>
      <c r="J84" s="314"/>
      <c r="K84" s="314"/>
      <c r="L84" s="314"/>
      <c r="M84" s="314"/>
      <c r="N84" s="423"/>
      <c r="P84" s="314"/>
      <c r="Q84" s="314"/>
      <c r="R84" s="314"/>
    </row>
    <row r="85" spans="1:18" s="380" customFormat="1" ht="14.25">
      <c r="A85" s="314"/>
      <c r="B85" s="314"/>
      <c r="C85" s="314"/>
      <c r="D85" s="314"/>
      <c r="E85" s="314"/>
      <c r="F85" s="338"/>
      <c r="G85" s="338"/>
      <c r="H85" s="314"/>
      <c r="I85" s="314"/>
      <c r="J85" s="314"/>
      <c r="K85" s="314"/>
      <c r="L85" s="314"/>
      <c r="M85" s="314"/>
      <c r="N85" s="423"/>
      <c r="P85" s="314"/>
      <c r="Q85" s="314"/>
      <c r="R85" s="314"/>
    </row>
    <row r="86" spans="1:18" s="380" customFormat="1" ht="14.25">
      <c r="A86" s="314"/>
      <c r="B86" s="314"/>
      <c r="C86" s="314"/>
      <c r="D86" s="314"/>
      <c r="E86" s="314"/>
      <c r="F86" s="338"/>
      <c r="G86" s="338"/>
      <c r="H86" s="314"/>
      <c r="I86" s="314"/>
      <c r="J86" s="314"/>
      <c r="K86" s="314"/>
      <c r="L86" s="314"/>
      <c r="M86" s="314"/>
      <c r="N86" s="423"/>
      <c r="P86" s="314"/>
      <c r="Q86" s="314"/>
      <c r="R86" s="314"/>
    </row>
    <row r="87" spans="1:18" s="380" customFormat="1" ht="14.25">
      <c r="A87" s="314"/>
      <c r="B87" s="314"/>
      <c r="C87" s="314"/>
      <c r="D87" s="314"/>
      <c r="E87" s="314"/>
      <c r="F87" s="338"/>
      <c r="G87" s="338"/>
      <c r="H87" s="314"/>
      <c r="I87" s="314"/>
      <c r="J87" s="314"/>
      <c r="K87" s="314"/>
      <c r="L87" s="314"/>
      <c r="M87" s="314"/>
      <c r="N87" s="423"/>
      <c r="P87" s="314"/>
      <c r="Q87" s="314"/>
      <c r="R87" s="314"/>
    </row>
    <row r="88" spans="1:18" s="380" customFormat="1" ht="14.25">
      <c r="A88" s="314"/>
      <c r="B88" s="314"/>
      <c r="C88" s="314"/>
      <c r="D88" s="314"/>
      <c r="E88" s="314"/>
      <c r="F88" s="338"/>
      <c r="G88" s="338"/>
      <c r="H88" s="314"/>
      <c r="I88" s="314"/>
      <c r="J88" s="314"/>
      <c r="K88" s="314"/>
      <c r="L88" s="314"/>
      <c r="M88" s="314"/>
      <c r="N88" s="423"/>
      <c r="P88" s="314"/>
      <c r="Q88" s="314"/>
      <c r="R88" s="314"/>
    </row>
    <row r="89" spans="1:18" s="380" customFormat="1" ht="14.25">
      <c r="A89" s="314"/>
      <c r="B89" s="314"/>
      <c r="C89" s="314"/>
      <c r="D89" s="314"/>
      <c r="E89" s="314"/>
      <c r="F89" s="338"/>
      <c r="G89" s="338"/>
      <c r="H89" s="314"/>
      <c r="I89" s="314"/>
      <c r="J89" s="314"/>
      <c r="K89" s="314"/>
      <c r="L89" s="314"/>
      <c r="M89" s="314"/>
      <c r="N89" s="423"/>
      <c r="P89" s="314"/>
      <c r="Q89" s="314"/>
      <c r="R89" s="314"/>
    </row>
    <row r="90" spans="1:18" s="380" customFormat="1" ht="14.25">
      <c r="A90" s="314"/>
      <c r="B90" s="314"/>
      <c r="C90" s="314"/>
      <c r="D90" s="314"/>
      <c r="E90" s="314"/>
      <c r="F90" s="338"/>
      <c r="G90" s="338"/>
      <c r="H90" s="314"/>
      <c r="I90" s="314"/>
      <c r="J90" s="314"/>
      <c r="K90" s="314"/>
      <c r="L90" s="314"/>
      <c r="M90" s="314"/>
      <c r="N90" s="423"/>
      <c r="P90" s="314"/>
      <c r="Q90" s="314"/>
      <c r="R90" s="314"/>
    </row>
    <row r="91" spans="1:18" s="380" customFormat="1">
      <c r="A91" s="314"/>
      <c r="B91" s="314"/>
      <c r="C91" s="314"/>
      <c r="D91" s="314"/>
      <c r="E91" s="314"/>
      <c r="F91" s="319"/>
      <c r="G91" s="338"/>
      <c r="H91" s="314"/>
      <c r="I91" s="314"/>
      <c r="J91" s="314"/>
      <c r="K91" s="314"/>
      <c r="L91" s="314"/>
      <c r="M91" s="314"/>
      <c r="N91" s="314"/>
      <c r="P91" s="314"/>
      <c r="Q91" s="314"/>
      <c r="R91" s="314"/>
    </row>
    <row r="92" spans="1:18" s="380" customFormat="1">
      <c r="A92" s="314"/>
      <c r="B92" s="314"/>
      <c r="C92" s="314"/>
      <c r="D92" s="314"/>
      <c r="E92" s="314"/>
      <c r="F92" s="319"/>
      <c r="G92" s="338"/>
      <c r="H92" s="314"/>
      <c r="I92" s="314"/>
      <c r="J92" s="314"/>
      <c r="K92" s="314"/>
      <c r="L92" s="314"/>
      <c r="M92" s="314"/>
      <c r="N92" s="314"/>
      <c r="P92" s="314"/>
      <c r="Q92" s="314"/>
      <c r="R92" s="314"/>
    </row>
    <row r="93" spans="1:18" s="380" customFormat="1">
      <c r="A93" s="314"/>
      <c r="B93" s="314"/>
      <c r="C93" s="314"/>
      <c r="D93" s="314"/>
      <c r="E93" s="314"/>
      <c r="F93" s="319"/>
      <c r="G93" s="338"/>
      <c r="H93" s="314"/>
      <c r="I93" s="314"/>
      <c r="J93" s="314"/>
      <c r="K93" s="314"/>
      <c r="L93" s="314"/>
      <c r="M93" s="314"/>
      <c r="N93" s="314"/>
      <c r="P93" s="314"/>
      <c r="Q93" s="314"/>
      <c r="R93" s="314"/>
    </row>
    <row r="94" spans="1:18" s="380" customFormat="1">
      <c r="A94" s="314"/>
      <c r="B94" s="314"/>
      <c r="C94" s="314"/>
      <c r="D94" s="314"/>
      <c r="E94" s="314"/>
      <c r="F94" s="319"/>
      <c r="G94" s="338"/>
      <c r="H94" s="314"/>
      <c r="I94" s="314"/>
      <c r="J94" s="314"/>
      <c r="K94" s="314"/>
      <c r="L94" s="314"/>
      <c r="M94" s="314"/>
      <c r="N94" s="314"/>
      <c r="P94" s="314"/>
      <c r="Q94" s="314"/>
      <c r="R94" s="314"/>
    </row>
    <row r="95" spans="1:18" s="380" customFormat="1">
      <c r="A95" s="314"/>
      <c r="B95" s="314"/>
      <c r="C95" s="314"/>
      <c r="D95" s="314"/>
      <c r="E95" s="314"/>
      <c r="F95" s="319"/>
      <c r="G95" s="338"/>
      <c r="H95" s="314"/>
      <c r="I95" s="314"/>
      <c r="J95" s="314"/>
      <c r="K95" s="314"/>
      <c r="L95" s="314"/>
      <c r="M95" s="314"/>
      <c r="N95" s="314"/>
      <c r="P95" s="314"/>
      <c r="Q95" s="314"/>
      <c r="R95" s="314"/>
    </row>
    <row r="96" spans="1:18">
      <c r="G96" s="338"/>
    </row>
  </sheetData>
  <mergeCells count="14">
    <mergeCell ref="K4:K5"/>
    <mergeCell ref="L4:N4"/>
    <mergeCell ref="O4:O5"/>
    <mergeCell ref="B2:N2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96"/>
  <sheetViews>
    <sheetView zoomScaleNormal="100" workbookViewId="0">
      <selection activeCell="O38" sqref="O3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8" ht="13.5" thickBot="1"/>
    <row r="2" spans="1:18" s="408" customFormat="1" ht="20.100000000000001" customHeight="1" thickTop="1" thickBot="1">
      <c r="B2" s="897" t="s">
        <v>730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8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8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8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8" s="2" customFormat="1" ht="12.95" customHeight="1">
      <c r="A7" s="312"/>
      <c r="B7" s="6" t="s">
        <v>120</v>
      </c>
      <c r="C7" s="7" t="s">
        <v>80</v>
      </c>
      <c r="D7" s="7" t="s">
        <v>81</v>
      </c>
      <c r="E7" s="667" t="s">
        <v>818</v>
      </c>
      <c r="F7" s="5"/>
      <c r="G7" s="313"/>
      <c r="H7" s="5"/>
      <c r="I7" s="5"/>
      <c r="J7" s="5"/>
      <c r="K7" s="574"/>
      <c r="L7" s="4"/>
      <c r="M7" s="313"/>
      <c r="N7" s="717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301560</v>
      </c>
      <c r="J8" s="556">
        <f t="shared" ref="J8:L8" si="1">SUM(J9:J12)</f>
        <v>301560</v>
      </c>
      <c r="K8" s="556">
        <f>SUM(K9:K11)</f>
        <v>219755</v>
      </c>
      <c r="L8" s="573">
        <f t="shared" si="1"/>
        <v>302570</v>
      </c>
      <c r="M8" s="236">
        <f>SUM(M9:M12)</f>
        <v>0</v>
      </c>
      <c r="N8" s="718">
        <f>SUM(N9:N12)</f>
        <v>302570</v>
      </c>
      <c r="O8" s="376">
        <f>IF(J8=0,"",N8/J8*100)</f>
        <v>100.33492505637352</v>
      </c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237070</v>
      </c>
      <c r="J9" s="557">
        <v>237070</v>
      </c>
      <c r="K9" s="557">
        <v>173509</v>
      </c>
      <c r="L9" s="572">
        <f>236800+400+2*790</f>
        <v>238780</v>
      </c>
      <c r="M9" s="235">
        <v>0</v>
      </c>
      <c r="N9" s="719">
        <f>SUM(L9:M9)</f>
        <v>238780</v>
      </c>
      <c r="O9" s="377">
        <f>IF(J9=0,"",N9/J9*100)</f>
        <v>100.72130594339224</v>
      </c>
      <c r="P9" s="55"/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64490</v>
      </c>
      <c r="J10" s="557">
        <v>64490</v>
      </c>
      <c r="K10" s="557">
        <v>46246</v>
      </c>
      <c r="L10" s="572">
        <f>61570+420+1800</f>
        <v>63790</v>
      </c>
      <c r="M10" s="235">
        <v>0</v>
      </c>
      <c r="N10" s="719">
        <f t="shared" ref="N10:N11" si="2">SUM(L10:M10)</f>
        <v>63790</v>
      </c>
      <c r="O10" s="377">
        <f t="shared" ref="O10:O35" si="3">IF(J10=0,"",N10/J10*100)</f>
        <v>98.914560396960766</v>
      </c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v>0</v>
      </c>
      <c r="J11" s="557">
        <v>0</v>
      </c>
      <c r="K11" s="557">
        <v>0</v>
      </c>
      <c r="L11" s="572">
        <v>0</v>
      </c>
      <c r="M11" s="235">
        <v>0</v>
      </c>
      <c r="N11" s="719">
        <f t="shared" si="2"/>
        <v>0</v>
      </c>
      <c r="O11" s="377" t="str">
        <f t="shared" si="3"/>
        <v/>
      </c>
      <c r="Q11" s="62"/>
    </row>
    <row r="12" spans="1:18" ht="12.95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19"/>
      <c r="O12" s="377" t="str">
        <f t="shared" si="3"/>
        <v/>
      </c>
      <c r="Q12" s="55"/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4">I14</f>
        <v>26250</v>
      </c>
      <c r="J13" s="556">
        <f t="shared" si="4"/>
        <v>26250</v>
      </c>
      <c r="K13" s="556">
        <f>K14</f>
        <v>18908</v>
      </c>
      <c r="L13" s="573">
        <f t="shared" si="4"/>
        <v>25950</v>
      </c>
      <c r="M13" s="236">
        <f>M14</f>
        <v>0</v>
      </c>
      <c r="N13" s="718">
        <f>N14</f>
        <v>25950</v>
      </c>
      <c r="O13" s="376">
        <f t="shared" si="3"/>
        <v>98.857142857142861</v>
      </c>
      <c r="Q13" s="68"/>
      <c r="R13" s="68"/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26250</v>
      </c>
      <c r="J14" s="557">
        <v>26250</v>
      </c>
      <c r="K14" s="557">
        <v>18908</v>
      </c>
      <c r="L14" s="572">
        <f>25620+150+2*90</f>
        <v>25950</v>
      </c>
      <c r="M14" s="235">
        <v>0</v>
      </c>
      <c r="N14" s="719">
        <f>SUM(L14:M14)</f>
        <v>25950</v>
      </c>
      <c r="O14" s="377">
        <f t="shared" si="3"/>
        <v>98.857142857142861</v>
      </c>
    </row>
    <row r="15" spans="1:18" ht="12.95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10"/>
      <c r="N15" s="720"/>
      <c r="O15" s="377" t="str">
        <f t="shared" si="3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5">SUM(I17:I26)</f>
        <v>405000</v>
      </c>
      <c r="J16" s="556">
        <f t="shared" ref="J16:L16" si="6">SUM(J17:J26)</f>
        <v>405000</v>
      </c>
      <c r="K16" s="556">
        <f>SUM(K17:K26)</f>
        <v>234916</v>
      </c>
      <c r="L16" s="573">
        <f t="shared" si="6"/>
        <v>420500</v>
      </c>
      <c r="M16" s="323">
        <f>SUM(M17:M26)</f>
        <v>0</v>
      </c>
      <c r="N16" s="721">
        <f>SUM(N17:N26)</f>
        <v>420500</v>
      </c>
      <c r="O16" s="376">
        <f t="shared" si="3"/>
        <v>103.82716049382717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6000</v>
      </c>
      <c r="J17" s="557">
        <v>6000</v>
      </c>
      <c r="K17" s="557">
        <v>1542</v>
      </c>
      <c r="L17" s="572">
        <v>4500</v>
      </c>
      <c r="M17" s="396">
        <v>0</v>
      </c>
      <c r="N17" s="719">
        <f t="shared" ref="N17:N26" si="7">SUM(L17:M17)</f>
        <v>4500</v>
      </c>
      <c r="O17" s="377">
        <f t="shared" si="3"/>
        <v>75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v>95000</v>
      </c>
      <c r="J18" s="557">
        <v>95000</v>
      </c>
      <c r="K18" s="557">
        <v>36123</v>
      </c>
      <c r="L18" s="572">
        <v>95000</v>
      </c>
      <c r="M18" s="393">
        <v>0</v>
      </c>
      <c r="N18" s="719">
        <f t="shared" si="7"/>
        <v>95000</v>
      </c>
      <c r="O18" s="377">
        <f t="shared" si="3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41000</v>
      </c>
      <c r="J19" s="557">
        <v>41000</v>
      </c>
      <c r="K19" s="557">
        <v>36756</v>
      </c>
      <c r="L19" s="572">
        <v>68000</v>
      </c>
      <c r="M19" s="393">
        <v>0</v>
      </c>
      <c r="N19" s="719">
        <f t="shared" si="7"/>
        <v>68000</v>
      </c>
      <c r="O19" s="377">
        <f t="shared" si="3"/>
        <v>165.85365853658536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84000</v>
      </c>
      <c r="J20" s="557">
        <v>84000</v>
      </c>
      <c r="K20" s="557">
        <v>58739</v>
      </c>
      <c r="L20" s="572">
        <v>84000</v>
      </c>
      <c r="M20" s="393">
        <v>0</v>
      </c>
      <c r="N20" s="719">
        <f t="shared" si="7"/>
        <v>84000</v>
      </c>
      <c r="O20" s="377">
        <f t="shared" si="3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v>72000</v>
      </c>
      <c r="J21" s="557">
        <v>72000</v>
      </c>
      <c r="K21" s="557">
        <v>35689</v>
      </c>
      <c r="L21" s="572">
        <v>62000</v>
      </c>
      <c r="M21" s="393">
        <v>0</v>
      </c>
      <c r="N21" s="719">
        <f t="shared" si="7"/>
        <v>62000</v>
      </c>
      <c r="O21" s="377">
        <f t="shared" si="3"/>
        <v>86.111111111111114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v>0</v>
      </c>
      <c r="J22" s="557">
        <v>0</v>
      </c>
      <c r="K22" s="557">
        <v>0</v>
      </c>
      <c r="L22" s="572">
        <v>0</v>
      </c>
      <c r="M22" s="393">
        <v>0</v>
      </c>
      <c r="N22" s="719">
        <f t="shared" si="7"/>
        <v>0</v>
      </c>
      <c r="O22" s="377" t="str">
        <f t="shared" si="3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41000</v>
      </c>
      <c r="J23" s="557">
        <v>41000</v>
      </c>
      <c r="K23" s="557">
        <v>17654</v>
      </c>
      <c r="L23" s="572">
        <v>41000</v>
      </c>
      <c r="M23" s="393">
        <v>0</v>
      </c>
      <c r="N23" s="719">
        <f t="shared" si="7"/>
        <v>41000</v>
      </c>
      <c r="O23" s="377">
        <f t="shared" si="3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v>9000</v>
      </c>
      <c r="J24" s="557">
        <v>9000</v>
      </c>
      <c r="K24" s="557">
        <v>4624</v>
      </c>
      <c r="L24" s="572">
        <v>9000</v>
      </c>
      <c r="M24" s="393">
        <v>0</v>
      </c>
      <c r="N24" s="719">
        <f t="shared" si="7"/>
        <v>9000</v>
      </c>
      <c r="O24" s="377">
        <f t="shared" si="3"/>
        <v>100</v>
      </c>
      <c r="P24" s="55"/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57000</v>
      </c>
      <c r="J25" s="557">
        <v>57000</v>
      </c>
      <c r="K25" s="557">
        <v>43789</v>
      </c>
      <c r="L25" s="572">
        <v>57000</v>
      </c>
      <c r="M25" s="396">
        <v>0</v>
      </c>
      <c r="N25" s="719">
        <f t="shared" si="7"/>
        <v>57000</v>
      </c>
      <c r="O25" s="377">
        <f t="shared" si="3"/>
        <v>100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557">
        <v>0</v>
      </c>
      <c r="K26" s="557">
        <v>0</v>
      </c>
      <c r="L26" s="572">
        <v>0</v>
      </c>
      <c r="M26" s="395">
        <v>0</v>
      </c>
      <c r="N26" s="719">
        <f t="shared" si="7"/>
        <v>0</v>
      </c>
      <c r="O26" s="377" t="str">
        <f t="shared" si="3"/>
        <v/>
      </c>
    </row>
    <row r="27" spans="1:16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09"/>
      <c r="N27" s="720"/>
      <c r="O27" s="377" t="str">
        <f t="shared" si="3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8">SUM(I29:I30)</f>
        <v>40000</v>
      </c>
      <c r="J28" s="556">
        <f t="shared" ref="J28:L28" si="9">SUM(J29:J30)</f>
        <v>40000</v>
      </c>
      <c r="K28" s="556">
        <f>SUM(K29:K30)</f>
        <v>38082</v>
      </c>
      <c r="L28" s="573">
        <f t="shared" si="9"/>
        <v>40000</v>
      </c>
      <c r="M28" s="318">
        <f>SUM(M29:M30)</f>
        <v>0</v>
      </c>
      <c r="N28" s="721">
        <f>SUM(N29:N30)</f>
        <v>40000</v>
      </c>
      <c r="O28" s="376">
        <f t="shared" si="3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J29" si="10">SUM(G29:H29)</f>
        <v>0</v>
      </c>
      <c r="J29" s="557">
        <f t="shared" si="10"/>
        <v>0</v>
      </c>
      <c r="K29" s="557">
        <v>0</v>
      </c>
      <c r="L29" s="572">
        <v>0</v>
      </c>
      <c r="M29" s="310">
        <v>0</v>
      </c>
      <c r="N29" s="719">
        <f t="shared" ref="N29:N30" si="11">SUM(L29:M29)</f>
        <v>0</v>
      </c>
      <c r="O29" s="377" t="str">
        <f t="shared" si="3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40000</v>
      </c>
      <c r="J30" s="557">
        <v>40000</v>
      </c>
      <c r="K30" s="557">
        <v>38082</v>
      </c>
      <c r="L30" s="572">
        <v>40000</v>
      </c>
      <c r="M30" s="310">
        <v>0</v>
      </c>
      <c r="N30" s="719">
        <f t="shared" si="11"/>
        <v>40000</v>
      </c>
      <c r="O30" s="377">
        <f t="shared" si="3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556"/>
      <c r="J31" s="556"/>
      <c r="K31" s="556"/>
      <c r="L31" s="573"/>
      <c r="M31" s="318"/>
      <c r="N31" s="721"/>
      <c r="O31" s="377" t="str">
        <f t="shared" si="3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19</v>
      </c>
      <c r="J32" s="556">
        <v>19</v>
      </c>
      <c r="K32" s="556">
        <v>17</v>
      </c>
      <c r="L32" s="573">
        <v>18</v>
      </c>
      <c r="M32" s="325"/>
      <c r="N32" s="721">
        <v>18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772810</v>
      </c>
      <c r="J33" s="318">
        <f>J8+J13+J16+J28</f>
        <v>772810</v>
      </c>
      <c r="K33" s="575">
        <f t="shared" ref="K33" si="12">K8+K13+K16+K28</f>
        <v>511661</v>
      </c>
      <c r="L33" s="582">
        <f>L8+L13+L16+L28</f>
        <v>789020</v>
      </c>
      <c r="M33" s="318">
        <f>M8+M13+M16+M28</f>
        <v>0</v>
      </c>
      <c r="N33" s="721">
        <f>N8+N13+N16+N28</f>
        <v>789020</v>
      </c>
      <c r="O33" s="376">
        <f t="shared" si="3"/>
        <v>102.09754014570206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772810</v>
      </c>
      <c r="J34" s="15">
        <f>J33</f>
        <v>772810</v>
      </c>
      <c r="K34" s="575">
        <f t="shared" ref="K34" si="13">K33</f>
        <v>511661</v>
      </c>
      <c r="L34" s="582">
        <f t="shared" ref="L34:N35" si="14">L33</f>
        <v>789020</v>
      </c>
      <c r="M34" s="318">
        <f t="shared" si="14"/>
        <v>0</v>
      </c>
      <c r="N34" s="721">
        <f t="shared" si="14"/>
        <v>789020</v>
      </c>
      <c r="O34" s="376">
        <f>IF(J34=0,"",N34/J34*100)</f>
        <v>102.09754014570206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772810</v>
      </c>
      <c r="J35" s="15">
        <f>J34</f>
        <v>772810</v>
      </c>
      <c r="K35" s="575">
        <f t="shared" ref="K35" si="15">K34</f>
        <v>511661</v>
      </c>
      <c r="L35" s="582">
        <f t="shared" si="14"/>
        <v>789020</v>
      </c>
      <c r="M35" s="318">
        <f t="shared" si="14"/>
        <v>0</v>
      </c>
      <c r="N35" s="721">
        <f t="shared" si="14"/>
        <v>789020</v>
      </c>
      <c r="O35" s="376">
        <f t="shared" si="3"/>
        <v>102.09754014570206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  <c r="O38" s="840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Q96"/>
  <sheetViews>
    <sheetView zoomScaleNormal="100" workbookViewId="0">
      <selection activeCell="S21" sqref="S2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121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122</v>
      </c>
      <c r="C7" s="7" t="s">
        <v>80</v>
      </c>
      <c r="D7" s="7" t="s">
        <v>81</v>
      </c>
      <c r="E7" s="667" t="s">
        <v>819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5292540</v>
      </c>
      <c r="J8" s="733">
        <f t="shared" si="0"/>
        <v>5292540</v>
      </c>
      <c r="K8" s="739">
        <f t="shared" si="0"/>
        <v>3923991</v>
      </c>
      <c r="L8" s="578">
        <f t="shared" si="0"/>
        <v>5369340</v>
      </c>
      <c r="M8" s="236">
        <f t="shared" si="0"/>
        <v>0</v>
      </c>
      <c r="N8" s="718">
        <f t="shared" si="0"/>
        <v>5369340</v>
      </c>
      <c r="O8" s="376">
        <f>IF(J8=0,"",N8/J8*100)</f>
        <v>101.45109909419673</v>
      </c>
      <c r="Q8" s="64"/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4412100</v>
      </c>
      <c r="J9" s="734">
        <v>4412100</v>
      </c>
      <c r="K9" s="736">
        <v>3274772</v>
      </c>
      <c r="L9" s="579">
        <f>4458130+5000+3800</f>
        <v>4466930</v>
      </c>
      <c r="M9" s="235">
        <v>0</v>
      </c>
      <c r="N9" s="719">
        <f>SUM(L9:M9)</f>
        <v>4466930</v>
      </c>
      <c r="O9" s="377">
        <f>IF(J9=0,"",N9/J9*100)</f>
        <v>101.24271888669793</v>
      </c>
      <c r="P9" s="79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4">
        <v>880440</v>
      </c>
      <c r="J10" s="734">
        <v>880440</v>
      </c>
      <c r="K10" s="736">
        <v>649219</v>
      </c>
      <c r="L10" s="579">
        <f>851710+14800+8400+6000+21500</f>
        <v>902410</v>
      </c>
      <c r="M10" s="235">
        <v>0</v>
      </c>
      <c r="N10" s="719">
        <f t="shared" ref="N10:N11" si="1">SUM(L10:M10)</f>
        <v>902410</v>
      </c>
      <c r="O10" s="377">
        <f t="shared" ref="O10:O35" si="2">IF(J10=0,"",N10/J10*100)</f>
        <v>102.49534323747218</v>
      </c>
      <c r="P10" s="80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734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4"/>
      <c r="J12" s="734"/>
      <c r="K12" s="736"/>
      <c r="L12" s="579"/>
      <c r="M12" s="235"/>
      <c r="N12" s="719"/>
      <c r="O12" s="377" t="str">
        <f t="shared" si="2"/>
        <v/>
      </c>
      <c r="P12" s="80"/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687980</v>
      </c>
      <c r="J13" s="733">
        <f t="shared" si="3"/>
        <v>687980</v>
      </c>
      <c r="K13" s="739">
        <f t="shared" si="3"/>
        <v>508304</v>
      </c>
      <c r="L13" s="578">
        <f t="shared" si="3"/>
        <v>694050</v>
      </c>
      <c r="M13" s="236">
        <f t="shared" si="3"/>
        <v>0</v>
      </c>
      <c r="N13" s="718">
        <f t="shared" si="3"/>
        <v>694050</v>
      </c>
      <c r="O13" s="376">
        <f t="shared" si="2"/>
        <v>100.88229308991541</v>
      </c>
      <c r="P13" s="81"/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687980</v>
      </c>
      <c r="J14" s="734">
        <v>687980</v>
      </c>
      <c r="K14" s="736">
        <v>508304</v>
      </c>
      <c r="L14" s="579">
        <f>692150+1500+400</f>
        <v>694050</v>
      </c>
      <c r="M14" s="235">
        <v>0</v>
      </c>
      <c r="N14" s="719">
        <f>SUM(L14:M14)</f>
        <v>694050</v>
      </c>
      <c r="O14" s="377">
        <f t="shared" si="2"/>
        <v>100.88229308991541</v>
      </c>
      <c r="P14" s="79"/>
    </row>
    <row r="15" spans="1:17" ht="12.95" customHeight="1">
      <c r="B15" s="10"/>
      <c r="C15" s="11"/>
      <c r="D15" s="11"/>
      <c r="E15" s="316"/>
      <c r="F15" s="336"/>
      <c r="G15" s="362"/>
      <c r="H15" s="20"/>
      <c r="I15" s="735"/>
      <c r="J15" s="735"/>
      <c r="K15" s="736"/>
      <c r="L15" s="583"/>
      <c r="M15" s="310"/>
      <c r="N15" s="720"/>
      <c r="O15" s="377" t="str">
        <f t="shared" si="2"/>
        <v/>
      </c>
      <c r="P15" s="80"/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632">
        <f t="shared" ref="I16:N16" si="4">SUM(I17:I26)</f>
        <v>720800</v>
      </c>
      <c r="J16" s="632">
        <f t="shared" si="4"/>
        <v>720800</v>
      </c>
      <c r="K16" s="739">
        <f t="shared" si="4"/>
        <v>496685</v>
      </c>
      <c r="L16" s="588">
        <f t="shared" si="4"/>
        <v>775000</v>
      </c>
      <c r="M16" s="325">
        <f t="shared" si="4"/>
        <v>0</v>
      </c>
      <c r="N16" s="721">
        <f t="shared" si="4"/>
        <v>775000</v>
      </c>
      <c r="O16" s="376">
        <f t="shared" si="2"/>
        <v>107.51942286348502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6">
        <v>12000</v>
      </c>
      <c r="J17" s="736">
        <v>5000</v>
      </c>
      <c r="K17" s="736">
        <v>2648</v>
      </c>
      <c r="L17" s="568">
        <v>5000</v>
      </c>
      <c r="M17" s="396">
        <v>0</v>
      </c>
      <c r="N17" s="719">
        <f t="shared" ref="N17:N26" si="5">SUM(L17:M17)</f>
        <v>5000</v>
      </c>
      <c r="O17" s="377">
        <f t="shared" si="2"/>
        <v>100</v>
      </c>
      <c r="Q17" s="63"/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36">
        <v>90000</v>
      </c>
      <c r="J18" s="736">
        <v>90000</v>
      </c>
      <c r="K18" s="736">
        <v>47120</v>
      </c>
      <c r="L18" s="568">
        <v>90000</v>
      </c>
      <c r="M18" s="396">
        <v>0</v>
      </c>
      <c r="N18" s="719">
        <f t="shared" si="5"/>
        <v>90000</v>
      </c>
      <c r="O18" s="377">
        <f t="shared" si="2"/>
        <v>100</v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6">
        <v>92000</v>
      </c>
      <c r="J19" s="736">
        <v>92000</v>
      </c>
      <c r="K19" s="736">
        <v>55214</v>
      </c>
      <c r="L19" s="568">
        <v>82000</v>
      </c>
      <c r="M19" s="396">
        <v>0</v>
      </c>
      <c r="N19" s="719">
        <f t="shared" si="5"/>
        <v>82000</v>
      </c>
      <c r="O19" s="377">
        <f t="shared" si="2"/>
        <v>89.130434782608688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6">
        <v>175000</v>
      </c>
      <c r="J20" s="736">
        <v>175000</v>
      </c>
      <c r="K20" s="736">
        <v>138451</v>
      </c>
      <c r="L20" s="568">
        <v>175000</v>
      </c>
      <c r="M20" s="396">
        <v>0</v>
      </c>
      <c r="N20" s="719">
        <f t="shared" si="5"/>
        <v>175000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6">
        <v>106000</v>
      </c>
      <c r="J21" s="736">
        <v>106000</v>
      </c>
      <c r="K21" s="736">
        <v>75536</v>
      </c>
      <c r="L21" s="568">
        <v>108000</v>
      </c>
      <c r="M21" s="396">
        <v>0</v>
      </c>
      <c r="N21" s="719">
        <f t="shared" si="5"/>
        <v>108000</v>
      </c>
      <c r="O21" s="377">
        <f t="shared" si="2"/>
        <v>101.88679245283019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6">
        <v>27000</v>
      </c>
      <c r="J22" s="736">
        <v>27000</v>
      </c>
      <c r="K22" s="736">
        <v>20250</v>
      </c>
      <c r="L22" s="568">
        <v>27000</v>
      </c>
      <c r="M22" s="396">
        <v>0</v>
      </c>
      <c r="N22" s="719">
        <f t="shared" si="5"/>
        <v>27000</v>
      </c>
      <c r="O22" s="377">
        <f t="shared" si="2"/>
        <v>100</v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77000</v>
      </c>
      <c r="J23" s="736">
        <v>84000</v>
      </c>
      <c r="K23" s="736">
        <v>79179</v>
      </c>
      <c r="L23" s="568">
        <v>106000</v>
      </c>
      <c r="M23" s="396">
        <v>0</v>
      </c>
      <c r="N23" s="719">
        <f t="shared" si="5"/>
        <v>106000</v>
      </c>
      <c r="O23" s="377">
        <f t="shared" si="2"/>
        <v>126.19047619047619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18000</v>
      </c>
      <c r="J24" s="736">
        <v>18000</v>
      </c>
      <c r="K24" s="736">
        <v>9945</v>
      </c>
      <c r="L24" s="568">
        <v>18000</v>
      </c>
      <c r="M24" s="396">
        <v>0</v>
      </c>
      <c r="N24" s="719">
        <f t="shared" si="5"/>
        <v>18000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6">
        <v>123800</v>
      </c>
      <c r="J25" s="736">
        <v>123800</v>
      </c>
      <c r="K25" s="736">
        <v>68342</v>
      </c>
      <c r="L25" s="568">
        <v>164000</v>
      </c>
      <c r="M25" s="396">
        <v>0</v>
      </c>
      <c r="N25" s="719">
        <f t="shared" si="5"/>
        <v>164000</v>
      </c>
      <c r="O25" s="377">
        <f t="shared" si="2"/>
        <v>132.47172859450725</v>
      </c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73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  <c r="P26" s="63"/>
    </row>
    <row r="27" spans="1:17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35"/>
      <c r="J27" s="735"/>
      <c r="K27" s="736"/>
      <c r="L27" s="583"/>
      <c r="M27" s="310"/>
      <c r="N27" s="720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75000</v>
      </c>
      <c r="J28" s="632">
        <f t="shared" si="6"/>
        <v>75000</v>
      </c>
      <c r="K28" s="739">
        <f t="shared" si="6"/>
        <v>67789</v>
      </c>
      <c r="L28" s="588">
        <f t="shared" si="6"/>
        <v>75000</v>
      </c>
      <c r="M28" s="325">
        <f t="shared" si="6"/>
        <v>0</v>
      </c>
      <c r="N28" s="721">
        <f t="shared" si="6"/>
        <v>75000</v>
      </c>
      <c r="O28" s="376">
        <f t="shared" si="2"/>
        <v>100</v>
      </c>
    </row>
    <row r="29" spans="1:17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35">
        <v>5000</v>
      </c>
      <c r="J29" s="735">
        <v>0</v>
      </c>
      <c r="K29" s="736">
        <v>0</v>
      </c>
      <c r="L29" s="583">
        <v>0</v>
      </c>
      <c r="M29" s="310">
        <v>0</v>
      </c>
      <c r="N29" s="719">
        <f t="shared" ref="N29:N30" si="7">SUM(L29:M29)</f>
        <v>0</v>
      </c>
      <c r="O29" s="377" t="str">
        <f t="shared" si="2"/>
        <v/>
      </c>
    </row>
    <row r="30" spans="1:17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35">
        <v>70000</v>
      </c>
      <c r="J30" s="735">
        <v>75000</v>
      </c>
      <c r="K30" s="736">
        <v>67789</v>
      </c>
      <c r="L30" s="583">
        <v>75000</v>
      </c>
      <c r="M30" s="310">
        <v>0</v>
      </c>
      <c r="N30" s="719">
        <f t="shared" si="7"/>
        <v>75000</v>
      </c>
      <c r="O30" s="377">
        <f t="shared" si="2"/>
        <v>100</v>
      </c>
    </row>
    <row r="31" spans="1:17" ht="12.95" customHeight="1">
      <c r="B31" s="10"/>
      <c r="C31" s="11"/>
      <c r="D31" s="11"/>
      <c r="E31" s="316"/>
      <c r="F31" s="336"/>
      <c r="G31" s="362"/>
      <c r="H31" s="11"/>
      <c r="I31" s="575"/>
      <c r="J31" s="575"/>
      <c r="K31" s="740"/>
      <c r="L31" s="582"/>
      <c r="M31" s="318"/>
      <c r="N31" s="721"/>
      <c r="O31" s="377" t="str">
        <f t="shared" si="2"/>
        <v/>
      </c>
    </row>
    <row r="32" spans="1:17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38" t="s">
        <v>898</v>
      </c>
      <c r="J32" s="738" t="s">
        <v>898</v>
      </c>
      <c r="K32" s="741">
        <v>215</v>
      </c>
      <c r="L32" s="584">
        <v>215</v>
      </c>
      <c r="M32" s="327"/>
      <c r="N32" s="722">
        <v>215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6776320</v>
      </c>
      <c r="J33" s="318">
        <f>J8+J13+J16+J28</f>
        <v>6776320</v>
      </c>
      <c r="K33" s="575">
        <f t="shared" ref="K33" si="8">K8+K13+K16+K28</f>
        <v>4996769</v>
      </c>
      <c r="L33" s="582">
        <f>L8+L13+L16+L28</f>
        <v>6913390</v>
      </c>
      <c r="M33" s="318">
        <f>M8+M13+M16+M28</f>
        <v>0</v>
      </c>
      <c r="N33" s="721">
        <f>N8+N13+N16+N28</f>
        <v>6913390</v>
      </c>
      <c r="O33" s="376">
        <f t="shared" si="2"/>
        <v>102.0227793256517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6776320</v>
      </c>
      <c r="J34" s="318">
        <f>J33</f>
        <v>6776320</v>
      </c>
      <c r="K34" s="575">
        <f t="shared" ref="K34" si="9">K33</f>
        <v>4996769</v>
      </c>
      <c r="L34" s="582">
        <f t="shared" ref="L34:N35" si="10">L33</f>
        <v>6913390</v>
      </c>
      <c r="M34" s="318">
        <f t="shared" si="10"/>
        <v>0</v>
      </c>
      <c r="N34" s="721">
        <f t="shared" si="10"/>
        <v>6913390</v>
      </c>
      <c r="O34" s="376">
        <f>IF(J34=0,"",N34/J34*100)</f>
        <v>102.0227793256517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6776320</v>
      </c>
      <c r="J35" s="15">
        <f>J34</f>
        <v>6776320</v>
      </c>
      <c r="K35" s="575">
        <f t="shared" ref="K35" si="11">K34</f>
        <v>4996769</v>
      </c>
      <c r="L35" s="582">
        <f t="shared" si="10"/>
        <v>6913390</v>
      </c>
      <c r="M35" s="318">
        <f t="shared" si="10"/>
        <v>0</v>
      </c>
      <c r="N35" s="721">
        <f t="shared" si="10"/>
        <v>6913390</v>
      </c>
      <c r="O35" s="376">
        <f t="shared" si="2"/>
        <v>102.0227793256517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  <c r="O38" s="840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Q98"/>
  <sheetViews>
    <sheetView zoomScaleNormal="100" workbookViewId="0">
      <selection activeCell="L34" sqref="L34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743</v>
      </c>
      <c r="C2" s="898"/>
      <c r="D2" s="898"/>
      <c r="E2" s="898"/>
      <c r="F2" s="898"/>
      <c r="G2" s="898"/>
      <c r="H2" s="898"/>
      <c r="I2" s="898"/>
      <c r="J2" s="409"/>
      <c r="K2" s="409"/>
      <c r="L2" s="410"/>
      <c r="M2" s="410"/>
      <c r="N2" s="410"/>
      <c r="O2" s="413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28" t="s">
        <v>928</v>
      </c>
      <c r="M4" s="929"/>
      <c r="N4" s="930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606" t="s">
        <v>600</v>
      </c>
      <c r="M5" s="593" t="s">
        <v>601</v>
      </c>
      <c r="N5" s="742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607">
        <v>11</v>
      </c>
      <c r="M6" s="594">
        <v>12</v>
      </c>
      <c r="N6" s="743" t="s">
        <v>817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80</v>
      </c>
      <c r="D7" s="7" t="s">
        <v>81</v>
      </c>
      <c r="E7" s="667" t="s">
        <v>820</v>
      </c>
      <c r="F7" s="5"/>
      <c r="G7" s="313"/>
      <c r="H7" s="5"/>
      <c r="I7" s="592"/>
      <c r="J7" s="100"/>
      <c r="K7" s="592"/>
      <c r="L7" s="608"/>
      <c r="M7" s="595"/>
      <c r="N7" s="74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51">
        <f t="shared" ref="I8:N8" si="0">SUM(I9:I12)</f>
        <v>119280</v>
      </c>
      <c r="J8" s="751">
        <f t="shared" si="0"/>
        <v>119280</v>
      </c>
      <c r="K8" s="760">
        <f t="shared" si="0"/>
        <v>87147</v>
      </c>
      <c r="L8" s="609">
        <f t="shared" si="0"/>
        <v>121370</v>
      </c>
      <c r="M8" s="596">
        <f t="shared" si="0"/>
        <v>0</v>
      </c>
      <c r="N8" s="745">
        <f t="shared" si="0"/>
        <v>121370</v>
      </c>
      <c r="O8" s="376">
        <f>IF(J8=0,"",N8/J8*100)</f>
        <v>101.75217974513748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52">
        <v>99990</v>
      </c>
      <c r="J9" s="752">
        <v>99990</v>
      </c>
      <c r="K9" s="761">
        <v>72843</v>
      </c>
      <c r="L9" s="610">
        <f>101190+200+420</f>
        <v>101810</v>
      </c>
      <c r="M9" s="597">
        <v>0</v>
      </c>
      <c r="N9" s="746">
        <f>SUM(L9:M9)</f>
        <v>101810</v>
      </c>
      <c r="O9" s="377">
        <f>IF(J9=0,"",N9/J9*100)</f>
        <v>101.82018201820182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52">
        <v>19290</v>
      </c>
      <c r="J10" s="752">
        <v>19290</v>
      </c>
      <c r="K10" s="761">
        <v>14304</v>
      </c>
      <c r="L10" s="610">
        <f>19060+500</f>
        <v>19560</v>
      </c>
      <c r="M10" s="597">
        <v>0</v>
      </c>
      <c r="N10" s="746">
        <f t="shared" ref="N10:N11" si="1">SUM(L10:M10)</f>
        <v>19560</v>
      </c>
      <c r="O10" s="377">
        <f t="shared" ref="O10:O37" si="2">IF(J10=0,"",N10/J10*100)</f>
        <v>101.39968895800932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53">
        <v>0</v>
      </c>
      <c r="J11" s="753">
        <v>0</v>
      </c>
      <c r="K11" s="762">
        <v>0</v>
      </c>
      <c r="L11" s="611">
        <v>0</v>
      </c>
      <c r="M11" s="598">
        <v>0</v>
      </c>
      <c r="N11" s="746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52"/>
      <c r="J12" s="752"/>
      <c r="K12" s="761"/>
      <c r="L12" s="610"/>
      <c r="M12" s="597"/>
      <c r="N12" s="746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51">
        <f t="shared" ref="I13:N13" si="3">I14</f>
        <v>10840</v>
      </c>
      <c r="J13" s="751">
        <f t="shared" si="3"/>
        <v>10840</v>
      </c>
      <c r="K13" s="760">
        <f t="shared" si="3"/>
        <v>7862</v>
      </c>
      <c r="L13" s="609">
        <f t="shared" si="3"/>
        <v>11050</v>
      </c>
      <c r="M13" s="596">
        <f t="shared" si="3"/>
        <v>0</v>
      </c>
      <c r="N13" s="745">
        <f t="shared" si="3"/>
        <v>11050</v>
      </c>
      <c r="O13" s="376">
        <f t="shared" si="2"/>
        <v>101.93726937269372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52">
        <v>10840</v>
      </c>
      <c r="J14" s="752">
        <v>10840</v>
      </c>
      <c r="K14" s="761">
        <v>7862</v>
      </c>
      <c r="L14" s="610">
        <f>10900+100+50</f>
        <v>11050</v>
      </c>
      <c r="M14" s="597">
        <v>0</v>
      </c>
      <c r="N14" s="746">
        <f>SUM(L14:M14)</f>
        <v>11050</v>
      </c>
      <c r="O14" s="377">
        <f t="shared" si="2"/>
        <v>101.93726937269372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54"/>
      <c r="J15" s="754"/>
      <c r="K15" s="763"/>
      <c r="L15" s="612"/>
      <c r="M15" s="599"/>
      <c r="N15" s="747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55">
        <f t="shared" ref="I16:N16" si="4">SUM(I17:I28)</f>
        <v>115770</v>
      </c>
      <c r="J16" s="755">
        <f t="shared" si="4"/>
        <v>115770</v>
      </c>
      <c r="K16" s="764">
        <f t="shared" si="4"/>
        <v>91398</v>
      </c>
      <c r="L16" s="613">
        <f t="shared" si="4"/>
        <v>138200</v>
      </c>
      <c r="M16" s="600">
        <f t="shared" si="4"/>
        <v>0</v>
      </c>
      <c r="N16" s="748">
        <f t="shared" si="4"/>
        <v>138200</v>
      </c>
      <c r="O16" s="376">
        <f t="shared" si="2"/>
        <v>119.37462209553425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56">
        <v>2800</v>
      </c>
      <c r="J17" s="756">
        <v>2800</v>
      </c>
      <c r="K17" s="762">
        <v>924</v>
      </c>
      <c r="L17" s="614">
        <v>1700</v>
      </c>
      <c r="M17" s="601">
        <v>0</v>
      </c>
      <c r="N17" s="746">
        <f t="shared" ref="N17:N28" si="5">SUM(L17:M17)</f>
        <v>1700</v>
      </c>
      <c r="O17" s="377">
        <f t="shared" si="2"/>
        <v>60.714285714285708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56">
        <v>0</v>
      </c>
      <c r="J18" s="756">
        <v>0</v>
      </c>
      <c r="K18" s="762">
        <v>0</v>
      </c>
      <c r="L18" s="614">
        <v>0</v>
      </c>
      <c r="M18" s="601">
        <v>0</v>
      </c>
      <c r="N18" s="746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56">
        <v>2800</v>
      </c>
      <c r="J19" s="756">
        <v>2800</v>
      </c>
      <c r="K19" s="762">
        <v>1865</v>
      </c>
      <c r="L19" s="614">
        <v>2800</v>
      </c>
      <c r="M19" s="601">
        <v>0</v>
      </c>
      <c r="N19" s="746">
        <f t="shared" si="5"/>
        <v>2800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56">
        <v>3000</v>
      </c>
      <c r="J20" s="756">
        <v>3000</v>
      </c>
      <c r="K20" s="762">
        <v>2386</v>
      </c>
      <c r="L20" s="614">
        <v>3200</v>
      </c>
      <c r="M20" s="601">
        <v>0</v>
      </c>
      <c r="N20" s="746">
        <f t="shared" si="5"/>
        <v>3200</v>
      </c>
      <c r="O20" s="377">
        <f t="shared" si="2"/>
        <v>106.66666666666667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56">
        <v>0</v>
      </c>
      <c r="J21" s="756">
        <v>0</v>
      </c>
      <c r="K21" s="762">
        <v>0</v>
      </c>
      <c r="L21" s="614">
        <v>0</v>
      </c>
      <c r="M21" s="601">
        <v>0</v>
      </c>
      <c r="N21" s="746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56">
        <v>0</v>
      </c>
      <c r="J22" s="756">
        <v>0</v>
      </c>
      <c r="K22" s="762">
        <v>0</v>
      </c>
      <c r="L22" s="614">
        <v>0</v>
      </c>
      <c r="M22" s="601">
        <v>0</v>
      </c>
      <c r="N22" s="746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56">
        <v>1000</v>
      </c>
      <c r="J23" s="756">
        <v>1000</v>
      </c>
      <c r="K23" s="762">
        <v>318</v>
      </c>
      <c r="L23" s="614">
        <v>1000</v>
      </c>
      <c r="M23" s="601">
        <v>0</v>
      </c>
      <c r="N23" s="746">
        <f t="shared" si="5"/>
        <v>1000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56">
        <v>0</v>
      </c>
      <c r="J24" s="756">
        <v>0</v>
      </c>
      <c r="K24" s="762">
        <v>0</v>
      </c>
      <c r="L24" s="614">
        <v>0</v>
      </c>
      <c r="M24" s="601">
        <v>0</v>
      </c>
      <c r="N24" s="746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56">
        <v>20170</v>
      </c>
      <c r="J25" s="756">
        <v>20170</v>
      </c>
      <c r="K25" s="762">
        <v>16738</v>
      </c>
      <c r="L25" s="614">
        <v>22000</v>
      </c>
      <c r="M25" s="601">
        <v>0</v>
      </c>
      <c r="N25" s="746">
        <f t="shared" si="5"/>
        <v>22000</v>
      </c>
      <c r="O25" s="377">
        <f t="shared" si="2"/>
        <v>109.07288051561726</v>
      </c>
    </row>
    <row r="26" spans="1:15" s="314" customFormat="1" ht="12.95" customHeight="1">
      <c r="B26" s="315"/>
      <c r="C26" s="316"/>
      <c r="D26" s="316"/>
      <c r="E26" s="316"/>
      <c r="F26" s="336">
        <v>613900</v>
      </c>
      <c r="G26" s="365" t="s">
        <v>839</v>
      </c>
      <c r="H26" s="675" t="s">
        <v>837</v>
      </c>
      <c r="I26" s="756">
        <v>41000</v>
      </c>
      <c r="J26" s="756">
        <v>41000</v>
      </c>
      <c r="K26" s="762">
        <v>27577</v>
      </c>
      <c r="L26" s="614">
        <v>42500</v>
      </c>
      <c r="M26" s="601">
        <v>0</v>
      </c>
      <c r="N26" s="746">
        <f t="shared" ref="N26" si="6">SUM(L26:M26)</f>
        <v>42500</v>
      </c>
      <c r="O26" s="377">
        <f t="shared" ref="O26" si="7">IF(J26=0,"",N26/J26*100)</f>
        <v>103.65853658536585</v>
      </c>
    </row>
    <row r="27" spans="1:15" s="314" customFormat="1" ht="12.95" customHeight="1">
      <c r="B27" s="315"/>
      <c r="C27" s="316"/>
      <c r="D27" s="316"/>
      <c r="E27" s="316"/>
      <c r="F27" s="336">
        <v>613900</v>
      </c>
      <c r="G27" s="365" t="s">
        <v>875</v>
      </c>
      <c r="H27" s="675" t="s">
        <v>887</v>
      </c>
      <c r="I27" s="756">
        <v>45000</v>
      </c>
      <c r="J27" s="756">
        <v>45000</v>
      </c>
      <c r="K27" s="762">
        <v>41590</v>
      </c>
      <c r="L27" s="614">
        <v>65000</v>
      </c>
      <c r="M27" s="601">
        <v>0</v>
      </c>
      <c r="N27" s="746">
        <f t="shared" ref="N27" si="8">SUM(L27:M27)</f>
        <v>65000</v>
      </c>
      <c r="O27" s="377">
        <f t="shared" ref="O27" si="9">IF(J27=0,"",N27/J27*100)</f>
        <v>144.44444444444443</v>
      </c>
    </row>
    <row r="28" spans="1:15" ht="12.95" customHeight="1">
      <c r="B28" s="10"/>
      <c r="C28" s="11"/>
      <c r="D28" s="11"/>
      <c r="E28" s="316"/>
      <c r="F28" s="336">
        <v>613900</v>
      </c>
      <c r="G28" s="362"/>
      <c r="H28" s="210" t="s">
        <v>465</v>
      </c>
      <c r="I28" s="757">
        <v>0</v>
      </c>
      <c r="J28" s="757">
        <v>0</v>
      </c>
      <c r="K28" s="765">
        <v>0</v>
      </c>
      <c r="L28" s="615">
        <v>0</v>
      </c>
      <c r="M28" s="602">
        <v>0</v>
      </c>
      <c r="N28" s="746">
        <f t="shared" si="5"/>
        <v>0</v>
      </c>
      <c r="O28" s="377" t="str">
        <f t="shared" si="2"/>
        <v/>
      </c>
    </row>
    <row r="29" spans="1:15" s="1" customFormat="1" ht="12.95" customHeight="1">
      <c r="A29" s="311"/>
      <c r="B29" s="12"/>
      <c r="C29" s="8"/>
      <c r="D29" s="8"/>
      <c r="E29" s="666"/>
      <c r="F29" s="346"/>
      <c r="G29" s="373"/>
      <c r="H29" s="8"/>
      <c r="I29" s="754"/>
      <c r="J29" s="754"/>
      <c r="K29" s="763"/>
      <c r="L29" s="612"/>
      <c r="M29" s="599"/>
      <c r="N29" s="747"/>
      <c r="O29" s="377" t="str">
        <f t="shared" si="2"/>
        <v/>
      </c>
    </row>
    <row r="30" spans="1:15" s="1" customFormat="1" ht="12.95" customHeight="1">
      <c r="A30" s="311"/>
      <c r="B30" s="12"/>
      <c r="C30" s="8"/>
      <c r="D30" s="8"/>
      <c r="E30" s="8"/>
      <c r="F30" s="335">
        <v>821000</v>
      </c>
      <c r="G30" s="361"/>
      <c r="H30" s="8" t="s">
        <v>89</v>
      </c>
      <c r="I30" s="758">
        <f t="shared" ref="I30:N30" si="10">SUM(I31:I32)</f>
        <v>5000</v>
      </c>
      <c r="J30" s="758">
        <f t="shared" si="10"/>
        <v>5000</v>
      </c>
      <c r="K30" s="766">
        <f t="shared" si="10"/>
        <v>2421</v>
      </c>
      <c r="L30" s="616">
        <f t="shared" si="10"/>
        <v>5000</v>
      </c>
      <c r="M30" s="603">
        <f t="shared" si="10"/>
        <v>0</v>
      </c>
      <c r="N30" s="748">
        <f t="shared" si="10"/>
        <v>5000</v>
      </c>
      <c r="O30" s="376">
        <f t="shared" si="2"/>
        <v>100</v>
      </c>
    </row>
    <row r="31" spans="1:15" ht="12.95" customHeight="1">
      <c r="B31" s="10"/>
      <c r="C31" s="11"/>
      <c r="D31" s="11"/>
      <c r="E31" s="316"/>
      <c r="F31" s="336">
        <v>821200</v>
      </c>
      <c r="G31" s="362"/>
      <c r="H31" s="11" t="s">
        <v>90</v>
      </c>
      <c r="I31" s="754">
        <v>0</v>
      </c>
      <c r="J31" s="754">
        <v>0</v>
      </c>
      <c r="K31" s="763">
        <v>0</v>
      </c>
      <c r="L31" s="612">
        <v>0</v>
      </c>
      <c r="M31" s="599">
        <v>0</v>
      </c>
      <c r="N31" s="746">
        <f t="shared" ref="N31:N32" si="11">SUM(L31:M31)</f>
        <v>0</v>
      </c>
      <c r="O31" s="377" t="str">
        <f t="shared" si="2"/>
        <v/>
      </c>
    </row>
    <row r="32" spans="1:15" ht="12.95" customHeight="1">
      <c r="B32" s="10"/>
      <c r="C32" s="11"/>
      <c r="D32" s="11"/>
      <c r="E32" s="316"/>
      <c r="F32" s="336">
        <v>821300</v>
      </c>
      <c r="G32" s="362"/>
      <c r="H32" s="11" t="s">
        <v>91</v>
      </c>
      <c r="I32" s="754">
        <v>5000</v>
      </c>
      <c r="J32" s="754">
        <v>5000</v>
      </c>
      <c r="K32" s="763">
        <v>2421</v>
      </c>
      <c r="L32" s="612">
        <v>5000</v>
      </c>
      <c r="M32" s="599">
        <v>0</v>
      </c>
      <c r="N32" s="746">
        <f t="shared" si="11"/>
        <v>5000</v>
      </c>
      <c r="O32" s="377">
        <f t="shared" si="2"/>
        <v>100</v>
      </c>
    </row>
    <row r="33" spans="1:15" ht="12.95" customHeight="1">
      <c r="B33" s="10"/>
      <c r="C33" s="11"/>
      <c r="D33" s="11"/>
      <c r="E33" s="316"/>
      <c r="F33" s="336"/>
      <c r="G33" s="362"/>
      <c r="H33" s="11"/>
      <c r="I33" s="754"/>
      <c r="J33" s="754"/>
      <c r="K33" s="763"/>
      <c r="L33" s="612"/>
      <c r="M33" s="599"/>
      <c r="N33" s="747"/>
      <c r="O33" s="377" t="str">
        <f t="shared" si="2"/>
        <v/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92</v>
      </c>
      <c r="I34" s="759" t="s">
        <v>783</v>
      </c>
      <c r="J34" s="759" t="s">
        <v>783</v>
      </c>
      <c r="K34" s="767">
        <v>5</v>
      </c>
      <c r="L34" s="653">
        <v>5</v>
      </c>
      <c r="M34" s="652"/>
      <c r="N34" s="749">
        <v>5</v>
      </c>
      <c r="O34" s="377"/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110</v>
      </c>
      <c r="I35" s="575">
        <f>I8+I13+I16+I30</f>
        <v>250890</v>
      </c>
      <c r="J35" s="318">
        <f>J8+J13+J16+J30</f>
        <v>250890</v>
      </c>
      <c r="K35" s="575">
        <f t="shared" ref="K35" si="12">K8+K13+K16+K30</f>
        <v>188828</v>
      </c>
      <c r="L35" s="616">
        <f>L8+L13+L16+L30</f>
        <v>275620</v>
      </c>
      <c r="M35" s="603">
        <f>M8+M13+M16+M30</f>
        <v>0</v>
      </c>
      <c r="N35" s="748">
        <f>N8+N13+N16+N30</f>
        <v>275620</v>
      </c>
      <c r="O35" s="376">
        <f t="shared" si="2"/>
        <v>109.85690940252701</v>
      </c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93</v>
      </c>
      <c r="I36" s="575"/>
      <c r="J36" s="318"/>
      <c r="K36" s="575"/>
      <c r="L36" s="616"/>
      <c r="M36" s="603"/>
      <c r="N36" s="748"/>
      <c r="O36" s="377" t="str">
        <f>IF(J36=0,"",N36/J36*100)</f>
        <v/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94</v>
      </c>
      <c r="I37" s="30"/>
      <c r="J37" s="30"/>
      <c r="K37" s="586"/>
      <c r="L37" s="617"/>
      <c r="M37" s="604"/>
      <c r="N37" s="747"/>
      <c r="O37" s="377" t="str">
        <f t="shared" si="2"/>
        <v/>
      </c>
    </row>
    <row r="38" spans="1:15" ht="12.95" customHeight="1" thickBot="1">
      <c r="B38" s="16"/>
      <c r="C38" s="17"/>
      <c r="D38" s="17"/>
      <c r="E38" s="17"/>
      <c r="F38" s="337"/>
      <c r="G38" s="363"/>
      <c r="H38" s="17"/>
      <c r="I38" s="32"/>
      <c r="J38" s="32"/>
      <c r="K38" s="576"/>
      <c r="L38" s="618"/>
      <c r="M38" s="605"/>
      <c r="N38" s="750"/>
      <c r="O38" s="379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  <c r="O40" s="840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2.95" customHeight="1">
      <c r="F60" s="338"/>
      <c r="G60" s="364"/>
      <c r="N60" s="425"/>
    </row>
    <row r="61" spans="6:14" ht="12.95" customHeight="1">
      <c r="F61" s="338"/>
      <c r="G61" s="364"/>
      <c r="N61" s="425"/>
    </row>
    <row r="62" spans="6:14" ht="17.100000000000001" customHeight="1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S96"/>
  <sheetViews>
    <sheetView zoomScaleNormal="100" workbookViewId="0">
      <selection activeCell="O39" sqref="O39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9" ht="13.5" thickBot="1"/>
    <row r="2" spans="1:19" s="408" customFormat="1" ht="20.100000000000001" customHeight="1" thickTop="1" thickBot="1">
      <c r="B2" s="897" t="s">
        <v>764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</row>
    <row r="3" spans="1:19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9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9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9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9" s="2" customFormat="1" ht="12.95" customHeight="1">
      <c r="A7" s="312"/>
      <c r="B7" s="6" t="s">
        <v>123</v>
      </c>
      <c r="C7" s="7" t="s">
        <v>124</v>
      </c>
      <c r="D7" s="7" t="s">
        <v>118</v>
      </c>
      <c r="E7" s="667" t="s">
        <v>821</v>
      </c>
      <c r="F7" s="5"/>
      <c r="G7" s="313"/>
      <c r="H7" s="5"/>
      <c r="I7" s="100"/>
      <c r="J7" s="100"/>
      <c r="K7" s="592"/>
      <c r="L7" s="619"/>
      <c r="M7" s="100"/>
      <c r="N7" s="768"/>
      <c r="O7" s="375"/>
    </row>
    <row r="8" spans="1:19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69">
        <f t="shared" ref="I8:N8" si="0">SUM(I9:I12)</f>
        <v>1167960</v>
      </c>
      <c r="J8" s="769">
        <f t="shared" si="0"/>
        <v>1167960</v>
      </c>
      <c r="K8" s="775">
        <f t="shared" si="0"/>
        <v>860554</v>
      </c>
      <c r="L8" s="590">
        <f t="shared" si="0"/>
        <v>1152540</v>
      </c>
      <c r="M8" s="249">
        <f t="shared" si="0"/>
        <v>0</v>
      </c>
      <c r="N8" s="718">
        <f t="shared" si="0"/>
        <v>1152540</v>
      </c>
      <c r="O8" s="376">
        <f>IF(J8=0,"",N8/J8*100)</f>
        <v>98.679749306483103</v>
      </c>
    </row>
    <row r="9" spans="1:19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0">
        <v>998570</v>
      </c>
      <c r="J9" s="770">
        <v>998570</v>
      </c>
      <c r="K9" s="776">
        <v>735947</v>
      </c>
      <c r="L9" s="620">
        <f>981060+2000</f>
        <v>983060</v>
      </c>
      <c r="M9" s="251">
        <v>0</v>
      </c>
      <c r="N9" s="719">
        <f>SUM(L9:M9)</f>
        <v>983060</v>
      </c>
      <c r="O9" s="377">
        <f>IF(J9=0,"",N9/J9*100)</f>
        <v>98.446778893818163</v>
      </c>
    </row>
    <row r="10" spans="1:19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0">
        <v>169390</v>
      </c>
      <c r="J10" s="770">
        <v>169390</v>
      </c>
      <c r="K10" s="776">
        <v>124607</v>
      </c>
      <c r="L10" s="620">
        <f>161780+3500+4200</f>
        <v>169480</v>
      </c>
      <c r="M10" s="251">
        <v>0</v>
      </c>
      <c r="N10" s="719">
        <f t="shared" ref="N10:N11" si="1">SUM(L10:M10)</f>
        <v>169480</v>
      </c>
      <c r="O10" s="377">
        <f t="shared" ref="O10:O35" si="2">IF(J10=0,"",N10/J10*100)</f>
        <v>100.05313182596376</v>
      </c>
    </row>
    <row r="11" spans="1:19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71">
        <v>0</v>
      </c>
      <c r="J11" s="771">
        <v>0</v>
      </c>
      <c r="K11" s="777">
        <v>0</v>
      </c>
      <c r="L11" s="591">
        <v>0</v>
      </c>
      <c r="M11" s="250">
        <v>0</v>
      </c>
      <c r="N11" s="719">
        <f t="shared" si="1"/>
        <v>0</v>
      </c>
      <c r="O11" s="377" t="str">
        <f t="shared" si="2"/>
        <v/>
      </c>
      <c r="Q11" s="62"/>
    </row>
    <row r="12" spans="1:19" ht="12.95" customHeight="1">
      <c r="B12" s="10"/>
      <c r="C12" s="11"/>
      <c r="D12" s="11"/>
      <c r="E12" s="316"/>
      <c r="F12" s="336"/>
      <c r="G12" s="362"/>
      <c r="H12" s="20"/>
      <c r="I12" s="770"/>
      <c r="J12" s="770"/>
      <c r="K12" s="776"/>
      <c r="L12" s="620"/>
      <c r="M12" s="251"/>
      <c r="N12" s="719"/>
      <c r="O12" s="377" t="str">
        <f t="shared" si="2"/>
        <v/>
      </c>
    </row>
    <row r="13" spans="1:19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69">
        <f t="shared" ref="I13:N13" si="3">I14</f>
        <v>106320</v>
      </c>
      <c r="J13" s="769">
        <f t="shared" si="3"/>
        <v>106320</v>
      </c>
      <c r="K13" s="775">
        <f t="shared" si="3"/>
        <v>79105</v>
      </c>
      <c r="L13" s="590">
        <f t="shared" si="3"/>
        <v>105770</v>
      </c>
      <c r="M13" s="249">
        <f t="shared" si="3"/>
        <v>0</v>
      </c>
      <c r="N13" s="718">
        <f t="shared" si="3"/>
        <v>105770</v>
      </c>
      <c r="O13" s="376">
        <f t="shared" si="2"/>
        <v>99.482693754702794</v>
      </c>
    </row>
    <row r="14" spans="1:19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0">
        <v>106320</v>
      </c>
      <c r="J14" s="770">
        <v>106320</v>
      </c>
      <c r="K14" s="776">
        <v>79105</v>
      </c>
      <c r="L14" s="620">
        <f>104970+800</f>
        <v>105770</v>
      </c>
      <c r="M14" s="251">
        <v>0</v>
      </c>
      <c r="N14" s="719">
        <f>SUM(L14:M14)</f>
        <v>105770</v>
      </c>
      <c r="O14" s="377">
        <f t="shared" si="2"/>
        <v>99.482693754702794</v>
      </c>
    </row>
    <row r="15" spans="1:19" ht="12.95" customHeight="1">
      <c r="B15" s="10"/>
      <c r="C15" s="11"/>
      <c r="D15" s="11"/>
      <c r="E15" s="316"/>
      <c r="F15" s="336"/>
      <c r="G15" s="362"/>
      <c r="H15" s="11"/>
      <c r="I15" s="772"/>
      <c r="J15" s="772"/>
      <c r="K15" s="774"/>
      <c r="L15" s="621"/>
      <c r="M15" s="321"/>
      <c r="N15" s="720"/>
      <c r="O15" s="377" t="str">
        <f t="shared" si="2"/>
        <v/>
      </c>
      <c r="S15" s="63"/>
    </row>
    <row r="16" spans="1:19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243500</v>
      </c>
      <c r="J16" s="773">
        <f t="shared" si="4"/>
        <v>243500</v>
      </c>
      <c r="K16" s="778">
        <f t="shared" si="4"/>
        <v>171073</v>
      </c>
      <c r="L16" s="588">
        <f t="shared" si="4"/>
        <v>232300</v>
      </c>
      <c r="M16" s="323">
        <f t="shared" si="4"/>
        <v>0</v>
      </c>
      <c r="N16" s="721">
        <f t="shared" si="4"/>
        <v>232300</v>
      </c>
      <c r="O16" s="376">
        <f t="shared" si="2"/>
        <v>95.400410677618069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4000</v>
      </c>
      <c r="J17" s="774">
        <v>4000</v>
      </c>
      <c r="K17" s="774">
        <v>305</v>
      </c>
      <c r="L17" s="571">
        <v>800</v>
      </c>
      <c r="M17" s="395">
        <v>0</v>
      </c>
      <c r="N17" s="719">
        <f t="shared" ref="N17:N26" si="5">SUM(L17:M17)</f>
        <v>800</v>
      </c>
      <c r="O17" s="377">
        <f t="shared" si="2"/>
        <v>20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14000</v>
      </c>
      <c r="J18" s="774">
        <v>14000</v>
      </c>
      <c r="K18" s="774">
        <v>11020</v>
      </c>
      <c r="L18" s="571">
        <v>15000</v>
      </c>
      <c r="M18" s="395">
        <v>0</v>
      </c>
      <c r="N18" s="719">
        <f t="shared" si="5"/>
        <v>15000</v>
      </c>
      <c r="O18" s="377">
        <f t="shared" si="2"/>
        <v>107.14285714285714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83000</v>
      </c>
      <c r="J19" s="774">
        <v>83000</v>
      </c>
      <c r="K19" s="774">
        <v>54718</v>
      </c>
      <c r="L19" s="571">
        <v>76000</v>
      </c>
      <c r="M19" s="395">
        <v>0</v>
      </c>
      <c r="N19" s="719">
        <f t="shared" si="5"/>
        <v>76000</v>
      </c>
      <c r="O19" s="377">
        <f t="shared" si="2"/>
        <v>91.566265060240966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31000</v>
      </c>
      <c r="J20" s="737">
        <v>31000</v>
      </c>
      <c r="K20" s="737">
        <v>24568</v>
      </c>
      <c r="L20" s="571">
        <v>32000</v>
      </c>
      <c r="M20" s="397">
        <v>0</v>
      </c>
      <c r="N20" s="719">
        <f t="shared" si="5"/>
        <v>32000</v>
      </c>
      <c r="O20" s="377">
        <f t="shared" si="2"/>
        <v>103.2258064516129</v>
      </c>
      <c r="P20" s="55"/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11000</v>
      </c>
      <c r="J21" s="774">
        <v>11000</v>
      </c>
      <c r="K21" s="774">
        <v>6412</v>
      </c>
      <c r="L21" s="571">
        <v>9000</v>
      </c>
      <c r="M21" s="395">
        <v>0</v>
      </c>
      <c r="N21" s="719">
        <f t="shared" si="5"/>
        <v>9000</v>
      </c>
      <c r="O21" s="377">
        <f t="shared" si="2"/>
        <v>81.818181818181827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73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8000</v>
      </c>
      <c r="J23" s="737">
        <v>8000</v>
      </c>
      <c r="K23" s="737">
        <v>4570</v>
      </c>
      <c r="L23" s="571">
        <v>7000</v>
      </c>
      <c r="M23" s="397">
        <v>0</v>
      </c>
      <c r="N23" s="719">
        <f t="shared" si="5"/>
        <v>7000</v>
      </c>
      <c r="O23" s="377">
        <f t="shared" si="2"/>
        <v>87.5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3000</v>
      </c>
      <c r="J24" s="737">
        <v>3000</v>
      </c>
      <c r="K24" s="737">
        <v>2082</v>
      </c>
      <c r="L24" s="571">
        <v>3000</v>
      </c>
      <c r="M24" s="397">
        <v>0</v>
      </c>
      <c r="N24" s="719">
        <f t="shared" si="5"/>
        <v>3000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89500</v>
      </c>
      <c r="J25" s="737">
        <v>89500</v>
      </c>
      <c r="K25" s="737">
        <v>67398</v>
      </c>
      <c r="L25" s="571">
        <v>89500</v>
      </c>
      <c r="M25" s="397">
        <v>0</v>
      </c>
      <c r="N25" s="719">
        <f t="shared" si="5"/>
        <v>89500</v>
      </c>
      <c r="O25" s="377">
        <f t="shared" si="2"/>
        <v>100</v>
      </c>
      <c r="P25" s="77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73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631"/>
      <c r="J27" s="631"/>
      <c r="K27" s="737"/>
      <c r="L27" s="622"/>
      <c r="M27" s="326"/>
      <c r="N27" s="720"/>
      <c r="O27" s="377" t="str">
        <f t="shared" si="2"/>
        <v/>
      </c>
    </row>
    <row r="28" spans="1:16" ht="12.95" customHeight="1">
      <c r="B28" s="10"/>
      <c r="C28" s="11"/>
      <c r="D28" s="11"/>
      <c r="E28" s="316"/>
      <c r="F28" s="336"/>
      <c r="G28" s="362"/>
      <c r="H28" s="11"/>
      <c r="I28" s="632"/>
      <c r="J28" s="632"/>
      <c r="K28" s="739"/>
      <c r="L28" s="588"/>
      <c r="M28" s="325"/>
      <c r="N28" s="721"/>
      <c r="O28" s="377" t="str">
        <f t="shared" si="2"/>
        <v/>
      </c>
    </row>
    <row r="29" spans="1:16" s="1" customFormat="1" ht="12.95" customHeight="1">
      <c r="A29" s="311"/>
      <c r="B29" s="12"/>
      <c r="C29" s="8"/>
      <c r="D29" s="8"/>
      <c r="E29" s="8"/>
      <c r="F29" s="335">
        <v>821000</v>
      </c>
      <c r="G29" s="361"/>
      <c r="H29" s="8" t="s">
        <v>89</v>
      </c>
      <c r="I29" s="632">
        <f t="shared" ref="I29:N29" si="6">I30+I31</f>
        <v>5000</v>
      </c>
      <c r="J29" s="632">
        <f t="shared" si="6"/>
        <v>5000</v>
      </c>
      <c r="K29" s="739">
        <f t="shared" si="6"/>
        <v>1758</v>
      </c>
      <c r="L29" s="588">
        <f t="shared" si="6"/>
        <v>5000</v>
      </c>
      <c r="M29" s="325">
        <f t="shared" si="6"/>
        <v>0</v>
      </c>
      <c r="N29" s="721">
        <f t="shared" si="6"/>
        <v>5000</v>
      </c>
      <c r="O29" s="376">
        <f t="shared" si="2"/>
        <v>100</v>
      </c>
    </row>
    <row r="30" spans="1:16" ht="12.95" customHeight="1">
      <c r="B30" s="10"/>
      <c r="C30" s="11"/>
      <c r="D30" s="11"/>
      <c r="E30" s="316"/>
      <c r="F30" s="336">
        <v>821200</v>
      </c>
      <c r="G30" s="362"/>
      <c r="H30" s="11" t="s">
        <v>90</v>
      </c>
      <c r="I30" s="631">
        <v>0</v>
      </c>
      <c r="J30" s="631">
        <v>0</v>
      </c>
      <c r="K30" s="737">
        <v>0</v>
      </c>
      <c r="L30" s="622">
        <v>0</v>
      </c>
      <c r="M30" s="326">
        <v>0</v>
      </c>
      <c r="N30" s="719">
        <f t="shared" ref="N30:N31" si="7">SUM(L30:M30)</f>
        <v>0</v>
      </c>
      <c r="O30" s="377" t="str">
        <f t="shared" si="2"/>
        <v/>
      </c>
    </row>
    <row r="31" spans="1:16" ht="12.95" customHeight="1">
      <c r="B31" s="10"/>
      <c r="C31" s="11"/>
      <c r="D31" s="11"/>
      <c r="E31" s="316"/>
      <c r="F31" s="336">
        <v>821300</v>
      </c>
      <c r="G31" s="362"/>
      <c r="H31" s="11" t="s">
        <v>91</v>
      </c>
      <c r="I31" s="631">
        <v>5000</v>
      </c>
      <c r="J31" s="631">
        <v>5000</v>
      </c>
      <c r="K31" s="737">
        <v>1758</v>
      </c>
      <c r="L31" s="622">
        <v>5000</v>
      </c>
      <c r="M31" s="326">
        <v>0</v>
      </c>
      <c r="N31" s="719">
        <f t="shared" si="7"/>
        <v>5000</v>
      </c>
      <c r="O31" s="377">
        <f t="shared" si="2"/>
        <v>100</v>
      </c>
    </row>
    <row r="32" spans="1:16" ht="12.95" customHeight="1">
      <c r="B32" s="10"/>
      <c r="C32" s="11"/>
      <c r="D32" s="11"/>
      <c r="E32" s="316"/>
      <c r="F32" s="336"/>
      <c r="G32" s="362"/>
      <c r="H32" s="11"/>
      <c r="I32" s="772"/>
      <c r="J32" s="772"/>
      <c r="K32" s="774"/>
      <c r="L32" s="621"/>
      <c r="M32" s="321"/>
      <c r="N32" s="720"/>
      <c r="O32" s="377" t="str">
        <f t="shared" si="2"/>
        <v/>
      </c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92</v>
      </c>
      <c r="I33" s="738">
        <v>43</v>
      </c>
      <c r="J33" s="738">
        <v>43</v>
      </c>
      <c r="K33" s="741">
        <v>41</v>
      </c>
      <c r="L33" s="584">
        <v>42</v>
      </c>
      <c r="M33" s="327"/>
      <c r="N33" s="722">
        <v>42</v>
      </c>
      <c r="O33" s="377"/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110</v>
      </c>
      <c r="I34" s="575">
        <f>I8+I13+I16+I29</f>
        <v>1522780</v>
      </c>
      <c r="J34" s="318">
        <f>J8+J13+J16+J29</f>
        <v>1522780</v>
      </c>
      <c r="K34" s="575">
        <f t="shared" ref="K34" si="8">K8+K13+K16+K29</f>
        <v>1112490</v>
      </c>
      <c r="L34" s="582">
        <f>L8+L13+L16+L29</f>
        <v>1495610</v>
      </c>
      <c r="M34" s="318">
        <f>M8+M13+M16+M29</f>
        <v>0</v>
      </c>
      <c r="N34" s="721">
        <f>N8+N13+N16+N29</f>
        <v>1495610</v>
      </c>
      <c r="O34" s="376">
        <f>IF(J34=0,"",N34/J34*100)</f>
        <v>98.215763275062713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93</v>
      </c>
      <c r="I35" s="575">
        <f>I34</f>
        <v>1522780</v>
      </c>
      <c r="J35" s="318">
        <f>J34</f>
        <v>1522780</v>
      </c>
      <c r="K35" s="575">
        <f t="shared" ref="K35" si="9">K34</f>
        <v>1112490</v>
      </c>
      <c r="L35" s="582">
        <f>L34</f>
        <v>1495610</v>
      </c>
      <c r="M35" s="318">
        <f>M34</f>
        <v>0</v>
      </c>
      <c r="N35" s="721">
        <f>N34</f>
        <v>1495610</v>
      </c>
      <c r="O35" s="376">
        <f t="shared" si="2"/>
        <v>98.215763275062713</v>
      </c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94</v>
      </c>
      <c r="I36" s="30"/>
      <c r="J36" s="30"/>
      <c r="K36" s="586"/>
      <c r="L36" s="580"/>
      <c r="M36" s="309"/>
      <c r="N36" s="720"/>
      <c r="O36" s="378"/>
    </row>
    <row r="37" spans="1:15" ht="12.95" customHeight="1" thickBot="1">
      <c r="B37" s="16"/>
      <c r="C37" s="17"/>
      <c r="D37" s="17"/>
      <c r="E37" s="17"/>
      <c r="F37" s="337"/>
      <c r="G37" s="363"/>
      <c r="H37" s="17"/>
      <c r="I37" s="32"/>
      <c r="J37" s="32"/>
      <c r="K37" s="576"/>
      <c r="L37" s="585"/>
      <c r="M37" s="32"/>
      <c r="N37" s="723"/>
      <c r="O37" s="379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  <c r="O39" s="840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Q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744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34"/>
      <c r="O4" s="933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623" t="s">
        <v>600</v>
      </c>
      <c r="M5" s="624" t="s">
        <v>601</v>
      </c>
      <c r="N5" s="625" t="s">
        <v>349</v>
      </c>
      <c r="O5" s="925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541" t="s">
        <v>817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125</v>
      </c>
      <c r="D7" s="7" t="s">
        <v>81</v>
      </c>
      <c r="E7" s="667" t="s">
        <v>821</v>
      </c>
      <c r="F7" s="5"/>
      <c r="G7" s="313"/>
      <c r="H7" s="5"/>
      <c r="I7" s="100"/>
      <c r="J7" s="100"/>
      <c r="K7" s="592"/>
      <c r="L7" s="619"/>
      <c r="M7" s="100"/>
      <c r="N7" s="42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32740</v>
      </c>
      <c r="J8" s="733">
        <f t="shared" si="0"/>
        <v>32740</v>
      </c>
      <c r="K8" s="739">
        <f t="shared" si="0"/>
        <v>24325</v>
      </c>
      <c r="L8" s="578">
        <f t="shared" si="0"/>
        <v>33100</v>
      </c>
      <c r="M8" s="236">
        <f t="shared" si="0"/>
        <v>0</v>
      </c>
      <c r="N8" s="416">
        <f t="shared" si="0"/>
        <v>33100</v>
      </c>
      <c r="O8" s="376">
        <f>IF(J8=0,"",N8/J8*100)</f>
        <v>101.09957238851557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29170</v>
      </c>
      <c r="J9" s="779">
        <v>29170</v>
      </c>
      <c r="K9" s="737">
        <v>21775</v>
      </c>
      <c r="L9" s="626">
        <f>29470+30</f>
        <v>29500</v>
      </c>
      <c r="M9" s="238">
        <v>0</v>
      </c>
      <c r="N9" s="417">
        <f>SUM(L9:M9)</f>
        <v>29500</v>
      </c>
      <c r="O9" s="377">
        <f>IF(J9=0,"",N9/J9*100)</f>
        <v>101.13129928008226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3570</v>
      </c>
      <c r="J10" s="779">
        <v>3570</v>
      </c>
      <c r="K10" s="737">
        <v>2550</v>
      </c>
      <c r="L10" s="626">
        <f>3400+100+100</f>
        <v>3600</v>
      </c>
      <c r="M10" s="238">
        <v>0</v>
      </c>
      <c r="N10" s="417">
        <f t="shared" ref="N10:N11" si="1">SUM(L10:M10)</f>
        <v>3600</v>
      </c>
      <c r="O10" s="377">
        <f t="shared" ref="O10:O35" si="2">IF(J10=0,"",N10/J10*100)</f>
        <v>100.84033613445378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734">
        <v>0</v>
      </c>
      <c r="K11" s="736">
        <v>0</v>
      </c>
      <c r="L11" s="579">
        <v>0</v>
      </c>
      <c r="M11" s="235">
        <v>0</v>
      </c>
      <c r="N11" s="417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779"/>
      <c r="K12" s="737"/>
      <c r="L12" s="626"/>
      <c r="M12" s="238"/>
      <c r="N12" s="417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3160</v>
      </c>
      <c r="J13" s="733">
        <f t="shared" si="3"/>
        <v>3160</v>
      </c>
      <c r="K13" s="739">
        <f t="shared" si="3"/>
        <v>2295</v>
      </c>
      <c r="L13" s="578">
        <f t="shared" si="3"/>
        <v>3130</v>
      </c>
      <c r="M13" s="236">
        <f t="shared" si="3"/>
        <v>0</v>
      </c>
      <c r="N13" s="416">
        <f t="shared" si="3"/>
        <v>3130</v>
      </c>
      <c r="O13" s="376">
        <f t="shared" si="2"/>
        <v>99.050632911392398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3160</v>
      </c>
      <c r="J14" s="779">
        <v>3160</v>
      </c>
      <c r="K14" s="737">
        <v>2295</v>
      </c>
      <c r="L14" s="626">
        <f>3110+20</f>
        <v>3130</v>
      </c>
      <c r="M14" s="238">
        <v>0</v>
      </c>
      <c r="N14" s="417">
        <f>SUM(L14:M14)</f>
        <v>3130</v>
      </c>
      <c r="O14" s="377">
        <f t="shared" si="2"/>
        <v>99.050632911392398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772"/>
      <c r="K15" s="774"/>
      <c r="L15" s="622"/>
      <c r="M15" s="321"/>
      <c r="N15" s="418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2340</v>
      </c>
      <c r="J16" s="773">
        <f t="shared" si="4"/>
        <v>2340</v>
      </c>
      <c r="K16" s="778">
        <f t="shared" si="4"/>
        <v>788</v>
      </c>
      <c r="L16" s="588">
        <f t="shared" si="4"/>
        <v>1600</v>
      </c>
      <c r="M16" s="323">
        <f t="shared" si="4"/>
        <v>0</v>
      </c>
      <c r="N16" s="419">
        <f t="shared" si="4"/>
        <v>1600</v>
      </c>
      <c r="O16" s="377">
        <f t="shared" si="2"/>
        <v>68.376068376068375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240</v>
      </c>
      <c r="J17" s="774">
        <v>240</v>
      </c>
      <c r="K17" s="774">
        <v>0</v>
      </c>
      <c r="L17" s="571">
        <v>100</v>
      </c>
      <c r="M17" s="395">
        <v>0</v>
      </c>
      <c r="N17" s="417">
        <f t="shared" ref="N17:N26" si="5">SUM(L17:M17)</f>
        <v>100</v>
      </c>
      <c r="O17" s="377">
        <f t="shared" si="2"/>
        <v>41.666666666666671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0</v>
      </c>
      <c r="J18" s="774">
        <v>0</v>
      </c>
      <c r="K18" s="774">
        <v>0</v>
      </c>
      <c r="L18" s="571">
        <v>0</v>
      </c>
      <c r="M18" s="395">
        <v>0</v>
      </c>
      <c r="N18" s="417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1000</v>
      </c>
      <c r="J19" s="774">
        <v>1000</v>
      </c>
      <c r="K19" s="774">
        <v>479</v>
      </c>
      <c r="L19" s="571">
        <v>800</v>
      </c>
      <c r="M19" s="395">
        <v>0</v>
      </c>
      <c r="N19" s="417">
        <f t="shared" si="5"/>
        <v>800</v>
      </c>
      <c r="O19" s="377">
        <f t="shared" si="2"/>
        <v>80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800</v>
      </c>
      <c r="J20" s="774">
        <v>800</v>
      </c>
      <c r="K20" s="774">
        <v>240</v>
      </c>
      <c r="L20" s="571">
        <v>500</v>
      </c>
      <c r="M20" s="395">
        <v>0</v>
      </c>
      <c r="N20" s="417">
        <f t="shared" si="5"/>
        <v>500</v>
      </c>
      <c r="O20" s="377">
        <f t="shared" si="2"/>
        <v>62.5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0</v>
      </c>
      <c r="J21" s="774">
        <v>0</v>
      </c>
      <c r="K21" s="774">
        <v>0</v>
      </c>
      <c r="L21" s="571">
        <v>0</v>
      </c>
      <c r="M21" s="395">
        <v>0</v>
      </c>
      <c r="N21" s="417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774">
        <v>0</v>
      </c>
      <c r="K22" s="774">
        <v>0</v>
      </c>
      <c r="L22" s="571">
        <v>0</v>
      </c>
      <c r="M22" s="395">
        <v>0</v>
      </c>
      <c r="N22" s="417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4">
        <v>0</v>
      </c>
      <c r="J23" s="774">
        <v>0</v>
      </c>
      <c r="K23" s="774">
        <v>0</v>
      </c>
      <c r="L23" s="571">
        <v>0</v>
      </c>
      <c r="M23" s="395">
        <v>0</v>
      </c>
      <c r="N23" s="417">
        <f t="shared" si="5"/>
        <v>0</v>
      </c>
      <c r="O23" s="377" t="str">
        <f t="shared" si="2"/>
        <v/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4">
        <v>0</v>
      </c>
      <c r="J24" s="774">
        <v>0</v>
      </c>
      <c r="K24" s="774">
        <v>0</v>
      </c>
      <c r="L24" s="571">
        <v>0</v>
      </c>
      <c r="M24" s="395">
        <v>0</v>
      </c>
      <c r="N24" s="417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74">
        <v>300</v>
      </c>
      <c r="J25" s="774">
        <v>300</v>
      </c>
      <c r="K25" s="774">
        <v>69</v>
      </c>
      <c r="L25" s="571">
        <v>200</v>
      </c>
      <c r="M25" s="395">
        <v>0</v>
      </c>
      <c r="N25" s="417">
        <f t="shared" si="5"/>
        <v>200</v>
      </c>
      <c r="O25" s="377">
        <f t="shared" si="2"/>
        <v>66.666666666666657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74">
        <v>0</v>
      </c>
      <c r="J26" s="774">
        <v>0</v>
      </c>
      <c r="K26" s="774">
        <v>0</v>
      </c>
      <c r="L26" s="570">
        <v>0</v>
      </c>
      <c r="M26" s="395">
        <v>0</v>
      </c>
      <c r="N26" s="417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4"/>
      <c r="J27" s="774"/>
      <c r="K27" s="774"/>
      <c r="L27" s="570"/>
      <c r="M27" s="395"/>
      <c r="N27" s="4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K28" si="6">SUM(I29:I30)</f>
        <v>0</v>
      </c>
      <c r="J28" s="575">
        <f t="shared" si="6"/>
        <v>0</v>
      </c>
      <c r="K28" s="740">
        <f t="shared" si="6"/>
        <v>0</v>
      </c>
      <c r="L28" s="582">
        <f t="shared" ref="L28" si="7">SUM(L29:L30)</f>
        <v>0</v>
      </c>
      <c r="M28" s="318">
        <f t="shared" ref="M28" si="8">SUM(M29:M30)</f>
        <v>0</v>
      </c>
      <c r="N28" s="428">
        <f>SUM(N29:N30)</f>
        <v>0</v>
      </c>
      <c r="O28" s="376" t="str">
        <f t="shared" si="2"/>
        <v/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4">
        <v>0</v>
      </c>
      <c r="J29" s="774">
        <v>0</v>
      </c>
      <c r="K29" s="774">
        <v>0</v>
      </c>
      <c r="L29" s="570">
        <v>0</v>
      </c>
      <c r="M29" s="395">
        <v>0</v>
      </c>
      <c r="N29" s="417">
        <f t="shared" ref="N29:N30" si="9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37">
        <v>0</v>
      </c>
      <c r="J30" s="737">
        <v>0</v>
      </c>
      <c r="K30" s="737">
        <v>0</v>
      </c>
      <c r="L30" s="571">
        <v>0</v>
      </c>
      <c r="M30" s="397">
        <v>0</v>
      </c>
      <c r="N30" s="417">
        <f t="shared" si="9"/>
        <v>0</v>
      </c>
      <c r="O30" s="377" t="str">
        <f t="shared" si="2"/>
        <v/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772"/>
      <c r="K31" s="774"/>
      <c r="L31" s="621"/>
      <c r="M31" s="321"/>
      <c r="N31" s="418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1</v>
      </c>
      <c r="J32" s="632">
        <v>1</v>
      </c>
      <c r="K32" s="739">
        <v>1</v>
      </c>
      <c r="L32" s="588">
        <v>1</v>
      </c>
      <c r="M32" s="325"/>
      <c r="N32" s="419">
        <v>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38240</v>
      </c>
      <c r="J33" s="318">
        <f>J8+J13+J16+J28</f>
        <v>38240</v>
      </c>
      <c r="K33" s="575">
        <f t="shared" ref="K33" si="10">K8+K13+K16+K28</f>
        <v>27408</v>
      </c>
      <c r="L33" s="582">
        <f>L8+L13+L16+L28</f>
        <v>37830</v>
      </c>
      <c r="M33" s="318">
        <f>M8+M13+M16+M28</f>
        <v>0</v>
      </c>
      <c r="N33" s="419">
        <f>N8+N13+N16+N28</f>
        <v>37830</v>
      </c>
      <c r="O33" s="376">
        <f t="shared" si="2"/>
        <v>98.927824267782427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419"/>
      <c r="O34" s="376"/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418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422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Q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745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125</v>
      </c>
      <c r="D7" s="7" t="s">
        <v>113</v>
      </c>
      <c r="E7" s="667" t="s">
        <v>821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39380</v>
      </c>
      <c r="J8" s="733">
        <f t="shared" si="0"/>
        <v>39380</v>
      </c>
      <c r="K8" s="739">
        <f t="shared" si="0"/>
        <v>29286</v>
      </c>
      <c r="L8" s="578">
        <f t="shared" si="0"/>
        <v>39720</v>
      </c>
      <c r="M8" s="236">
        <f t="shared" si="0"/>
        <v>0</v>
      </c>
      <c r="N8" s="718">
        <f t="shared" si="0"/>
        <v>39720</v>
      </c>
      <c r="O8" s="376">
        <f>IF(J8=0,"",N8/J8*100)</f>
        <v>100.86338242762824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31510</v>
      </c>
      <c r="J9" s="779">
        <v>31510</v>
      </c>
      <c r="K9" s="737">
        <v>23486</v>
      </c>
      <c r="L9" s="626">
        <f>31770+100</f>
        <v>31870</v>
      </c>
      <c r="M9" s="238">
        <v>0</v>
      </c>
      <c r="N9" s="719">
        <f>SUM(L9:M9)</f>
        <v>31870</v>
      </c>
      <c r="O9" s="377">
        <f>IF(J9=0,"",N9/J9*100)</f>
        <v>101.14249444620755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7870</v>
      </c>
      <c r="J10" s="779">
        <v>7870</v>
      </c>
      <c r="K10" s="737">
        <v>5800</v>
      </c>
      <c r="L10" s="626">
        <f>7650+200</f>
        <v>7850</v>
      </c>
      <c r="M10" s="238">
        <v>0</v>
      </c>
      <c r="N10" s="719">
        <f t="shared" ref="N10:N11" si="1">SUM(L10:M10)</f>
        <v>7850</v>
      </c>
      <c r="O10" s="377">
        <f t="shared" ref="O10:O33" si="2">IF(J10=0,"",N10/J10*100)</f>
        <v>99.745870393900887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4">
        <v>0</v>
      </c>
      <c r="J11" s="734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779"/>
      <c r="K12" s="737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3410</v>
      </c>
      <c r="J13" s="733">
        <f t="shared" si="3"/>
        <v>3410</v>
      </c>
      <c r="K13" s="739">
        <f t="shared" si="3"/>
        <v>2483</v>
      </c>
      <c r="L13" s="578">
        <f t="shared" si="3"/>
        <v>3420</v>
      </c>
      <c r="M13" s="236">
        <f t="shared" si="3"/>
        <v>0</v>
      </c>
      <c r="N13" s="718">
        <f t="shared" si="3"/>
        <v>3420</v>
      </c>
      <c r="O13" s="376">
        <f t="shared" si="2"/>
        <v>100.29325513196481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3410</v>
      </c>
      <c r="J14" s="779">
        <v>3410</v>
      </c>
      <c r="K14" s="737">
        <v>2483</v>
      </c>
      <c r="L14" s="626">
        <f>3370+50</f>
        <v>3420</v>
      </c>
      <c r="M14" s="238">
        <v>0</v>
      </c>
      <c r="N14" s="719">
        <f>SUM(L14:M14)</f>
        <v>3420</v>
      </c>
      <c r="O14" s="377">
        <f t="shared" si="2"/>
        <v>100.29325513196481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772"/>
      <c r="K15" s="774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2760</v>
      </c>
      <c r="J16" s="773">
        <f t="shared" si="4"/>
        <v>2760</v>
      </c>
      <c r="K16" s="778">
        <f t="shared" si="4"/>
        <v>956</v>
      </c>
      <c r="L16" s="581">
        <f t="shared" si="4"/>
        <v>2360</v>
      </c>
      <c r="M16" s="323">
        <f t="shared" si="4"/>
        <v>0</v>
      </c>
      <c r="N16" s="721">
        <f t="shared" si="4"/>
        <v>2360</v>
      </c>
      <c r="O16" s="376">
        <f t="shared" si="2"/>
        <v>85.507246376811594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500</v>
      </c>
      <c r="J17" s="774">
        <v>500</v>
      </c>
      <c r="K17" s="774">
        <v>13</v>
      </c>
      <c r="L17" s="571">
        <v>100</v>
      </c>
      <c r="M17" s="395">
        <v>0</v>
      </c>
      <c r="N17" s="719">
        <f t="shared" ref="N17:N26" si="5">SUM(L17:M17)</f>
        <v>100</v>
      </c>
      <c r="O17" s="377">
        <f t="shared" si="2"/>
        <v>20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0</v>
      </c>
      <c r="J18" s="774">
        <v>0</v>
      </c>
      <c r="K18" s="774">
        <v>0</v>
      </c>
      <c r="L18" s="571">
        <v>0</v>
      </c>
      <c r="M18" s="395">
        <v>0</v>
      </c>
      <c r="N18" s="719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800</v>
      </c>
      <c r="J19" s="774">
        <v>800</v>
      </c>
      <c r="K19" s="774">
        <v>470</v>
      </c>
      <c r="L19" s="571">
        <v>800</v>
      </c>
      <c r="M19" s="395">
        <v>0</v>
      </c>
      <c r="N19" s="719">
        <f t="shared" si="5"/>
        <v>800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500</v>
      </c>
      <c r="J20" s="774">
        <v>500</v>
      </c>
      <c r="K20" s="774">
        <v>219</v>
      </c>
      <c r="L20" s="571">
        <v>500</v>
      </c>
      <c r="M20" s="395">
        <v>0</v>
      </c>
      <c r="N20" s="719">
        <f t="shared" si="5"/>
        <v>500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0</v>
      </c>
      <c r="J21" s="774">
        <v>0</v>
      </c>
      <c r="K21" s="774">
        <v>0</v>
      </c>
      <c r="L21" s="571">
        <v>0</v>
      </c>
      <c r="M21" s="395">
        <v>0</v>
      </c>
      <c r="N21" s="719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774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4">
        <v>500</v>
      </c>
      <c r="J23" s="774">
        <v>500</v>
      </c>
      <c r="K23" s="774">
        <v>80</v>
      </c>
      <c r="L23" s="571">
        <v>500</v>
      </c>
      <c r="M23" s="395">
        <v>0</v>
      </c>
      <c r="N23" s="719">
        <f t="shared" si="5"/>
        <v>500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4">
        <v>0</v>
      </c>
      <c r="J24" s="774">
        <v>0</v>
      </c>
      <c r="K24" s="774">
        <v>0</v>
      </c>
      <c r="L24" s="571">
        <v>0</v>
      </c>
      <c r="M24" s="395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460</v>
      </c>
      <c r="J25" s="737">
        <v>460</v>
      </c>
      <c r="K25" s="737">
        <v>174</v>
      </c>
      <c r="L25" s="571">
        <v>460</v>
      </c>
      <c r="M25" s="397">
        <v>0</v>
      </c>
      <c r="N25" s="719">
        <f t="shared" si="5"/>
        <v>460</v>
      </c>
      <c r="O25" s="377">
        <f t="shared" si="2"/>
        <v>100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0" t="s">
        <v>526</v>
      </c>
      <c r="I26" s="774">
        <v>0</v>
      </c>
      <c r="J26" s="774">
        <v>0</v>
      </c>
      <c r="K26" s="774">
        <v>0</v>
      </c>
      <c r="L26" s="570">
        <v>0</v>
      </c>
      <c r="M26" s="395">
        <v>0</v>
      </c>
      <c r="N26" s="719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2"/>
      <c r="J27" s="772"/>
      <c r="K27" s="774"/>
      <c r="L27" s="621"/>
      <c r="M27" s="321"/>
      <c r="N27" s="7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SUM(I29:I30)</f>
        <v>500</v>
      </c>
      <c r="J28" s="575">
        <f t="shared" si="6"/>
        <v>500</v>
      </c>
      <c r="K28" s="740">
        <f t="shared" si="6"/>
        <v>0</v>
      </c>
      <c r="L28" s="582">
        <f t="shared" si="6"/>
        <v>500</v>
      </c>
      <c r="M28" s="318">
        <f t="shared" si="6"/>
        <v>0</v>
      </c>
      <c r="N28" s="721">
        <f t="shared" si="6"/>
        <v>500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2">
        <v>0</v>
      </c>
      <c r="J29" s="772">
        <v>0</v>
      </c>
      <c r="K29" s="774">
        <v>0</v>
      </c>
      <c r="L29" s="621">
        <v>0</v>
      </c>
      <c r="M29" s="321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72">
        <v>500</v>
      </c>
      <c r="J30" s="772">
        <v>500</v>
      </c>
      <c r="K30" s="774">
        <v>0</v>
      </c>
      <c r="L30" s="621">
        <v>500</v>
      </c>
      <c r="M30" s="321">
        <v>0</v>
      </c>
      <c r="N30" s="719">
        <f t="shared" si="7"/>
        <v>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772"/>
      <c r="K31" s="774"/>
      <c r="L31" s="621"/>
      <c r="M31" s="321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2</v>
      </c>
      <c r="J32" s="632">
        <v>2</v>
      </c>
      <c r="K32" s="739">
        <v>2</v>
      </c>
      <c r="L32" s="588">
        <v>2</v>
      </c>
      <c r="M32" s="325"/>
      <c r="N32" s="721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46050</v>
      </c>
      <c r="J33" s="318">
        <f>J8+J13+J16+J28</f>
        <v>46050</v>
      </c>
      <c r="K33" s="575">
        <f t="shared" ref="K33" si="8">K8+K13+K16+K28</f>
        <v>32725</v>
      </c>
      <c r="L33" s="582">
        <f>L8+L13+L16+L28</f>
        <v>46000</v>
      </c>
      <c r="M33" s="318">
        <f>M8+M13+M16+M28</f>
        <v>0</v>
      </c>
      <c r="N33" s="721">
        <f>N8+N13+N16+N28</f>
        <v>46000</v>
      </c>
      <c r="O33" s="376">
        <f t="shared" si="2"/>
        <v>99.891422366992401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I33+'12'!I33</f>
        <v>84290</v>
      </c>
      <c r="J34" s="318">
        <f>J33+'12'!J33</f>
        <v>84290</v>
      </c>
      <c r="K34" s="575">
        <f>K33+'12'!K33</f>
        <v>60133</v>
      </c>
      <c r="L34" s="582">
        <f>L33+'12'!L33</f>
        <v>83830</v>
      </c>
      <c r="M34" s="318">
        <f>M33+'12'!M33</f>
        <v>0</v>
      </c>
      <c r="N34" s="721">
        <f>N33+'12'!N33</f>
        <v>83830</v>
      </c>
      <c r="O34" s="376">
        <f>IF(J34=0,"",N34/J34*100)</f>
        <v>99.454265037370988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/>
      <c r="J35" s="15"/>
      <c r="K35" s="575"/>
      <c r="L35" s="582"/>
      <c r="M35" s="318"/>
      <c r="N35" s="721"/>
      <c r="O35" s="376"/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34"/>
  <sheetViews>
    <sheetView zoomScaleNormal="100" workbookViewId="0">
      <selection activeCell="O23" sqref="O23"/>
    </sheetView>
  </sheetViews>
  <sheetFormatPr defaultRowHeight="12.75"/>
  <cols>
    <col min="1" max="1" width="3.28515625" style="39" customWidth="1"/>
    <col min="7" max="7" width="10.7109375" customWidth="1"/>
    <col min="8" max="8" width="0.140625" hidden="1" customWidth="1"/>
    <col min="9" max="9" width="2.7109375" hidden="1" customWidth="1"/>
    <col min="10" max="10" width="8.28515625" style="39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861" t="s">
        <v>199</v>
      </c>
      <c r="B1" s="861"/>
      <c r="C1" s="861"/>
      <c r="D1" s="861"/>
      <c r="E1" s="861"/>
      <c r="F1" s="861"/>
      <c r="G1" s="861"/>
      <c r="H1" s="861"/>
      <c r="I1" s="861"/>
    </row>
    <row r="3" spans="1:21" s="45" customFormat="1">
      <c r="A3" s="543" t="s">
        <v>215</v>
      </c>
      <c r="B3" s="858" t="s">
        <v>217</v>
      </c>
      <c r="C3" s="859"/>
      <c r="D3" s="859"/>
      <c r="E3" s="859"/>
      <c r="F3" s="859"/>
      <c r="G3" s="859"/>
      <c r="H3" s="859"/>
      <c r="I3" s="860"/>
      <c r="J3" s="543" t="s">
        <v>210</v>
      </c>
      <c r="L3" s="543" t="s">
        <v>215</v>
      </c>
      <c r="M3" s="858" t="s">
        <v>217</v>
      </c>
      <c r="N3" s="859"/>
      <c r="O3" s="859"/>
      <c r="P3" s="859"/>
      <c r="Q3" s="859"/>
      <c r="R3" s="859"/>
      <c r="S3" s="859"/>
      <c r="T3" s="860"/>
      <c r="U3" s="543" t="s">
        <v>210</v>
      </c>
    </row>
    <row r="4" spans="1:21" s="36" customFormat="1" ht="17.100000000000001" customHeight="1">
      <c r="A4" s="530" t="s">
        <v>200</v>
      </c>
      <c r="B4" s="865" t="s">
        <v>201</v>
      </c>
      <c r="C4" s="866"/>
      <c r="D4" s="866"/>
      <c r="E4" s="866"/>
      <c r="F4" s="866"/>
      <c r="G4" s="866"/>
      <c r="H4" s="866"/>
      <c r="I4" s="867"/>
      <c r="J4" s="530">
        <v>3</v>
      </c>
      <c r="K4" s="531"/>
      <c r="L4" s="654" t="s">
        <v>661</v>
      </c>
      <c r="M4" s="862" t="s">
        <v>811</v>
      </c>
      <c r="N4" s="863"/>
      <c r="O4" s="863"/>
      <c r="P4" s="863"/>
      <c r="Q4" s="863"/>
      <c r="R4" s="863"/>
      <c r="S4" s="863"/>
      <c r="T4" s="864"/>
      <c r="U4" s="655">
        <v>43</v>
      </c>
    </row>
    <row r="5" spans="1:21" s="36" customFormat="1" ht="17.100000000000001" customHeight="1">
      <c r="A5" s="532" t="s">
        <v>202</v>
      </c>
      <c r="B5" s="850" t="s">
        <v>203</v>
      </c>
      <c r="C5" s="851"/>
      <c r="D5" s="851"/>
      <c r="E5" s="851"/>
      <c r="F5" s="851"/>
      <c r="G5" s="851"/>
      <c r="H5" s="851"/>
      <c r="I5" s="852"/>
      <c r="J5" s="532">
        <v>4</v>
      </c>
      <c r="K5" s="531"/>
      <c r="L5" s="532" t="s">
        <v>662</v>
      </c>
      <c r="M5" s="850" t="s">
        <v>812</v>
      </c>
      <c r="N5" s="851"/>
      <c r="O5" s="851"/>
      <c r="P5" s="851"/>
      <c r="Q5" s="851"/>
      <c r="R5" s="851"/>
      <c r="S5" s="851"/>
      <c r="T5" s="852"/>
      <c r="U5" s="532">
        <v>44</v>
      </c>
    </row>
    <row r="6" spans="1:21" s="36" customFormat="1" ht="17.100000000000001" customHeight="1">
      <c r="A6" s="532" t="s">
        <v>204</v>
      </c>
      <c r="B6" s="850" t="s">
        <v>374</v>
      </c>
      <c r="C6" s="851"/>
      <c r="D6" s="851"/>
      <c r="E6" s="851"/>
      <c r="F6" s="851"/>
      <c r="G6" s="851"/>
      <c r="H6" s="851"/>
      <c r="I6" s="852"/>
      <c r="J6" s="532">
        <v>13</v>
      </c>
      <c r="K6" s="531"/>
      <c r="L6" s="532" t="s">
        <v>663</v>
      </c>
      <c r="M6" s="657" t="s">
        <v>813</v>
      </c>
      <c r="N6" s="641"/>
      <c r="O6" s="641"/>
      <c r="P6" s="641"/>
      <c r="Q6" s="641"/>
      <c r="R6" s="641"/>
      <c r="S6" s="641"/>
      <c r="T6" s="642"/>
      <c r="U6" s="532">
        <v>45</v>
      </c>
    </row>
    <row r="7" spans="1:21" s="36" customFormat="1" ht="17.100000000000001" customHeight="1">
      <c r="A7" s="532" t="s">
        <v>205</v>
      </c>
      <c r="B7" s="850" t="s">
        <v>206</v>
      </c>
      <c r="C7" s="851"/>
      <c r="D7" s="851"/>
      <c r="E7" s="851"/>
      <c r="F7" s="851"/>
      <c r="G7" s="851"/>
      <c r="H7" s="851"/>
      <c r="I7" s="852"/>
      <c r="J7" s="532">
        <v>16</v>
      </c>
      <c r="K7" s="531"/>
      <c r="L7" s="532" t="s">
        <v>664</v>
      </c>
      <c r="M7" s="657" t="s">
        <v>814</v>
      </c>
      <c r="N7" s="641"/>
      <c r="O7" s="641"/>
      <c r="P7" s="641"/>
      <c r="Q7" s="641"/>
      <c r="R7" s="641"/>
      <c r="S7" s="641"/>
      <c r="T7" s="642"/>
      <c r="U7" s="532">
        <v>46</v>
      </c>
    </row>
    <row r="8" spans="1:21" s="36" customFormat="1" ht="17.100000000000001" customHeight="1">
      <c r="A8" s="532" t="s">
        <v>216</v>
      </c>
      <c r="B8" s="850" t="s">
        <v>207</v>
      </c>
      <c r="C8" s="851"/>
      <c r="D8" s="851"/>
      <c r="E8" s="851"/>
      <c r="F8" s="851"/>
      <c r="G8" s="851"/>
      <c r="H8" s="851"/>
      <c r="I8" s="852"/>
      <c r="J8" s="532">
        <v>17</v>
      </c>
      <c r="K8" s="531"/>
      <c r="L8" s="532" t="s">
        <v>665</v>
      </c>
      <c r="M8" s="643" t="s">
        <v>742</v>
      </c>
      <c r="N8" s="641"/>
      <c r="O8" s="641"/>
      <c r="P8" s="641"/>
      <c r="Q8" s="641"/>
      <c r="R8" s="641"/>
      <c r="S8" s="641"/>
      <c r="T8" s="642"/>
      <c r="U8" s="532">
        <v>47</v>
      </c>
    </row>
    <row r="9" spans="1:21" s="36" customFormat="1" ht="17.100000000000001" customHeight="1">
      <c r="A9" s="532" t="s">
        <v>634</v>
      </c>
      <c r="B9" s="850" t="s">
        <v>208</v>
      </c>
      <c r="C9" s="851"/>
      <c r="D9" s="851"/>
      <c r="E9" s="851"/>
      <c r="F9" s="851"/>
      <c r="G9" s="851"/>
      <c r="H9" s="851"/>
      <c r="I9" s="852"/>
      <c r="J9" s="532">
        <v>18</v>
      </c>
      <c r="K9" s="531"/>
      <c r="L9" s="532" t="s">
        <v>666</v>
      </c>
      <c r="M9" s="643" t="s">
        <v>756</v>
      </c>
      <c r="N9" s="641"/>
      <c r="O9" s="641"/>
      <c r="P9" s="641"/>
      <c r="Q9" s="641"/>
      <c r="R9" s="641"/>
      <c r="S9" s="641"/>
      <c r="T9" s="642"/>
      <c r="U9" s="532">
        <v>48</v>
      </c>
    </row>
    <row r="10" spans="1:21" s="36" customFormat="1" ht="17.100000000000001" customHeight="1">
      <c r="A10" s="532" t="s">
        <v>637</v>
      </c>
      <c r="B10" s="850" t="s">
        <v>781</v>
      </c>
      <c r="C10" s="851"/>
      <c r="D10" s="851"/>
      <c r="E10" s="851"/>
      <c r="F10" s="851"/>
      <c r="G10" s="851"/>
      <c r="H10" s="851"/>
      <c r="I10" s="852"/>
      <c r="J10" s="532">
        <v>19</v>
      </c>
      <c r="K10" s="531"/>
      <c r="L10" s="532" t="s">
        <v>667</v>
      </c>
      <c r="M10" s="643" t="s">
        <v>754</v>
      </c>
      <c r="N10" s="641"/>
      <c r="O10" s="641"/>
      <c r="P10" s="641"/>
      <c r="Q10" s="641"/>
      <c r="R10" s="641"/>
      <c r="S10" s="641"/>
      <c r="T10" s="642"/>
      <c r="U10" s="532">
        <v>49</v>
      </c>
    </row>
    <row r="11" spans="1:21" s="36" customFormat="1" ht="17.100000000000001" customHeight="1">
      <c r="A11" s="532" t="s">
        <v>638</v>
      </c>
      <c r="B11" s="647" t="s">
        <v>733</v>
      </c>
      <c r="C11" s="648"/>
      <c r="D11" s="648"/>
      <c r="E11" s="648"/>
      <c r="F11" s="648"/>
      <c r="G11" s="648"/>
      <c r="H11" s="648"/>
      <c r="I11" s="649"/>
      <c r="J11" s="532">
        <v>20</v>
      </c>
      <c r="K11" s="531"/>
      <c r="L11" s="532" t="s">
        <v>668</v>
      </c>
      <c r="M11" s="643" t="s">
        <v>211</v>
      </c>
      <c r="N11" s="641"/>
      <c r="O11" s="641"/>
      <c r="P11" s="641"/>
      <c r="Q11" s="641"/>
      <c r="R11" s="641"/>
      <c r="S11" s="641"/>
      <c r="T11" s="642"/>
      <c r="U11" s="532">
        <v>50</v>
      </c>
    </row>
    <row r="12" spans="1:21" s="36" customFormat="1" ht="17.100000000000001" customHeight="1">
      <c r="A12" s="532" t="s">
        <v>639</v>
      </c>
      <c r="B12" s="647" t="s">
        <v>731</v>
      </c>
      <c r="C12" s="648"/>
      <c r="D12" s="648"/>
      <c r="E12" s="648"/>
      <c r="F12" s="648"/>
      <c r="G12" s="648"/>
      <c r="H12" s="648"/>
      <c r="I12" s="649"/>
      <c r="J12" s="532">
        <v>21</v>
      </c>
      <c r="K12" s="531"/>
      <c r="L12" s="532" t="s">
        <v>669</v>
      </c>
      <c r="M12" s="643" t="s">
        <v>212</v>
      </c>
      <c r="N12" s="641"/>
      <c r="O12" s="641"/>
      <c r="P12" s="641"/>
      <c r="Q12" s="641"/>
      <c r="R12" s="641"/>
      <c r="S12" s="641"/>
      <c r="T12" s="642"/>
      <c r="U12" s="532">
        <v>51</v>
      </c>
    </row>
    <row r="13" spans="1:21" s="36" customFormat="1" ht="17.100000000000001" customHeight="1">
      <c r="A13" s="532" t="s">
        <v>640</v>
      </c>
      <c r="B13" s="647" t="s">
        <v>525</v>
      </c>
      <c r="C13" s="648"/>
      <c r="D13" s="648"/>
      <c r="E13" s="648"/>
      <c r="F13" s="648"/>
      <c r="G13" s="648"/>
      <c r="H13" s="648"/>
      <c r="I13" s="649"/>
      <c r="J13" s="532">
        <v>22</v>
      </c>
      <c r="K13" s="531"/>
      <c r="L13" s="532" t="s">
        <v>670</v>
      </c>
      <c r="M13" s="643" t="s">
        <v>762</v>
      </c>
      <c r="N13" s="641"/>
      <c r="O13" s="641"/>
      <c r="P13" s="641"/>
      <c r="Q13" s="641"/>
      <c r="R13" s="641"/>
      <c r="S13" s="641"/>
      <c r="T13" s="642"/>
      <c r="U13" s="532">
        <v>52</v>
      </c>
    </row>
    <row r="14" spans="1:21" s="36" customFormat="1" ht="17.100000000000001" customHeight="1">
      <c r="A14" s="532" t="s">
        <v>641</v>
      </c>
      <c r="B14" s="850" t="s">
        <v>728</v>
      </c>
      <c r="C14" s="851"/>
      <c r="D14" s="851"/>
      <c r="E14" s="851"/>
      <c r="F14" s="851"/>
      <c r="G14" s="851"/>
      <c r="H14" s="851"/>
      <c r="I14" s="852"/>
      <c r="J14" s="532">
        <v>23</v>
      </c>
      <c r="K14" s="531"/>
      <c r="L14" s="532" t="s">
        <v>671</v>
      </c>
      <c r="M14" s="643" t="s">
        <v>213</v>
      </c>
      <c r="N14" s="641"/>
      <c r="O14" s="641"/>
      <c r="P14" s="641"/>
      <c r="Q14" s="641"/>
      <c r="R14" s="641"/>
      <c r="S14" s="641"/>
      <c r="T14" s="642"/>
      <c r="U14" s="532">
        <v>53</v>
      </c>
    </row>
    <row r="15" spans="1:21" s="36" customFormat="1" ht="17.100000000000001" customHeight="1">
      <c r="A15" s="532" t="s">
        <v>642</v>
      </c>
      <c r="B15" s="850" t="s">
        <v>729</v>
      </c>
      <c r="C15" s="851"/>
      <c r="D15" s="851"/>
      <c r="E15" s="851"/>
      <c r="F15" s="851"/>
      <c r="G15" s="851"/>
      <c r="H15" s="851"/>
      <c r="I15" s="852"/>
      <c r="J15" s="532">
        <v>24</v>
      </c>
      <c r="K15" s="531"/>
      <c r="L15" s="532" t="s">
        <v>672</v>
      </c>
      <c r="M15" s="850" t="s">
        <v>860</v>
      </c>
      <c r="N15" s="856"/>
      <c r="O15" s="856"/>
      <c r="P15" s="856"/>
      <c r="Q15" s="856"/>
      <c r="R15" s="856"/>
      <c r="S15" s="856"/>
      <c r="T15" s="857"/>
      <c r="U15" s="532">
        <v>54</v>
      </c>
    </row>
    <row r="16" spans="1:21" s="36" customFormat="1" ht="17.100000000000001" customHeight="1">
      <c r="A16" s="532" t="s">
        <v>643</v>
      </c>
      <c r="B16" s="643" t="s">
        <v>209</v>
      </c>
      <c r="C16" s="641"/>
      <c r="D16" s="641"/>
      <c r="E16" s="641"/>
      <c r="F16" s="641"/>
      <c r="G16" s="641"/>
      <c r="H16" s="641"/>
      <c r="I16" s="642"/>
      <c r="J16" s="532">
        <v>25</v>
      </c>
      <c r="K16" s="531"/>
      <c r="L16" s="532" t="s">
        <v>673</v>
      </c>
      <c r="M16" s="685" t="s">
        <v>859</v>
      </c>
      <c r="N16" s="641"/>
      <c r="O16" s="641"/>
      <c r="P16" s="641"/>
      <c r="Q16" s="641"/>
      <c r="R16" s="641"/>
      <c r="S16" s="641"/>
      <c r="T16" s="642"/>
      <c r="U16" s="532">
        <v>55</v>
      </c>
    </row>
    <row r="17" spans="1:21" s="36" customFormat="1" ht="17.100000000000001" customHeight="1">
      <c r="A17" s="532" t="s">
        <v>644</v>
      </c>
      <c r="B17" s="643" t="s">
        <v>735</v>
      </c>
      <c r="C17" s="641"/>
      <c r="D17" s="641"/>
      <c r="E17" s="641"/>
      <c r="F17" s="641"/>
      <c r="G17" s="641"/>
      <c r="H17" s="641"/>
      <c r="I17" s="642"/>
      <c r="J17" s="532">
        <v>26</v>
      </c>
      <c r="K17" s="531"/>
      <c r="L17" s="532" t="s">
        <v>674</v>
      </c>
      <c r="M17" s="643" t="s">
        <v>692</v>
      </c>
      <c r="N17" s="641"/>
      <c r="O17" s="641"/>
      <c r="P17" s="641"/>
      <c r="Q17" s="641"/>
      <c r="R17" s="641"/>
      <c r="S17" s="641"/>
      <c r="T17" s="642"/>
      <c r="U17" s="532">
        <v>58</v>
      </c>
    </row>
    <row r="18" spans="1:21" s="36" customFormat="1" ht="17.100000000000001" customHeight="1">
      <c r="A18" s="532" t="s">
        <v>645</v>
      </c>
      <c r="B18" s="643" t="s">
        <v>770</v>
      </c>
      <c r="C18" s="641"/>
      <c r="D18" s="641"/>
      <c r="E18" s="641"/>
      <c r="F18" s="641"/>
      <c r="G18" s="641"/>
      <c r="H18" s="641"/>
      <c r="I18" s="642"/>
      <c r="J18" s="532">
        <v>27</v>
      </c>
      <c r="K18" s="531"/>
      <c r="L18" s="533" t="s">
        <v>782</v>
      </c>
      <c r="M18" s="853" t="s">
        <v>214</v>
      </c>
      <c r="N18" s="854"/>
      <c r="O18" s="854"/>
      <c r="P18" s="854"/>
      <c r="Q18" s="854"/>
      <c r="R18" s="854"/>
      <c r="S18" s="854"/>
      <c r="T18" s="855"/>
      <c r="U18" s="533">
        <v>59</v>
      </c>
    </row>
    <row r="19" spans="1:21" s="36" customFormat="1" ht="17.100000000000001" customHeight="1">
      <c r="A19" s="532" t="s">
        <v>646</v>
      </c>
      <c r="B19" s="643" t="s">
        <v>758</v>
      </c>
      <c r="C19" s="641"/>
      <c r="D19" s="641"/>
      <c r="E19" s="641"/>
      <c r="F19" s="641"/>
      <c r="G19" s="641"/>
      <c r="H19" s="641"/>
      <c r="I19" s="642"/>
      <c r="J19" s="532">
        <v>28</v>
      </c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1:21" s="36" customFormat="1" ht="17.100000000000001" customHeight="1">
      <c r="A20" s="532" t="s">
        <v>647</v>
      </c>
      <c r="B20" s="643" t="s">
        <v>757</v>
      </c>
      <c r="C20" s="641"/>
      <c r="D20" s="641"/>
      <c r="E20" s="641"/>
      <c r="F20" s="641"/>
      <c r="G20" s="641"/>
      <c r="H20" s="641"/>
      <c r="I20" s="642"/>
      <c r="J20" s="532">
        <v>29</v>
      </c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</row>
    <row r="21" spans="1:21" s="36" customFormat="1" ht="17.100000000000001" customHeight="1">
      <c r="A21" s="532" t="s">
        <v>648</v>
      </c>
      <c r="B21" s="643" t="s">
        <v>771</v>
      </c>
      <c r="C21" s="641"/>
      <c r="D21" s="641"/>
      <c r="E21" s="641"/>
      <c r="F21" s="641"/>
      <c r="G21" s="641"/>
      <c r="H21" s="641"/>
      <c r="I21" s="642"/>
      <c r="J21" s="532">
        <v>30</v>
      </c>
      <c r="K21" s="531"/>
      <c r="L21" s="531"/>
      <c r="M21" s="658"/>
      <c r="N21" s="658"/>
      <c r="O21" s="658"/>
      <c r="P21" s="531"/>
      <c r="Q21" s="531"/>
      <c r="R21" s="531"/>
      <c r="S21" s="531"/>
      <c r="T21" s="531"/>
      <c r="U21" s="531"/>
    </row>
    <row r="22" spans="1:21" s="36" customFormat="1" ht="17.100000000000001" customHeight="1">
      <c r="A22" s="532" t="s">
        <v>649</v>
      </c>
      <c r="B22" s="643" t="s">
        <v>772</v>
      </c>
      <c r="C22" s="641"/>
      <c r="D22" s="641"/>
      <c r="E22" s="641"/>
      <c r="F22" s="641"/>
      <c r="G22" s="641"/>
      <c r="H22" s="641"/>
      <c r="I22" s="642"/>
      <c r="J22" s="532">
        <v>31</v>
      </c>
      <c r="K22" s="531"/>
      <c r="L22" s="531"/>
      <c r="M22" s="659"/>
      <c r="N22" s="658"/>
      <c r="O22" s="658"/>
      <c r="P22" s="531"/>
      <c r="Q22" s="531"/>
      <c r="R22" s="531"/>
      <c r="S22" s="531"/>
      <c r="T22" s="531"/>
      <c r="U22" s="531"/>
    </row>
    <row r="23" spans="1:21" s="36" customFormat="1" ht="17.100000000000001" customHeight="1">
      <c r="A23" s="532" t="s">
        <v>650</v>
      </c>
      <c r="B23" s="643" t="s">
        <v>737</v>
      </c>
      <c r="C23" s="641"/>
      <c r="D23" s="641"/>
      <c r="E23" s="641"/>
      <c r="F23" s="641"/>
      <c r="G23" s="641"/>
      <c r="H23" s="641"/>
      <c r="I23" s="642"/>
      <c r="J23" s="532">
        <v>32</v>
      </c>
      <c r="K23" s="531"/>
      <c r="L23" s="531"/>
      <c r="M23" s="658"/>
      <c r="N23" s="658"/>
      <c r="O23" s="658"/>
      <c r="P23" s="531"/>
      <c r="Q23" s="531"/>
      <c r="R23" s="531"/>
      <c r="S23" s="531"/>
      <c r="T23" s="531"/>
      <c r="U23" s="531"/>
    </row>
    <row r="24" spans="1:21" s="36" customFormat="1" ht="17.100000000000001" customHeight="1">
      <c r="A24" s="532" t="s">
        <v>651</v>
      </c>
      <c r="B24" s="643" t="s">
        <v>738</v>
      </c>
      <c r="C24" s="641"/>
      <c r="D24" s="641"/>
      <c r="E24" s="641"/>
      <c r="F24" s="641"/>
      <c r="G24" s="641"/>
      <c r="H24" s="641"/>
      <c r="I24" s="642"/>
      <c r="J24" s="532">
        <v>33</v>
      </c>
      <c r="K24" s="531"/>
      <c r="L24" s="531"/>
      <c r="M24" s="658"/>
      <c r="N24" s="658"/>
      <c r="O24" s="658"/>
      <c r="P24" s="531"/>
      <c r="Q24" s="531"/>
      <c r="R24" s="531"/>
      <c r="S24" s="531"/>
      <c r="T24" s="531"/>
      <c r="U24" s="531"/>
    </row>
    <row r="25" spans="1:21" s="36" customFormat="1" ht="17.100000000000001" customHeight="1">
      <c r="A25" s="532" t="s">
        <v>652</v>
      </c>
      <c r="B25" s="643" t="s">
        <v>739</v>
      </c>
      <c r="C25" s="641"/>
      <c r="D25" s="641"/>
      <c r="E25" s="641"/>
      <c r="F25" s="641"/>
      <c r="G25" s="641"/>
      <c r="H25" s="641"/>
      <c r="I25" s="642"/>
      <c r="J25" s="532">
        <v>34</v>
      </c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</row>
    <row r="26" spans="1:21" s="36" customFormat="1" ht="17.100000000000001" customHeight="1">
      <c r="A26" s="532" t="s">
        <v>653</v>
      </c>
      <c r="B26" s="643" t="s">
        <v>773</v>
      </c>
      <c r="C26" s="641"/>
      <c r="D26" s="641"/>
      <c r="E26" s="641"/>
      <c r="F26" s="641"/>
      <c r="G26" s="641"/>
      <c r="H26" s="641"/>
      <c r="I26" s="642"/>
      <c r="J26" s="532">
        <v>35</v>
      </c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</row>
    <row r="27" spans="1:21" s="36" customFormat="1" ht="17.100000000000001" customHeight="1">
      <c r="A27" s="532" t="s">
        <v>654</v>
      </c>
      <c r="B27" s="643" t="s">
        <v>741</v>
      </c>
      <c r="C27" s="641"/>
      <c r="D27" s="641"/>
      <c r="E27" s="641"/>
      <c r="F27" s="641"/>
      <c r="G27" s="641"/>
      <c r="H27" s="641"/>
      <c r="I27" s="642"/>
      <c r="J27" s="532">
        <v>36</v>
      </c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</row>
    <row r="28" spans="1:21" s="36" customFormat="1" ht="17.100000000000001" customHeight="1">
      <c r="A28" s="532" t="s">
        <v>655</v>
      </c>
      <c r="B28" s="657" t="s">
        <v>806</v>
      </c>
      <c r="C28" s="641"/>
      <c r="D28" s="641"/>
      <c r="E28" s="641"/>
      <c r="F28" s="641"/>
      <c r="G28" s="641"/>
      <c r="H28" s="641"/>
      <c r="I28" s="642"/>
      <c r="J28" s="532">
        <v>37</v>
      </c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</row>
    <row r="29" spans="1:21" s="36" customFormat="1" ht="17.100000000000001" customHeight="1">
      <c r="A29" s="532" t="s">
        <v>656</v>
      </c>
      <c r="B29" s="657" t="s">
        <v>807</v>
      </c>
      <c r="C29" s="641"/>
      <c r="D29" s="641"/>
      <c r="E29" s="641"/>
      <c r="F29" s="641"/>
      <c r="G29" s="641"/>
      <c r="H29" s="641"/>
      <c r="I29" s="642"/>
      <c r="J29" s="532">
        <v>38</v>
      </c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</row>
    <row r="30" spans="1:21" ht="17.100000000000001" customHeight="1">
      <c r="A30" s="532" t="s">
        <v>657</v>
      </c>
      <c r="B30" s="657" t="s">
        <v>808</v>
      </c>
      <c r="C30" s="641"/>
      <c r="D30" s="641"/>
      <c r="E30" s="641"/>
      <c r="F30" s="641"/>
      <c r="G30" s="641"/>
      <c r="H30" s="641"/>
      <c r="I30" s="642"/>
      <c r="J30" s="532">
        <v>39</v>
      </c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</row>
    <row r="31" spans="1:21" ht="17.100000000000001" customHeight="1">
      <c r="A31" s="532" t="s">
        <v>658</v>
      </c>
      <c r="B31" s="643" t="s">
        <v>774</v>
      </c>
      <c r="C31" s="641"/>
      <c r="D31" s="641"/>
      <c r="E31" s="641"/>
      <c r="F31" s="641"/>
      <c r="G31" s="641"/>
      <c r="H31" s="641"/>
      <c r="I31" s="642"/>
      <c r="J31" s="532">
        <v>40</v>
      </c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</row>
    <row r="32" spans="1:21" ht="17.100000000000001" customHeight="1">
      <c r="A32" s="532" t="s">
        <v>659</v>
      </c>
      <c r="B32" s="657" t="s">
        <v>809</v>
      </c>
      <c r="C32" s="641"/>
      <c r="D32" s="641"/>
      <c r="E32" s="641"/>
      <c r="F32" s="641"/>
      <c r="G32" s="641"/>
      <c r="H32" s="641"/>
      <c r="I32" s="642"/>
      <c r="J32" s="532">
        <v>41</v>
      </c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</row>
    <row r="33" spans="1:21" ht="17.100000000000001" customHeight="1">
      <c r="A33" s="533" t="s">
        <v>660</v>
      </c>
      <c r="B33" s="680" t="s">
        <v>810</v>
      </c>
      <c r="C33" s="681"/>
      <c r="D33" s="681"/>
      <c r="E33" s="681"/>
      <c r="F33" s="681"/>
      <c r="G33" s="681"/>
      <c r="H33" s="681"/>
      <c r="I33" s="682"/>
      <c r="J33" s="533">
        <v>42</v>
      </c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</row>
    <row r="34" spans="1:21" ht="17.100000000000001" customHeight="1"/>
  </sheetData>
  <mergeCells count="16">
    <mergeCell ref="B14:I14"/>
    <mergeCell ref="M18:T18"/>
    <mergeCell ref="M15:T15"/>
    <mergeCell ref="M3:T3"/>
    <mergeCell ref="A1:I1"/>
    <mergeCell ref="B5:I5"/>
    <mergeCell ref="B3:I3"/>
    <mergeCell ref="M5:T5"/>
    <mergeCell ref="M4:T4"/>
    <mergeCell ref="B8:I8"/>
    <mergeCell ref="B7:I7"/>
    <mergeCell ref="B6:I6"/>
    <mergeCell ref="B10:I10"/>
    <mergeCell ref="B4:I4"/>
    <mergeCell ref="B9:I9"/>
    <mergeCell ref="B15:I15"/>
  </mergeCells>
  <phoneticPr fontId="0" type="noConversion"/>
  <pageMargins left="0.72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Q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765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168</v>
      </c>
      <c r="D7" s="7" t="s">
        <v>81</v>
      </c>
      <c r="E7" s="667" t="s">
        <v>821</v>
      </c>
      <c r="F7" s="5"/>
      <c r="G7" s="313"/>
      <c r="H7" s="5"/>
      <c r="I7" s="100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76280</v>
      </c>
      <c r="J8" s="733">
        <f t="shared" si="0"/>
        <v>76280</v>
      </c>
      <c r="K8" s="739">
        <f t="shared" si="0"/>
        <v>56689</v>
      </c>
      <c r="L8" s="578">
        <f t="shared" si="0"/>
        <v>76910</v>
      </c>
      <c r="M8" s="236">
        <f t="shared" si="0"/>
        <v>0</v>
      </c>
      <c r="N8" s="718">
        <f t="shared" si="0"/>
        <v>76910</v>
      </c>
      <c r="O8" s="376">
        <f>IF(J8=0,"",N8/J8*100)</f>
        <v>100.82590456213948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67430</v>
      </c>
      <c r="J9" s="779">
        <v>67430</v>
      </c>
      <c r="K9" s="737">
        <v>50348</v>
      </c>
      <c r="L9" s="626">
        <f>68080+150</f>
        <v>68230</v>
      </c>
      <c r="M9" s="238">
        <v>0</v>
      </c>
      <c r="N9" s="719">
        <f>SUM(L9:M9)</f>
        <v>68230</v>
      </c>
      <c r="O9" s="377">
        <f>IF(J9=0,"",N9/J9*100)</f>
        <v>101.18641554204359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8850</v>
      </c>
      <c r="J10" s="779">
        <v>8850</v>
      </c>
      <c r="K10" s="737">
        <v>6341</v>
      </c>
      <c r="L10" s="626">
        <f>8380+300</f>
        <v>8680</v>
      </c>
      <c r="M10" s="238">
        <v>0</v>
      </c>
      <c r="N10" s="719">
        <f t="shared" ref="N10:N11" si="1">SUM(L10:M10)</f>
        <v>8680</v>
      </c>
      <c r="O10" s="377">
        <f t="shared" ref="O10:O35" si="2">IF(J10=0,"",N10/J10*100)</f>
        <v>98.079096045197744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734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779"/>
      <c r="K12" s="737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7160</v>
      </c>
      <c r="J13" s="733">
        <f t="shared" si="3"/>
        <v>7160</v>
      </c>
      <c r="K13" s="739">
        <f t="shared" si="3"/>
        <v>5311</v>
      </c>
      <c r="L13" s="578">
        <f t="shared" si="3"/>
        <v>7270</v>
      </c>
      <c r="M13" s="236">
        <f t="shared" si="3"/>
        <v>0</v>
      </c>
      <c r="N13" s="718">
        <f t="shared" si="3"/>
        <v>7270</v>
      </c>
      <c r="O13" s="376">
        <f t="shared" si="2"/>
        <v>101.536312849162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7160</v>
      </c>
      <c r="J14" s="779">
        <v>7160</v>
      </c>
      <c r="K14" s="737">
        <v>5311</v>
      </c>
      <c r="L14" s="626">
        <f>7190+80</f>
        <v>7270</v>
      </c>
      <c r="M14" s="238">
        <v>0</v>
      </c>
      <c r="N14" s="719">
        <f>SUM(L14:M14)</f>
        <v>7270</v>
      </c>
      <c r="O14" s="377">
        <f t="shared" si="2"/>
        <v>101.536312849162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772"/>
      <c r="K15" s="774"/>
      <c r="L15" s="622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4270</v>
      </c>
      <c r="J16" s="773">
        <f t="shared" si="4"/>
        <v>4270</v>
      </c>
      <c r="K16" s="778">
        <f t="shared" si="4"/>
        <v>1780</v>
      </c>
      <c r="L16" s="588">
        <f t="shared" si="4"/>
        <v>3170</v>
      </c>
      <c r="M16" s="323">
        <f t="shared" si="4"/>
        <v>0</v>
      </c>
      <c r="N16" s="721">
        <f t="shared" si="4"/>
        <v>3170</v>
      </c>
      <c r="O16" s="376">
        <f t="shared" si="2"/>
        <v>74.238875878220142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800</v>
      </c>
      <c r="J17" s="774">
        <v>800</v>
      </c>
      <c r="K17" s="774">
        <v>97</v>
      </c>
      <c r="L17" s="571">
        <v>200</v>
      </c>
      <c r="M17" s="395">
        <v>0</v>
      </c>
      <c r="N17" s="719">
        <f t="shared" ref="N17:N26" si="5">SUM(L17:M17)</f>
        <v>200</v>
      </c>
      <c r="O17" s="377">
        <f t="shared" si="2"/>
        <v>25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0</v>
      </c>
      <c r="J18" s="774">
        <v>0</v>
      </c>
      <c r="K18" s="774">
        <v>0</v>
      </c>
      <c r="L18" s="571">
        <v>0</v>
      </c>
      <c r="M18" s="395">
        <v>0</v>
      </c>
      <c r="N18" s="719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1400</v>
      </c>
      <c r="J19" s="774">
        <v>1400</v>
      </c>
      <c r="K19" s="774">
        <v>852</v>
      </c>
      <c r="L19" s="571">
        <v>1300</v>
      </c>
      <c r="M19" s="395">
        <v>0</v>
      </c>
      <c r="N19" s="719">
        <f t="shared" si="5"/>
        <v>1300</v>
      </c>
      <c r="O19" s="377">
        <f t="shared" si="2"/>
        <v>92.857142857142861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1000</v>
      </c>
      <c r="J20" s="774">
        <v>1000</v>
      </c>
      <c r="K20" s="774">
        <v>121</v>
      </c>
      <c r="L20" s="571">
        <v>600</v>
      </c>
      <c r="M20" s="395">
        <v>0</v>
      </c>
      <c r="N20" s="719">
        <f t="shared" si="5"/>
        <v>600</v>
      </c>
      <c r="O20" s="377">
        <f t="shared" si="2"/>
        <v>60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0</v>
      </c>
      <c r="J21" s="774">
        <v>0</v>
      </c>
      <c r="K21" s="774">
        <v>0</v>
      </c>
      <c r="L21" s="571">
        <v>0</v>
      </c>
      <c r="M21" s="395">
        <v>0</v>
      </c>
      <c r="N21" s="719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774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4">
        <v>200</v>
      </c>
      <c r="J23" s="774">
        <v>200</v>
      </c>
      <c r="K23" s="774">
        <v>76</v>
      </c>
      <c r="L23" s="571">
        <v>200</v>
      </c>
      <c r="M23" s="395">
        <v>0</v>
      </c>
      <c r="N23" s="719">
        <f t="shared" si="5"/>
        <v>200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4">
        <v>0</v>
      </c>
      <c r="J24" s="774">
        <v>0</v>
      </c>
      <c r="K24" s="774">
        <v>0</v>
      </c>
      <c r="L24" s="571">
        <v>0</v>
      </c>
      <c r="M24" s="395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870</v>
      </c>
      <c r="J25" s="737">
        <v>870</v>
      </c>
      <c r="K25" s="737">
        <v>634</v>
      </c>
      <c r="L25" s="571">
        <v>870</v>
      </c>
      <c r="M25" s="397">
        <v>0</v>
      </c>
      <c r="N25" s="719">
        <f t="shared" si="5"/>
        <v>870</v>
      </c>
      <c r="O25" s="377">
        <f t="shared" si="2"/>
        <v>100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73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2"/>
      <c r="J27" s="772"/>
      <c r="K27" s="774"/>
      <c r="L27" s="621"/>
      <c r="M27" s="321"/>
      <c r="N27" s="7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I29+I30</f>
        <v>500</v>
      </c>
      <c r="J28" s="575">
        <f t="shared" si="6"/>
        <v>500</v>
      </c>
      <c r="K28" s="740">
        <f t="shared" si="6"/>
        <v>0</v>
      </c>
      <c r="L28" s="582">
        <f t="shared" si="6"/>
        <v>500</v>
      </c>
      <c r="M28" s="318">
        <f t="shared" si="6"/>
        <v>0</v>
      </c>
      <c r="N28" s="721">
        <f t="shared" si="6"/>
        <v>500</v>
      </c>
      <c r="O28" s="377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2">
        <v>0</v>
      </c>
      <c r="J29" s="772">
        <v>0</v>
      </c>
      <c r="K29" s="774">
        <v>0</v>
      </c>
      <c r="L29" s="621">
        <v>0</v>
      </c>
      <c r="M29" s="321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</v>
      </c>
      <c r="J30" s="631">
        <v>500</v>
      </c>
      <c r="K30" s="737">
        <v>0</v>
      </c>
      <c r="L30" s="622">
        <v>500</v>
      </c>
      <c r="M30" s="326">
        <v>0</v>
      </c>
      <c r="N30" s="719">
        <f t="shared" si="7"/>
        <v>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772"/>
      <c r="K31" s="774"/>
      <c r="L31" s="621"/>
      <c r="M31" s="321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3</v>
      </c>
      <c r="J32" s="575">
        <v>3</v>
      </c>
      <c r="K32" s="740">
        <v>3</v>
      </c>
      <c r="L32" s="582">
        <v>3</v>
      </c>
      <c r="M32" s="318"/>
      <c r="N32" s="721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88210</v>
      </c>
      <c r="J33" s="318">
        <f>J8+J13+J16+J28</f>
        <v>88210</v>
      </c>
      <c r="K33" s="575">
        <f t="shared" ref="K33" si="8">K8+K13+K16+K28</f>
        <v>63780</v>
      </c>
      <c r="L33" s="582">
        <f>L8+L13+L16+L28</f>
        <v>87850</v>
      </c>
      <c r="M33" s="318">
        <f>M8+M13+M16+M28</f>
        <v>0</v>
      </c>
      <c r="N33" s="721">
        <f>N8+N13+N16+N28</f>
        <v>87850</v>
      </c>
      <c r="O33" s="376">
        <f t="shared" si="2"/>
        <v>99.591883006461856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88210</v>
      </c>
      <c r="J34" s="15">
        <f>J33</f>
        <v>88210</v>
      </c>
      <c r="K34" s="575">
        <f t="shared" ref="K34" si="9">K33</f>
        <v>63780</v>
      </c>
      <c r="L34" s="582">
        <f>L33</f>
        <v>87850</v>
      </c>
      <c r="M34" s="318">
        <f>M33</f>
        <v>0</v>
      </c>
      <c r="N34" s="721">
        <f>N33</f>
        <v>87850</v>
      </c>
      <c r="O34" s="376">
        <f>IF(J34=0,"",N34/J34*100)</f>
        <v>99.591883006461856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I34+'13'!I34+'12'!I34+'11'!I35+'10'!I35</f>
        <v>1946170</v>
      </c>
      <c r="J35" s="15">
        <f>J34+'13'!J34+'12'!J34+'11'!J35+'10'!J35</f>
        <v>1946170</v>
      </c>
      <c r="K35" s="575">
        <f>K34+'13'!K34+'12'!K34+'11'!K35+'10'!K35</f>
        <v>1425231</v>
      </c>
      <c r="L35" s="582">
        <f>L34+'13'!L34+'12'!L34+'11'!L35+'10'!L35</f>
        <v>1942910</v>
      </c>
      <c r="M35" s="318">
        <f>M34+'13'!M34+'12'!M34+'11'!M35+'10'!M35</f>
        <v>0</v>
      </c>
      <c r="N35" s="721">
        <f>N34+'13'!N34+'12'!N34+'11'!N35+'10'!N35</f>
        <v>1942910</v>
      </c>
      <c r="O35" s="376">
        <f t="shared" si="2"/>
        <v>99.832491508963756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Q100"/>
  <sheetViews>
    <sheetView zoomScaleNormal="100" workbookViewId="0">
      <selection activeCell="Q18" sqref="Q1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746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645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126</v>
      </c>
      <c r="C7" s="7" t="s">
        <v>80</v>
      </c>
      <c r="D7" s="7" t="s">
        <v>81</v>
      </c>
      <c r="E7" s="667" t="s">
        <v>822</v>
      </c>
      <c r="F7" s="5"/>
      <c r="G7" s="313"/>
      <c r="H7" s="5"/>
      <c r="I7" s="100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226780</v>
      </c>
      <c r="J8" s="733">
        <f t="shared" si="0"/>
        <v>226780</v>
      </c>
      <c r="K8" s="739">
        <f t="shared" si="0"/>
        <v>163578</v>
      </c>
      <c r="L8" s="578">
        <f t="shared" si="0"/>
        <v>224110</v>
      </c>
      <c r="M8" s="236">
        <f t="shared" si="0"/>
        <v>0</v>
      </c>
      <c r="N8" s="718">
        <f t="shared" si="0"/>
        <v>224110</v>
      </c>
      <c r="O8" s="376">
        <f>IF(J8=0,"",N8/J8*100)</f>
        <v>98.822647499779521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188690</v>
      </c>
      <c r="J9" s="779">
        <v>188690</v>
      </c>
      <c r="K9" s="737">
        <v>134065</v>
      </c>
      <c r="L9" s="626">
        <f>184020+400</f>
        <v>184420</v>
      </c>
      <c r="M9" s="238">
        <v>0</v>
      </c>
      <c r="N9" s="719">
        <f>SUM(L9:M9)</f>
        <v>184420</v>
      </c>
      <c r="O9" s="377">
        <f>IF(J9=0,"",N9/J9*100)</f>
        <v>97.737028989347607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38090</v>
      </c>
      <c r="J10" s="779">
        <v>38090</v>
      </c>
      <c r="K10" s="737">
        <v>29513</v>
      </c>
      <c r="L10" s="626">
        <f>38320+470+900</f>
        <v>39690</v>
      </c>
      <c r="M10" s="238">
        <v>0</v>
      </c>
      <c r="N10" s="719">
        <f t="shared" ref="N10:N11" si="1">SUM(L10:M10)</f>
        <v>39690</v>
      </c>
      <c r="O10" s="377">
        <f t="shared" ref="O10:O39" si="2">IF(J10=0,"",N10/J10*100)</f>
        <v>104.20057757941717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734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733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20400</v>
      </c>
      <c r="J13" s="733">
        <f t="shared" si="3"/>
        <v>20400</v>
      </c>
      <c r="K13" s="739">
        <f t="shared" si="3"/>
        <v>14152</v>
      </c>
      <c r="L13" s="578">
        <f t="shared" si="3"/>
        <v>19580</v>
      </c>
      <c r="M13" s="236">
        <f t="shared" si="3"/>
        <v>0</v>
      </c>
      <c r="N13" s="718">
        <f t="shared" si="3"/>
        <v>19580</v>
      </c>
      <c r="O13" s="376">
        <f t="shared" si="2"/>
        <v>95.980392156862749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20400</v>
      </c>
      <c r="J14" s="779">
        <v>20400</v>
      </c>
      <c r="K14" s="737">
        <v>14152</v>
      </c>
      <c r="L14" s="626">
        <f>19430+150</f>
        <v>19580</v>
      </c>
      <c r="M14" s="238">
        <v>0</v>
      </c>
      <c r="N14" s="719">
        <f>SUM(L14:M14)</f>
        <v>19580</v>
      </c>
      <c r="O14" s="377">
        <f t="shared" si="2"/>
        <v>95.980392156862749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575"/>
      <c r="K15" s="740"/>
      <c r="L15" s="582"/>
      <c r="M15" s="318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SUM(I17:I27)</f>
        <v>72850</v>
      </c>
      <c r="J16" s="773">
        <f t="shared" si="4"/>
        <v>72850</v>
      </c>
      <c r="K16" s="778">
        <f t="shared" si="4"/>
        <v>15906</v>
      </c>
      <c r="L16" s="588">
        <f t="shared" si="4"/>
        <v>20850</v>
      </c>
      <c r="M16" s="323">
        <f t="shared" si="4"/>
        <v>50000</v>
      </c>
      <c r="N16" s="721">
        <f t="shared" si="4"/>
        <v>70850</v>
      </c>
      <c r="O16" s="376">
        <f t="shared" si="2"/>
        <v>97.254632807137952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3500</v>
      </c>
      <c r="J17" s="774">
        <v>3500</v>
      </c>
      <c r="K17" s="774">
        <v>676</v>
      </c>
      <c r="L17" s="571">
        <v>1500</v>
      </c>
      <c r="M17" s="395">
        <v>0</v>
      </c>
      <c r="N17" s="719">
        <f t="shared" ref="N17:N27" si="5">SUM(L17:M17)</f>
        <v>1500</v>
      </c>
      <c r="O17" s="377">
        <f t="shared" si="2"/>
        <v>42.857142857142854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0</v>
      </c>
      <c r="J18" s="774">
        <v>0</v>
      </c>
      <c r="K18" s="774">
        <v>0</v>
      </c>
      <c r="L18" s="571">
        <v>0</v>
      </c>
      <c r="M18" s="395">
        <v>0</v>
      </c>
      <c r="N18" s="719">
        <f t="shared" si="5"/>
        <v>0</v>
      </c>
      <c r="O18" s="377" t="str">
        <f t="shared" si="2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3250</v>
      </c>
      <c r="J19" s="774">
        <v>3250</v>
      </c>
      <c r="K19" s="774">
        <v>2265</v>
      </c>
      <c r="L19" s="571">
        <v>3250</v>
      </c>
      <c r="M19" s="395">
        <v>0</v>
      </c>
      <c r="N19" s="719">
        <f t="shared" si="5"/>
        <v>3250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100</v>
      </c>
      <c r="J20" s="774">
        <v>100</v>
      </c>
      <c r="K20" s="774">
        <v>0</v>
      </c>
      <c r="L20" s="571">
        <v>100</v>
      </c>
      <c r="M20" s="395">
        <v>0</v>
      </c>
      <c r="N20" s="719">
        <f t="shared" si="5"/>
        <v>100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0</v>
      </c>
      <c r="J21" s="774">
        <v>0</v>
      </c>
      <c r="K21" s="774">
        <v>0</v>
      </c>
      <c r="L21" s="571">
        <v>0</v>
      </c>
      <c r="M21" s="395">
        <v>0</v>
      </c>
      <c r="N21" s="719">
        <f t="shared" si="5"/>
        <v>0</v>
      </c>
      <c r="O21" s="377" t="str">
        <f t="shared" si="2"/>
        <v/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774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4">
        <v>1000</v>
      </c>
      <c r="J23" s="774">
        <v>1000</v>
      </c>
      <c r="K23" s="774">
        <v>211</v>
      </c>
      <c r="L23" s="571">
        <v>1000</v>
      </c>
      <c r="M23" s="395">
        <v>0</v>
      </c>
      <c r="N23" s="719">
        <f t="shared" si="5"/>
        <v>1000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4">
        <v>0</v>
      </c>
      <c r="J24" s="774">
        <v>0</v>
      </c>
      <c r="K24" s="774">
        <v>0</v>
      </c>
      <c r="L24" s="571">
        <v>0</v>
      </c>
      <c r="M24" s="395">
        <v>0</v>
      </c>
      <c r="N24" s="719">
        <f t="shared" si="5"/>
        <v>0</v>
      </c>
      <c r="O24" s="377" t="str">
        <f t="shared" si="2"/>
        <v/>
      </c>
      <c r="Q24" s="55"/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15000</v>
      </c>
      <c r="J25" s="737">
        <v>15000</v>
      </c>
      <c r="K25" s="737">
        <v>5231</v>
      </c>
      <c r="L25" s="571">
        <v>15000</v>
      </c>
      <c r="M25" s="397">
        <v>0</v>
      </c>
      <c r="N25" s="719">
        <f t="shared" si="5"/>
        <v>15000</v>
      </c>
      <c r="O25" s="377">
        <f t="shared" si="2"/>
        <v>100</v>
      </c>
      <c r="Q25" s="55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74">
        <v>0</v>
      </c>
      <c r="J26" s="774">
        <v>0</v>
      </c>
      <c r="K26" s="774">
        <v>0</v>
      </c>
      <c r="L26" s="571">
        <v>0</v>
      </c>
      <c r="M26" s="395">
        <v>0</v>
      </c>
      <c r="N26" s="719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>
        <v>613900</v>
      </c>
      <c r="G27" s="362" t="s">
        <v>568</v>
      </c>
      <c r="H27" s="20" t="s">
        <v>474</v>
      </c>
      <c r="I27" s="737">
        <v>50000</v>
      </c>
      <c r="J27" s="737">
        <v>50000</v>
      </c>
      <c r="K27" s="737">
        <v>7523</v>
      </c>
      <c r="L27" s="571">
        <v>0</v>
      </c>
      <c r="M27" s="397">
        <v>50000</v>
      </c>
      <c r="N27" s="719">
        <f t="shared" si="5"/>
        <v>50000</v>
      </c>
      <c r="O27" s="377">
        <f t="shared" si="2"/>
        <v>100</v>
      </c>
      <c r="Q27" s="640"/>
    </row>
    <row r="28" spans="1:17" ht="12.95" customHeight="1">
      <c r="B28" s="10"/>
      <c r="C28" s="11"/>
      <c r="D28" s="11"/>
      <c r="E28" s="316"/>
      <c r="F28" s="336"/>
      <c r="G28" s="362"/>
      <c r="H28" s="11"/>
      <c r="I28" s="575"/>
      <c r="J28" s="575"/>
      <c r="K28" s="740"/>
      <c r="L28" s="588"/>
      <c r="M28" s="318"/>
      <c r="N28" s="721"/>
      <c r="O28" s="377" t="str">
        <f t="shared" si="2"/>
        <v/>
      </c>
    </row>
    <row r="29" spans="1:17" s="1" customFormat="1" ht="12.95" customHeight="1">
      <c r="A29" s="311"/>
      <c r="B29" s="12"/>
      <c r="C29" s="8"/>
      <c r="D29" s="8"/>
      <c r="E29" s="8"/>
      <c r="F29" s="335">
        <v>614000</v>
      </c>
      <c r="G29" s="361"/>
      <c r="H29" s="8" t="s">
        <v>178</v>
      </c>
      <c r="I29" s="575">
        <f t="shared" ref="I29:J29" si="6">SUM(I30:I31)</f>
        <v>2800000</v>
      </c>
      <c r="J29" s="575">
        <f t="shared" si="6"/>
        <v>2580000</v>
      </c>
      <c r="K29" s="740">
        <f t="shared" ref="K29:L29" si="7">SUM(K30:K31)</f>
        <v>1266006</v>
      </c>
      <c r="L29" s="588">
        <f t="shared" si="7"/>
        <v>1015170</v>
      </c>
      <c r="M29" s="318">
        <f t="shared" ref="M29:N29" si="8">SUM(M30:M31)</f>
        <v>654830</v>
      </c>
      <c r="N29" s="721">
        <f t="shared" si="8"/>
        <v>1670000</v>
      </c>
      <c r="O29" s="376">
        <f t="shared" si="2"/>
        <v>64.728682170542641</v>
      </c>
    </row>
    <row r="30" spans="1:17" s="311" customFormat="1" ht="12.95" customHeight="1">
      <c r="B30" s="317"/>
      <c r="C30" s="8"/>
      <c r="D30" s="52"/>
      <c r="E30" s="52"/>
      <c r="F30" s="341">
        <v>614100</v>
      </c>
      <c r="G30" s="367" t="s">
        <v>719</v>
      </c>
      <c r="H30" s="83" t="s">
        <v>194</v>
      </c>
      <c r="I30" s="631">
        <v>0</v>
      </c>
      <c r="J30" s="631">
        <v>0</v>
      </c>
      <c r="K30" s="737">
        <v>0</v>
      </c>
      <c r="L30" s="622">
        <v>0</v>
      </c>
      <c r="M30" s="326">
        <v>0</v>
      </c>
      <c r="N30" s="719">
        <f>SUM(L30:M30)</f>
        <v>0</v>
      </c>
      <c r="O30" s="377" t="str">
        <f t="shared" ref="O30" si="9">IF(J30=0,"",N30/J30*100)</f>
        <v/>
      </c>
    </row>
    <row r="31" spans="1:17" s="1" customFormat="1" ht="12.95" customHeight="1">
      <c r="A31" s="311"/>
      <c r="B31" s="12"/>
      <c r="C31" s="8"/>
      <c r="D31" s="52"/>
      <c r="E31" s="52"/>
      <c r="F31" s="341">
        <v>614500</v>
      </c>
      <c r="G31" s="367" t="s">
        <v>569</v>
      </c>
      <c r="H31" s="83" t="s">
        <v>545</v>
      </c>
      <c r="I31" s="631">
        <v>2800000</v>
      </c>
      <c r="J31" s="631">
        <v>2580000</v>
      </c>
      <c r="K31" s="737">
        <v>1266006</v>
      </c>
      <c r="L31" s="622">
        <f>1730000-654830-49000-11000</f>
        <v>1015170</v>
      </c>
      <c r="M31" s="326">
        <v>654830</v>
      </c>
      <c r="N31" s="719">
        <f>SUM(L31:M31)</f>
        <v>1670000</v>
      </c>
      <c r="O31" s="377">
        <f t="shared" si="2"/>
        <v>64.728682170542641</v>
      </c>
      <c r="P31" s="81"/>
    </row>
    <row r="32" spans="1:17" s="314" customFormat="1" ht="12.95" customHeight="1">
      <c r="B32" s="315"/>
      <c r="C32" s="316"/>
      <c r="D32" s="316"/>
      <c r="E32" s="316"/>
      <c r="F32" s="336"/>
      <c r="G32" s="362"/>
      <c r="H32" s="316"/>
      <c r="I32" s="575"/>
      <c r="J32" s="575"/>
      <c r="K32" s="740"/>
      <c r="L32" s="588"/>
      <c r="M32" s="318"/>
      <c r="N32" s="721"/>
      <c r="O32" s="377" t="str">
        <f t="shared" ref="O32:O34" si="10">IF(J32=0,"",N32/J32*100)</f>
        <v/>
      </c>
    </row>
    <row r="33" spans="1:15" s="311" customFormat="1" ht="12.95" customHeight="1">
      <c r="B33" s="317"/>
      <c r="C33" s="8"/>
      <c r="D33" s="8"/>
      <c r="E33" s="8"/>
      <c r="F33" s="335">
        <v>615000</v>
      </c>
      <c r="G33" s="361"/>
      <c r="H33" s="8" t="s">
        <v>88</v>
      </c>
      <c r="I33" s="575">
        <f t="shared" ref="I33:N33" si="11">I34</f>
        <v>200000</v>
      </c>
      <c r="J33" s="575">
        <f t="shared" si="11"/>
        <v>420000</v>
      </c>
      <c r="K33" s="740">
        <f t="shared" si="11"/>
        <v>0</v>
      </c>
      <c r="L33" s="588">
        <f t="shared" si="11"/>
        <v>418000</v>
      </c>
      <c r="M33" s="318">
        <f t="shared" si="11"/>
        <v>0</v>
      </c>
      <c r="N33" s="721">
        <f t="shared" si="11"/>
        <v>418000</v>
      </c>
      <c r="O33" s="376">
        <f t="shared" si="10"/>
        <v>99.523809523809518</v>
      </c>
    </row>
    <row r="34" spans="1:15" s="311" customFormat="1" ht="12.95" customHeight="1">
      <c r="B34" s="317"/>
      <c r="C34" s="8"/>
      <c r="D34" s="52"/>
      <c r="E34" s="52"/>
      <c r="F34" s="341">
        <v>615500</v>
      </c>
      <c r="G34" s="367" t="s">
        <v>720</v>
      </c>
      <c r="H34" s="83" t="s">
        <v>775</v>
      </c>
      <c r="I34" s="631">
        <v>200000</v>
      </c>
      <c r="J34" s="631">
        <v>420000</v>
      </c>
      <c r="K34" s="737">
        <v>0</v>
      </c>
      <c r="L34" s="622">
        <f>420000-2000</f>
        <v>418000</v>
      </c>
      <c r="M34" s="326">
        <v>0</v>
      </c>
      <c r="N34" s="719">
        <f>SUM(L34:M34)</f>
        <v>418000</v>
      </c>
      <c r="O34" s="377">
        <f t="shared" si="10"/>
        <v>99.523809523809518</v>
      </c>
    </row>
    <row r="35" spans="1:15" ht="12.95" customHeight="1">
      <c r="B35" s="10"/>
      <c r="C35" s="11"/>
      <c r="D35" s="11"/>
      <c r="E35" s="316"/>
      <c r="F35" s="336"/>
      <c r="G35" s="362"/>
      <c r="H35" s="20"/>
      <c r="I35" s="631"/>
      <c r="J35" s="631"/>
      <c r="K35" s="737"/>
      <c r="L35" s="622"/>
      <c r="M35" s="326"/>
      <c r="N35" s="720"/>
      <c r="O35" s="377" t="str">
        <f t="shared" si="2"/>
        <v/>
      </c>
    </row>
    <row r="36" spans="1:15" ht="12.95" customHeight="1">
      <c r="B36" s="12"/>
      <c r="C36" s="8"/>
      <c r="D36" s="8"/>
      <c r="E36" s="8"/>
      <c r="F36" s="335">
        <v>821000</v>
      </c>
      <c r="G36" s="361"/>
      <c r="H36" s="8" t="s">
        <v>89</v>
      </c>
      <c r="I36" s="632">
        <f t="shared" ref="I36:N36" si="12">SUM(I37:I38)</f>
        <v>1000</v>
      </c>
      <c r="J36" s="632">
        <f t="shared" si="12"/>
        <v>1000</v>
      </c>
      <c r="K36" s="739">
        <f t="shared" si="12"/>
        <v>981</v>
      </c>
      <c r="L36" s="588">
        <f t="shared" si="12"/>
        <v>2000</v>
      </c>
      <c r="M36" s="325">
        <f t="shared" si="12"/>
        <v>0</v>
      </c>
      <c r="N36" s="721">
        <f t="shared" si="12"/>
        <v>2000</v>
      </c>
      <c r="O36" s="376">
        <f t="shared" si="2"/>
        <v>200</v>
      </c>
    </row>
    <row r="37" spans="1:15" ht="12.95" customHeight="1">
      <c r="B37" s="10"/>
      <c r="C37" s="11"/>
      <c r="D37" s="11"/>
      <c r="E37" s="316"/>
      <c r="F37" s="336">
        <v>821200</v>
      </c>
      <c r="G37" s="362"/>
      <c r="H37" s="11" t="s">
        <v>90</v>
      </c>
      <c r="I37" s="631">
        <v>0</v>
      </c>
      <c r="J37" s="631">
        <v>0</v>
      </c>
      <c r="K37" s="737">
        <v>0</v>
      </c>
      <c r="L37" s="622">
        <v>0</v>
      </c>
      <c r="M37" s="326">
        <v>0</v>
      </c>
      <c r="N37" s="719">
        <f t="shared" ref="N37:N38" si="13">SUM(L37:M37)</f>
        <v>0</v>
      </c>
      <c r="O37" s="377" t="str">
        <f t="shared" si="2"/>
        <v/>
      </c>
    </row>
    <row r="38" spans="1:15" ht="12.95" customHeight="1">
      <c r="B38" s="10"/>
      <c r="C38" s="11"/>
      <c r="D38" s="11"/>
      <c r="E38" s="316"/>
      <c r="F38" s="336">
        <v>821300</v>
      </c>
      <c r="G38" s="362"/>
      <c r="H38" s="11" t="s">
        <v>91</v>
      </c>
      <c r="I38" s="631">
        <v>1000</v>
      </c>
      <c r="J38" s="631">
        <v>1000</v>
      </c>
      <c r="K38" s="737">
        <v>981</v>
      </c>
      <c r="L38" s="622">
        <v>2000</v>
      </c>
      <c r="M38" s="326">
        <v>0</v>
      </c>
      <c r="N38" s="719">
        <f t="shared" si="13"/>
        <v>2000</v>
      </c>
      <c r="O38" s="377">
        <f>IF(J38=0,"",N38/J38*100)</f>
        <v>200</v>
      </c>
    </row>
    <row r="39" spans="1:15" ht="12.95" customHeight="1">
      <c r="B39" s="10"/>
      <c r="C39" s="11"/>
      <c r="D39" s="11"/>
      <c r="E39" s="316"/>
      <c r="F39" s="336"/>
      <c r="G39" s="362"/>
      <c r="H39" s="11"/>
      <c r="I39" s="772"/>
      <c r="J39" s="772"/>
      <c r="K39" s="774"/>
      <c r="L39" s="621"/>
      <c r="M39" s="321"/>
      <c r="N39" s="720"/>
      <c r="O39" s="377" t="str">
        <f t="shared" si="2"/>
        <v/>
      </c>
    </row>
    <row r="40" spans="1:15" ht="12.95" customHeight="1">
      <c r="B40" s="12"/>
      <c r="C40" s="8"/>
      <c r="D40" s="8"/>
      <c r="E40" s="8"/>
      <c r="F40" s="335"/>
      <c r="G40" s="361"/>
      <c r="H40" s="8" t="s">
        <v>92</v>
      </c>
      <c r="I40" s="738" t="s">
        <v>777</v>
      </c>
      <c r="J40" s="738" t="s">
        <v>777</v>
      </c>
      <c r="K40" s="741">
        <v>9</v>
      </c>
      <c r="L40" s="584">
        <v>9</v>
      </c>
      <c r="M40" s="325"/>
      <c r="N40" s="722">
        <v>9</v>
      </c>
      <c r="O40" s="377"/>
    </row>
    <row r="41" spans="1:15" ht="12.95" customHeight="1">
      <c r="B41" s="12"/>
      <c r="C41" s="8"/>
      <c r="D41" s="8"/>
      <c r="E41" s="8"/>
      <c r="F41" s="335"/>
      <c r="G41" s="361"/>
      <c r="H41" s="8" t="s">
        <v>110</v>
      </c>
      <c r="I41" s="15">
        <f t="shared" ref="I41:N41" si="14">I8+I13+I16+I29+I33+I36</f>
        <v>3321030</v>
      </c>
      <c r="J41" s="15">
        <f t="shared" si="14"/>
        <v>3321030</v>
      </c>
      <c r="K41" s="575">
        <f t="shared" si="14"/>
        <v>1460623</v>
      </c>
      <c r="L41" s="582">
        <f t="shared" si="14"/>
        <v>1699710</v>
      </c>
      <c r="M41" s="318">
        <f t="shared" si="14"/>
        <v>704830</v>
      </c>
      <c r="N41" s="721">
        <f t="shared" si="14"/>
        <v>2404540</v>
      </c>
      <c r="O41" s="376">
        <f>IF(J41=0,"",N41/J41*100)</f>
        <v>72.403441101104164</v>
      </c>
    </row>
    <row r="42" spans="1:15" ht="12.95" customHeight="1">
      <c r="B42" s="12"/>
      <c r="C42" s="8"/>
      <c r="D42" s="8"/>
      <c r="E42" s="8"/>
      <c r="F42" s="335"/>
      <c r="G42" s="361"/>
      <c r="H42" s="8" t="s">
        <v>93</v>
      </c>
      <c r="I42" s="15">
        <f>I41</f>
        <v>3321030</v>
      </c>
      <c r="J42" s="15">
        <f>J41</f>
        <v>3321030</v>
      </c>
      <c r="K42" s="575">
        <f t="shared" ref="K42" si="15">K41</f>
        <v>1460623</v>
      </c>
      <c r="L42" s="582">
        <f t="shared" ref="L42:N43" si="16">L41</f>
        <v>1699710</v>
      </c>
      <c r="M42" s="318">
        <f t="shared" si="16"/>
        <v>704830</v>
      </c>
      <c r="N42" s="721">
        <f t="shared" si="16"/>
        <v>2404540</v>
      </c>
      <c r="O42" s="376">
        <f t="shared" ref="O42:O43" si="17">IF(J42=0,"",N42/J42*100)</f>
        <v>72.403441101104164</v>
      </c>
    </row>
    <row r="43" spans="1:15" s="1" customFormat="1" ht="12.95" customHeight="1">
      <c r="A43" s="311"/>
      <c r="B43" s="12"/>
      <c r="C43" s="8"/>
      <c r="D43" s="8"/>
      <c r="E43" s="8"/>
      <c r="F43" s="335"/>
      <c r="G43" s="361"/>
      <c r="H43" s="8" t="s">
        <v>94</v>
      </c>
      <c r="I43" s="15">
        <f>I42</f>
        <v>3321030</v>
      </c>
      <c r="J43" s="15">
        <f>J42</f>
        <v>3321030</v>
      </c>
      <c r="K43" s="575">
        <f t="shared" ref="K43" si="18">K42</f>
        <v>1460623</v>
      </c>
      <c r="L43" s="582">
        <f t="shared" si="16"/>
        <v>1699710</v>
      </c>
      <c r="M43" s="318">
        <f t="shared" si="16"/>
        <v>704830</v>
      </c>
      <c r="N43" s="721">
        <f t="shared" si="16"/>
        <v>2404540</v>
      </c>
      <c r="O43" s="376">
        <f t="shared" si="17"/>
        <v>72.403441101104164</v>
      </c>
    </row>
    <row r="44" spans="1:15" s="1" customFormat="1" ht="12.95" customHeight="1" thickBot="1">
      <c r="A44" s="311"/>
      <c r="B44" s="16"/>
      <c r="C44" s="17"/>
      <c r="D44" s="17"/>
      <c r="E44" s="17"/>
      <c r="F44" s="337"/>
      <c r="G44" s="363"/>
      <c r="H44" s="17"/>
      <c r="I44" s="32"/>
      <c r="J44" s="32"/>
      <c r="K44" s="576"/>
      <c r="L44" s="585"/>
      <c r="M44" s="32"/>
      <c r="N44" s="723"/>
      <c r="O44" s="379"/>
    </row>
    <row r="45" spans="1:15" s="1" customFormat="1" ht="12.95" customHeight="1">
      <c r="A45" s="311"/>
      <c r="B45" s="9"/>
      <c r="C45" s="9"/>
      <c r="D45" s="9"/>
      <c r="E45" s="314"/>
      <c r="F45" s="338"/>
      <c r="G45" s="364"/>
      <c r="H45" s="55"/>
      <c r="I45" s="63"/>
      <c r="J45" s="63"/>
      <c r="K45" s="63"/>
      <c r="L45" s="63"/>
      <c r="M45" s="832"/>
      <c r="N45" s="425"/>
      <c r="O45" s="380"/>
    </row>
    <row r="46" spans="1:15" s="1" customFormat="1" ht="12.95" customHeight="1">
      <c r="A46" s="311"/>
      <c r="B46" s="55"/>
      <c r="C46" s="9"/>
      <c r="D46" s="9"/>
      <c r="E46" s="314"/>
      <c r="F46" s="338"/>
      <c r="G46" s="364"/>
      <c r="H46" s="9"/>
      <c r="I46" s="63"/>
      <c r="J46" s="63"/>
      <c r="K46" s="63"/>
      <c r="L46" s="63"/>
      <c r="M46" s="63"/>
      <c r="N46" s="425"/>
      <c r="O46" s="840"/>
    </row>
    <row r="47" spans="1:15" ht="12.95" customHeight="1">
      <c r="B47" s="55"/>
      <c r="F47" s="338"/>
      <c r="G47" s="364"/>
      <c r="N47" s="425"/>
    </row>
    <row r="48" spans="1:15" ht="12.95" customHeight="1">
      <c r="B48" s="55"/>
      <c r="F48" s="338"/>
      <c r="G48" s="364"/>
      <c r="N48" s="425"/>
    </row>
    <row r="49" spans="2:14" ht="12.95" customHeight="1">
      <c r="B49" s="55"/>
      <c r="F49" s="338"/>
      <c r="G49" s="364"/>
      <c r="N49" s="425"/>
    </row>
    <row r="50" spans="2:14" ht="12.95" customHeight="1">
      <c r="F50" s="338"/>
      <c r="G50" s="364"/>
      <c r="N50" s="425"/>
    </row>
    <row r="51" spans="2:14" ht="12.95" customHeight="1">
      <c r="F51" s="338"/>
      <c r="G51" s="364"/>
      <c r="N51" s="425"/>
    </row>
    <row r="52" spans="2:14" ht="12.95" customHeight="1">
      <c r="F52" s="338"/>
      <c r="G52" s="364"/>
      <c r="N52" s="425"/>
    </row>
    <row r="53" spans="2:14" ht="12.95" customHeight="1">
      <c r="F53" s="338"/>
      <c r="G53" s="364"/>
      <c r="N53" s="425"/>
    </row>
    <row r="54" spans="2:14" ht="12.95" customHeight="1">
      <c r="F54" s="338"/>
      <c r="G54" s="364"/>
      <c r="N54" s="425"/>
    </row>
    <row r="55" spans="2:14" ht="12.95" customHeight="1">
      <c r="F55" s="338"/>
      <c r="G55" s="364"/>
      <c r="N55" s="425"/>
    </row>
    <row r="56" spans="2:14" ht="12.95" customHeight="1">
      <c r="F56" s="338"/>
      <c r="G56" s="364"/>
      <c r="N56" s="425"/>
    </row>
    <row r="57" spans="2:14" ht="12.95" customHeight="1">
      <c r="F57" s="338"/>
      <c r="G57" s="364"/>
      <c r="N57" s="425"/>
    </row>
    <row r="58" spans="2:14" ht="12.95" customHeight="1">
      <c r="F58" s="338"/>
      <c r="G58" s="364"/>
      <c r="N58" s="425"/>
    </row>
    <row r="59" spans="2:14" ht="12.95" customHeight="1">
      <c r="F59" s="338"/>
      <c r="G59" s="364"/>
      <c r="N59" s="425"/>
    </row>
    <row r="60" spans="2:14" ht="12.95" customHeight="1">
      <c r="F60" s="338"/>
      <c r="G60" s="364"/>
      <c r="N60" s="425"/>
    </row>
    <row r="61" spans="2:14" ht="12.95" customHeight="1">
      <c r="F61" s="338"/>
      <c r="G61" s="364"/>
      <c r="N61" s="425"/>
    </row>
    <row r="62" spans="2:14" ht="12.95" customHeight="1">
      <c r="F62" s="338"/>
      <c r="G62" s="364"/>
      <c r="N62" s="425"/>
    </row>
    <row r="63" spans="2:14" ht="12.95" customHeight="1">
      <c r="F63" s="338"/>
      <c r="G63" s="364"/>
      <c r="N63" s="425"/>
    </row>
    <row r="64" spans="2:14" ht="17.100000000000001" customHeight="1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64"/>
      <c r="N76" s="425"/>
    </row>
    <row r="77" spans="6:14" ht="14.25">
      <c r="F77" s="338"/>
      <c r="G77" s="364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 ht="14.25">
      <c r="F93" s="338"/>
      <c r="G93" s="338"/>
      <c r="N93" s="425"/>
    </row>
    <row r="94" spans="6:14" ht="14.25">
      <c r="F94" s="338"/>
      <c r="G94" s="338"/>
      <c r="N94" s="425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S100"/>
  <sheetViews>
    <sheetView zoomScaleNormal="100" workbookViewId="0">
      <selection activeCell="P10" sqref="P10:S17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11" style="9" bestFit="1" customWidth="1"/>
    <col min="17" max="16384" width="9.140625" style="9"/>
  </cols>
  <sheetData>
    <row r="1" spans="1:19" ht="13.5" thickBot="1"/>
    <row r="2" spans="1:19" s="113" customFormat="1" ht="20.100000000000001" customHeight="1" thickTop="1" thickBot="1">
      <c r="B2" s="897" t="s">
        <v>747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9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399"/>
      <c r="M3" s="399"/>
      <c r="N3" s="399"/>
      <c r="O3" s="374"/>
      <c r="P3" s="400"/>
    </row>
    <row r="4" spans="1:19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9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9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9" s="2" customFormat="1" ht="12.95" customHeight="1">
      <c r="A7" s="312"/>
      <c r="B7" s="6" t="s">
        <v>127</v>
      </c>
      <c r="C7" s="7" t="s">
        <v>80</v>
      </c>
      <c r="D7" s="7" t="s">
        <v>81</v>
      </c>
      <c r="E7" s="667" t="s">
        <v>823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9" s="2" customFormat="1" ht="12.95" customHeight="1">
      <c r="A8" s="312"/>
      <c r="B8" s="6"/>
      <c r="C8" s="7"/>
      <c r="D8" s="7"/>
      <c r="E8" s="7"/>
      <c r="F8" s="335">
        <v>600000</v>
      </c>
      <c r="G8" s="361"/>
      <c r="H8" s="21" t="s">
        <v>116</v>
      </c>
      <c r="I8" s="780">
        <f t="shared" ref="I8:N8" si="0">I9</f>
        <v>12000</v>
      </c>
      <c r="J8" s="308">
        <f t="shared" si="0"/>
        <v>12000</v>
      </c>
      <c r="K8" s="785">
        <f t="shared" si="0"/>
        <v>3200</v>
      </c>
      <c r="L8" s="627">
        <f t="shared" si="0"/>
        <v>12000</v>
      </c>
      <c r="M8" s="308">
        <f t="shared" si="0"/>
        <v>0</v>
      </c>
      <c r="N8" s="722">
        <f t="shared" si="0"/>
        <v>12000</v>
      </c>
      <c r="O8" s="376">
        <f>IF(J8=0,"",N8/J8*100)</f>
        <v>100</v>
      </c>
    </row>
    <row r="9" spans="1:19" s="2" customFormat="1" ht="12.95" customHeight="1">
      <c r="A9" s="312"/>
      <c r="B9" s="6"/>
      <c r="C9" s="7"/>
      <c r="D9" s="7"/>
      <c r="E9" s="7"/>
      <c r="F9" s="336">
        <v>600000</v>
      </c>
      <c r="G9" s="362"/>
      <c r="H9" s="40" t="s">
        <v>106</v>
      </c>
      <c r="I9" s="735">
        <v>12000</v>
      </c>
      <c r="J9" s="310">
        <v>12000</v>
      </c>
      <c r="K9" s="736">
        <v>3200</v>
      </c>
      <c r="L9" s="583">
        <v>12000</v>
      </c>
      <c r="M9" s="310">
        <v>0</v>
      </c>
      <c r="N9" s="720">
        <f>SUM(L9:M9)</f>
        <v>12000</v>
      </c>
      <c r="O9" s="377">
        <f>IF(J9=0,"",N9/J9*100)</f>
        <v>100</v>
      </c>
    </row>
    <row r="10" spans="1:19" s="2" customFormat="1" ht="12.95" customHeight="1">
      <c r="A10" s="312"/>
      <c r="B10" s="6"/>
      <c r="C10" s="7"/>
      <c r="D10" s="7"/>
      <c r="E10" s="7"/>
      <c r="F10" s="335"/>
      <c r="G10" s="361"/>
      <c r="H10" s="5"/>
      <c r="I10" s="735"/>
      <c r="J10" s="310"/>
      <c r="K10" s="736"/>
      <c r="L10" s="583"/>
      <c r="M10" s="310"/>
      <c r="N10" s="720"/>
      <c r="O10" s="377" t="str">
        <f t="shared" ref="O10:O33" si="1">IF(J10=0,"",N10/J10*100)</f>
        <v/>
      </c>
    </row>
    <row r="11" spans="1:19" s="1" customFormat="1" ht="12.95" customHeight="1">
      <c r="A11" s="311"/>
      <c r="B11" s="12"/>
      <c r="C11" s="8"/>
      <c r="D11" s="8"/>
      <c r="E11" s="8"/>
      <c r="F11" s="335">
        <v>611000</v>
      </c>
      <c r="G11" s="361"/>
      <c r="H11" s="8" t="s">
        <v>146</v>
      </c>
      <c r="I11" s="733">
        <f t="shared" ref="I11:N11" si="2">SUM(I12:I14)</f>
        <v>375590</v>
      </c>
      <c r="J11" s="236">
        <f t="shared" si="2"/>
        <v>375590</v>
      </c>
      <c r="K11" s="739">
        <f t="shared" si="2"/>
        <v>273299</v>
      </c>
      <c r="L11" s="578">
        <f t="shared" si="2"/>
        <v>374980</v>
      </c>
      <c r="M11" s="236">
        <f t="shared" si="2"/>
        <v>0</v>
      </c>
      <c r="N11" s="718">
        <f t="shared" si="2"/>
        <v>374980</v>
      </c>
      <c r="O11" s="376">
        <f t="shared" si="1"/>
        <v>99.837588860193293</v>
      </c>
    </row>
    <row r="12" spans="1:19" ht="12.95" customHeight="1">
      <c r="B12" s="10"/>
      <c r="C12" s="11"/>
      <c r="D12" s="11"/>
      <c r="E12" s="316"/>
      <c r="F12" s="336">
        <v>611100</v>
      </c>
      <c r="G12" s="362"/>
      <c r="H12" s="20" t="s">
        <v>174</v>
      </c>
      <c r="I12" s="779">
        <v>313700</v>
      </c>
      <c r="J12" s="238">
        <v>313700</v>
      </c>
      <c r="K12" s="737">
        <v>226046</v>
      </c>
      <c r="L12" s="626">
        <f>309420+800+170+90</f>
        <v>310480</v>
      </c>
      <c r="M12" s="238">
        <v>0</v>
      </c>
      <c r="N12" s="720">
        <f t="shared" ref="N12:N14" si="3">SUM(L12:M12)</f>
        <v>310480</v>
      </c>
      <c r="O12" s="377">
        <f t="shared" si="1"/>
        <v>98.973541600255018</v>
      </c>
      <c r="R12" s="63"/>
    </row>
    <row r="13" spans="1:19" ht="12.95" customHeight="1">
      <c r="B13" s="10"/>
      <c r="C13" s="11"/>
      <c r="D13" s="11"/>
      <c r="E13" s="316"/>
      <c r="F13" s="336">
        <v>611200</v>
      </c>
      <c r="G13" s="362"/>
      <c r="H13" s="11" t="s">
        <v>175</v>
      </c>
      <c r="I13" s="734">
        <v>61890</v>
      </c>
      <c r="J13" s="235">
        <v>61890</v>
      </c>
      <c r="K13" s="736">
        <v>47253</v>
      </c>
      <c r="L13" s="579">
        <f>63000+1500</f>
        <v>64500</v>
      </c>
      <c r="M13" s="235">
        <v>0</v>
      </c>
      <c r="N13" s="720">
        <f t="shared" si="3"/>
        <v>64500</v>
      </c>
      <c r="O13" s="377">
        <f t="shared" si="1"/>
        <v>104.21715947649055</v>
      </c>
      <c r="R13" s="63"/>
      <c r="S13" s="640"/>
    </row>
    <row r="14" spans="1:19" ht="12.95" customHeight="1">
      <c r="B14" s="10"/>
      <c r="C14" s="11"/>
      <c r="D14" s="11"/>
      <c r="E14" s="316"/>
      <c r="F14" s="336">
        <v>611200</v>
      </c>
      <c r="G14" s="362"/>
      <c r="H14" s="210" t="s">
        <v>464</v>
      </c>
      <c r="I14" s="734">
        <v>0</v>
      </c>
      <c r="J14" s="235">
        <v>0</v>
      </c>
      <c r="K14" s="736">
        <v>0</v>
      </c>
      <c r="L14" s="579">
        <v>0</v>
      </c>
      <c r="M14" s="235">
        <v>0</v>
      </c>
      <c r="N14" s="720">
        <f t="shared" si="3"/>
        <v>0</v>
      </c>
      <c r="O14" s="377" t="str">
        <f t="shared" si="1"/>
        <v/>
      </c>
      <c r="Q14" s="62"/>
    </row>
    <row r="15" spans="1:19" ht="12.95" customHeight="1">
      <c r="B15" s="10"/>
      <c r="C15" s="11"/>
      <c r="D15" s="11"/>
      <c r="E15" s="316"/>
      <c r="F15" s="336"/>
      <c r="G15" s="362"/>
      <c r="H15" s="20"/>
      <c r="I15" s="734"/>
      <c r="J15" s="235"/>
      <c r="K15" s="736"/>
      <c r="L15" s="579"/>
      <c r="M15" s="235"/>
      <c r="N15" s="719"/>
      <c r="O15" s="377" t="str">
        <f t="shared" si="1"/>
        <v/>
      </c>
    </row>
    <row r="16" spans="1:19" s="1" customFormat="1" ht="12.95" customHeight="1">
      <c r="A16" s="311"/>
      <c r="B16" s="12"/>
      <c r="C16" s="8"/>
      <c r="D16" s="8"/>
      <c r="E16" s="8"/>
      <c r="F16" s="335">
        <v>612000</v>
      </c>
      <c r="G16" s="361"/>
      <c r="H16" s="8" t="s">
        <v>145</v>
      </c>
      <c r="I16" s="733">
        <f t="shared" ref="I16:N16" si="4">I17+I18</f>
        <v>33930</v>
      </c>
      <c r="J16" s="236">
        <f t="shared" si="4"/>
        <v>33930</v>
      </c>
      <c r="K16" s="739">
        <f t="shared" si="4"/>
        <v>23931</v>
      </c>
      <c r="L16" s="578">
        <f t="shared" si="4"/>
        <v>32970</v>
      </c>
      <c r="M16" s="236">
        <f t="shared" si="4"/>
        <v>0</v>
      </c>
      <c r="N16" s="718">
        <f t="shared" si="4"/>
        <v>32970</v>
      </c>
      <c r="O16" s="376">
        <f t="shared" si="1"/>
        <v>97.170645446507521</v>
      </c>
    </row>
    <row r="17" spans="1:18" ht="12.95" customHeight="1">
      <c r="B17" s="10"/>
      <c r="C17" s="11"/>
      <c r="D17" s="11"/>
      <c r="E17" s="316"/>
      <c r="F17" s="336">
        <v>612100</v>
      </c>
      <c r="G17" s="362"/>
      <c r="H17" s="13" t="s">
        <v>82</v>
      </c>
      <c r="I17" s="734">
        <v>33930</v>
      </c>
      <c r="J17" s="235">
        <v>33930</v>
      </c>
      <c r="K17" s="736">
        <v>23931</v>
      </c>
      <c r="L17" s="579">
        <f>32740+200+20+10</f>
        <v>32970</v>
      </c>
      <c r="M17" s="235">
        <v>0</v>
      </c>
      <c r="N17" s="720">
        <f>SUM(L17:M17)</f>
        <v>32970</v>
      </c>
      <c r="O17" s="377">
        <f t="shared" si="1"/>
        <v>97.170645446507521</v>
      </c>
    </row>
    <row r="18" spans="1:18" ht="12.95" customHeight="1">
      <c r="B18" s="10"/>
      <c r="C18" s="11"/>
      <c r="D18" s="11"/>
      <c r="E18" s="316"/>
      <c r="F18" s="336"/>
      <c r="G18" s="362"/>
      <c r="H18" s="11"/>
      <c r="I18" s="586"/>
      <c r="J18" s="309"/>
      <c r="K18" s="786"/>
      <c r="L18" s="583"/>
      <c r="M18" s="309"/>
      <c r="N18" s="720"/>
      <c r="O18" s="377" t="str">
        <f t="shared" si="1"/>
        <v/>
      </c>
    </row>
    <row r="19" spans="1:18" s="1" customFormat="1" ht="12.95" customHeight="1">
      <c r="A19" s="311"/>
      <c r="B19" s="12"/>
      <c r="C19" s="8"/>
      <c r="D19" s="8"/>
      <c r="E19" s="8"/>
      <c r="F19" s="335">
        <v>613000</v>
      </c>
      <c r="G19" s="361"/>
      <c r="H19" s="8" t="s">
        <v>147</v>
      </c>
      <c r="I19" s="773">
        <f t="shared" ref="I19:N19" si="5">SUM(I20:I30)</f>
        <v>104500</v>
      </c>
      <c r="J19" s="323">
        <f t="shared" si="5"/>
        <v>104500</v>
      </c>
      <c r="K19" s="778">
        <f t="shared" si="5"/>
        <v>67648</v>
      </c>
      <c r="L19" s="588">
        <f t="shared" si="5"/>
        <v>102000</v>
      </c>
      <c r="M19" s="323">
        <f t="shared" si="5"/>
        <v>0</v>
      </c>
      <c r="N19" s="721">
        <f t="shared" si="5"/>
        <v>102000</v>
      </c>
      <c r="O19" s="376">
        <f t="shared" si="1"/>
        <v>97.607655502392348</v>
      </c>
    </row>
    <row r="20" spans="1:18" ht="12.95" customHeight="1">
      <c r="B20" s="10"/>
      <c r="C20" s="11"/>
      <c r="D20" s="11"/>
      <c r="E20" s="316"/>
      <c r="F20" s="336">
        <v>613100</v>
      </c>
      <c r="G20" s="362"/>
      <c r="H20" s="11" t="s">
        <v>83</v>
      </c>
      <c r="I20" s="586">
        <v>4000</v>
      </c>
      <c r="J20" s="309">
        <v>4000</v>
      </c>
      <c r="K20" s="786">
        <v>688</v>
      </c>
      <c r="L20" s="583">
        <v>1500</v>
      </c>
      <c r="M20" s="309">
        <v>0</v>
      </c>
      <c r="N20" s="720">
        <f t="shared" ref="N20:N30" si="6">SUM(L20:M20)</f>
        <v>1500</v>
      </c>
      <c r="O20" s="377">
        <f t="shared" si="1"/>
        <v>37.5</v>
      </c>
    </row>
    <row r="21" spans="1:18" ht="12.95" customHeight="1">
      <c r="B21" s="10"/>
      <c r="C21" s="11"/>
      <c r="D21" s="11"/>
      <c r="E21" s="316"/>
      <c r="F21" s="336">
        <v>613200</v>
      </c>
      <c r="G21" s="362"/>
      <c r="H21" s="11" t="s">
        <v>84</v>
      </c>
      <c r="I21" s="586">
        <v>0</v>
      </c>
      <c r="J21" s="309">
        <v>0</v>
      </c>
      <c r="K21" s="786">
        <v>0</v>
      </c>
      <c r="L21" s="583">
        <v>0</v>
      </c>
      <c r="M21" s="309">
        <v>0</v>
      </c>
      <c r="N21" s="720">
        <f t="shared" si="6"/>
        <v>0</v>
      </c>
      <c r="O21" s="377" t="str">
        <f t="shared" si="1"/>
        <v/>
      </c>
    </row>
    <row r="22" spans="1:18" ht="12.95" customHeight="1">
      <c r="B22" s="10"/>
      <c r="C22" s="11"/>
      <c r="D22" s="11"/>
      <c r="E22" s="316"/>
      <c r="F22" s="336">
        <v>613300</v>
      </c>
      <c r="G22" s="362"/>
      <c r="H22" s="20" t="s">
        <v>176</v>
      </c>
      <c r="I22" s="586">
        <v>7600</v>
      </c>
      <c r="J22" s="309">
        <v>7600</v>
      </c>
      <c r="K22" s="786">
        <v>5548</v>
      </c>
      <c r="L22" s="583">
        <v>7600</v>
      </c>
      <c r="M22" s="309">
        <v>0</v>
      </c>
      <c r="N22" s="720">
        <f t="shared" si="6"/>
        <v>7600</v>
      </c>
      <c r="O22" s="377">
        <f t="shared" si="1"/>
        <v>100</v>
      </c>
    </row>
    <row r="23" spans="1:18" ht="12.95" customHeight="1">
      <c r="B23" s="10"/>
      <c r="C23" s="11"/>
      <c r="D23" s="11"/>
      <c r="E23" s="316"/>
      <c r="F23" s="336">
        <v>613400</v>
      </c>
      <c r="G23" s="362"/>
      <c r="H23" s="11" t="s">
        <v>148</v>
      </c>
      <c r="I23" s="586">
        <v>3000</v>
      </c>
      <c r="J23" s="309">
        <v>3000</v>
      </c>
      <c r="K23" s="786">
        <v>1447</v>
      </c>
      <c r="L23" s="583">
        <v>3000</v>
      </c>
      <c r="M23" s="309">
        <v>0</v>
      </c>
      <c r="N23" s="720">
        <f t="shared" si="6"/>
        <v>3000</v>
      </c>
      <c r="O23" s="377">
        <f t="shared" si="1"/>
        <v>100</v>
      </c>
    </row>
    <row r="24" spans="1:18" ht="12.95" customHeight="1">
      <c r="B24" s="10"/>
      <c r="C24" s="11"/>
      <c r="D24" s="11"/>
      <c r="E24" s="316"/>
      <c r="F24" s="336">
        <v>613500</v>
      </c>
      <c r="G24" s="362"/>
      <c r="H24" s="11" t="s">
        <v>85</v>
      </c>
      <c r="I24" s="735">
        <v>0</v>
      </c>
      <c r="J24" s="310">
        <v>0</v>
      </c>
      <c r="K24" s="736">
        <v>0</v>
      </c>
      <c r="L24" s="583">
        <v>0</v>
      </c>
      <c r="M24" s="310">
        <v>0</v>
      </c>
      <c r="N24" s="720">
        <f t="shared" si="6"/>
        <v>0</v>
      </c>
      <c r="O24" s="377" t="str">
        <f t="shared" si="1"/>
        <v/>
      </c>
    </row>
    <row r="25" spans="1:18" ht="12.95" customHeight="1">
      <c r="B25" s="10"/>
      <c r="C25" s="11"/>
      <c r="D25" s="11"/>
      <c r="E25" s="316"/>
      <c r="F25" s="336">
        <v>613600</v>
      </c>
      <c r="G25" s="362"/>
      <c r="H25" s="20" t="s">
        <v>177</v>
      </c>
      <c r="I25" s="735">
        <v>0</v>
      </c>
      <c r="J25" s="310">
        <v>0</v>
      </c>
      <c r="K25" s="736">
        <v>0</v>
      </c>
      <c r="L25" s="583">
        <v>0</v>
      </c>
      <c r="M25" s="310">
        <v>0</v>
      </c>
      <c r="N25" s="720">
        <f t="shared" si="6"/>
        <v>0</v>
      </c>
      <c r="O25" s="377" t="str">
        <f t="shared" si="1"/>
        <v/>
      </c>
    </row>
    <row r="26" spans="1:18" ht="12.95" customHeight="1">
      <c r="B26" s="10"/>
      <c r="C26" s="11"/>
      <c r="D26" s="11"/>
      <c r="E26" s="316"/>
      <c r="F26" s="336">
        <v>613700</v>
      </c>
      <c r="G26" s="362"/>
      <c r="H26" s="11" t="s">
        <v>86</v>
      </c>
      <c r="I26" s="631">
        <v>1500</v>
      </c>
      <c r="J26" s="326">
        <v>1500</v>
      </c>
      <c r="K26" s="737">
        <v>620</v>
      </c>
      <c r="L26" s="622">
        <v>1500</v>
      </c>
      <c r="M26" s="326">
        <v>0</v>
      </c>
      <c r="N26" s="720">
        <f t="shared" si="6"/>
        <v>1500</v>
      </c>
      <c r="O26" s="377">
        <f t="shared" si="1"/>
        <v>100</v>
      </c>
    </row>
    <row r="27" spans="1:18" ht="12.95" customHeight="1">
      <c r="B27" s="10"/>
      <c r="C27" s="11"/>
      <c r="D27" s="11"/>
      <c r="E27" s="316"/>
      <c r="F27" s="336">
        <v>613800</v>
      </c>
      <c r="G27" s="362"/>
      <c r="H27" s="11" t="s">
        <v>149</v>
      </c>
      <c r="I27" s="735">
        <v>9600</v>
      </c>
      <c r="J27" s="310">
        <v>9600</v>
      </c>
      <c r="K27" s="736">
        <v>6915</v>
      </c>
      <c r="L27" s="583">
        <v>9600</v>
      </c>
      <c r="M27" s="310">
        <v>0</v>
      </c>
      <c r="N27" s="720">
        <f t="shared" si="6"/>
        <v>9600</v>
      </c>
      <c r="O27" s="377">
        <f t="shared" si="1"/>
        <v>100</v>
      </c>
    </row>
    <row r="28" spans="1:18" ht="12.95" customHeight="1">
      <c r="B28" s="10"/>
      <c r="C28" s="11"/>
      <c r="D28" s="11"/>
      <c r="E28" s="316"/>
      <c r="F28" s="336">
        <v>613900</v>
      </c>
      <c r="G28" s="362"/>
      <c r="H28" s="11" t="s">
        <v>150</v>
      </c>
      <c r="I28" s="781">
        <v>13800</v>
      </c>
      <c r="J28" s="307">
        <v>13800</v>
      </c>
      <c r="K28" s="557">
        <v>11802</v>
      </c>
      <c r="L28" s="820">
        <v>13800</v>
      </c>
      <c r="M28" s="307">
        <v>0</v>
      </c>
      <c r="N28" s="720">
        <f t="shared" si="6"/>
        <v>13800</v>
      </c>
      <c r="O28" s="377">
        <f t="shared" si="1"/>
        <v>100</v>
      </c>
    </row>
    <row r="29" spans="1:18" ht="12.95" customHeight="1">
      <c r="B29" s="10"/>
      <c r="C29" s="11"/>
      <c r="D29" s="11"/>
      <c r="E29" s="663"/>
      <c r="F29" s="342">
        <v>613900</v>
      </c>
      <c r="G29" s="368" t="s">
        <v>570</v>
      </c>
      <c r="H29" s="20" t="s">
        <v>468</v>
      </c>
      <c r="I29" s="735">
        <v>65000</v>
      </c>
      <c r="J29" s="310">
        <v>65000</v>
      </c>
      <c r="K29" s="736">
        <v>40628</v>
      </c>
      <c r="L29" s="583">
        <v>65000</v>
      </c>
      <c r="M29" s="310">
        <v>0</v>
      </c>
      <c r="N29" s="720">
        <f t="shared" si="6"/>
        <v>65000</v>
      </c>
      <c r="O29" s="377">
        <f t="shared" si="1"/>
        <v>100</v>
      </c>
      <c r="P29" s="802"/>
      <c r="R29" s="640"/>
    </row>
    <row r="30" spans="1:18" ht="12.95" customHeight="1">
      <c r="B30" s="10"/>
      <c r="C30" s="11"/>
      <c r="D30" s="11"/>
      <c r="E30" s="316"/>
      <c r="F30" s="336">
        <v>613900</v>
      </c>
      <c r="G30" s="362"/>
      <c r="H30" s="210" t="s">
        <v>465</v>
      </c>
      <c r="I30" s="735">
        <v>0</v>
      </c>
      <c r="J30" s="310">
        <v>0</v>
      </c>
      <c r="K30" s="736">
        <v>0</v>
      </c>
      <c r="L30" s="583">
        <v>0</v>
      </c>
      <c r="M30" s="310">
        <v>0</v>
      </c>
      <c r="N30" s="720">
        <f t="shared" si="6"/>
        <v>0</v>
      </c>
      <c r="O30" s="377" t="str">
        <f t="shared" si="1"/>
        <v/>
      </c>
    </row>
    <row r="31" spans="1:18" ht="7.5" customHeight="1">
      <c r="B31" s="10"/>
      <c r="C31" s="11"/>
      <c r="D31" s="11"/>
      <c r="E31" s="663"/>
      <c r="F31" s="342"/>
      <c r="G31" s="368"/>
      <c r="H31" s="11"/>
      <c r="I31" s="735"/>
      <c r="J31" s="310"/>
      <c r="K31" s="736"/>
      <c r="L31" s="583"/>
      <c r="M31" s="310"/>
      <c r="N31" s="720"/>
      <c r="O31" s="377" t="str">
        <f t="shared" si="1"/>
        <v/>
      </c>
    </row>
    <row r="32" spans="1:18" s="1" customFormat="1" ht="12.95" customHeight="1">
      <c r="A32" s="311"/>
      <c r="B32" s="12"/>
      <c r="C32" s="8"/>
      <c r="D32" s="25"/>
      <c r="E32" s="25"/>
      <c r="F32" s="335">
        <v>614000</v>
      </c>
      <c r="G32" s="361"/>
      <c r="H32" s="8" t="s">
        <v>178</v>
      </c>
      <c r="I32" s="632">
        <f t="shared" ref="I32:N32" si="7">SUM(I33:I35)</f>
        <v>480000</v>
      </c>
      <c r="J32" s="325">
        <f t="shared" si="7"/>
        <v>480000</v>
      </c>
      <c r="K32" s="739">
        <f t="shared" si="7"/>
        <v>262163</v>
      </c>
      <c r="L32" s="588">
        <f t="shared" si="7"/>
        <v>489000</v>
      </c>
      <c r="M32" s="325">
        <f t="shared" si="7"/>
        <v>0</v>
      </c>
      <c r="N32" s="721">
        <f t="shared" si="7"/>
        <v>489000</v>
      </c>
      <c r="O32" s="376">
        <f t="shared" si="1"/>
        <v>101.875</v>
      </c>
    </row>
    <row r="33" spans="1:17" ht="12.95" customHeight="1">
      <c r="B33" s="10"/>
      <c r="C33" s="11"/>
      <c r="D33" s="24"/>
      <c r="E33" s="24"/>
      <c r="F33" s="336">
        <v>614100</v>
      </c>
      <c r="G33" s="359" t="s">
        <v>571</v>
      </c>
      <c r="H33" s="41" t="s">
        <v>220</v>
      </c>
      <c r="I33" s="735">
        <v>350000</v>
      </c>
      <c r="J33" s="310">
        <v>350000</v>
      </c>
      <c r="K33" s="736">
        <v>132848</v>
      </c>
      <c r="L33" s="583">
        <v>350000</v>
      </c>
      <c r="M33" s="310">
        <v>0</v>
      </c>
      <c r="N33" s="720">
        <f t="shared" ref="N33:N35" si="8">SUM(L33:M33)</f>
        <v>350000</v>
      </c>
      <c r="O33" s="377">
        <f t="shared" si="1"/>
        <v>100</v>
      </c>
      <c r="P33" s="77"/>
      <c r="Q33" s="55"/>
    </row>
    <row r="34" spans="1:17" ht="12.95" customHeight="1">
      <c r="B34" s="10"/>
      <c r="C34" s="11"/>
      <c r="D34" s="24"/>
      <c r="E34" s="24"/>
      <c r="F34" s="384">
        <v>614800</v>
      </c>
      <c r="G34" s="370" t="s">
        <v>572</v>
      </c>
      <c r="H34" s="41" t="s">
        <v>108</v>
      </c>
      <c r="I34" s="735">
        <v>70000</v>
      </c>
      <c r="J34" s="310">
        <v>88000</v>
      </c>
      <c r="K34" s="736">
        <v>87317</v>
      </c>
      <c r="L34" s="583">
        <f>88000+6000</f>
        <v>94000</v>
      </c>
      <c r="M34" s="310">
        <v>0</v>
      </c>
      <c r="N34" s="720">
        <f t="shared" si="8"/>
        <v>94000</v>
      </c>
      <c r="O34" s="377">
        <f>IF(J34=0,"",N34/J34*100)</f>
        <v>106.81818181818181</v>
      </c>
      <c r="P34" s="55"/>
    </row>
    <row r="35" spans="1:17" ht="24.75" customHeight="1">
      <c r="B35" s="10"/>
      <c r="C35" s="11"/>
      <c r="D35" s="24"/>
      <c r="E35" s="24"/>
      <c r="F35" s="384">
        <v>614800</v>
      </c>
      <c r="G35" s="370" t="s">
        <v>573</v>
      </c>
      <c r="H35" s="283" t="s">
        <v>517</v>
      </c>
      <c r="I35" s="735">
        <v>60000</v>
      </c>
      <c r="J35" s="310">
        <v>42000</v>
      </c>
      <c r="K35" s="736">
        <v>41998</v>
      </c>
      <c r="L35" s="583">
        <f>42000+3000</f>
        <v>45000</v>
      </c>
      <c r="M35" s="310">
        <v>0</v>
      </c>
      <c r="N35" s="720">
        <f t="shared" si="8"/>
        <v>45000</v>
      </c>
      <c r="O35" s="377">
        <f t="shared" ref="O35:O56" si="9">IF(J35=0,"",N35/J35*100)</f>
        <v>107.14285714285714</v>
      </c>
      <c r="P35" s="55"/>
    </row>
    <row r="36" spans="1:17" ht="7.5" customHeight="1">
      <c r="B36" s="10"/>
      <c r="C36" s="11"/>
      <c r="D36" s="24"/>
      <c r="E36" s="664"/>
      <c r="F36" s="385"/>
      <c r="G36" s="371"/>
      <c r="H36" s="41"/>
      <c r="I36" s="735"/>
      <c r="J36" s="310"/>
      <c r="K36" s="736"/>
      <c r="L36" s="583"/>
      <c r="M36" s="310"/>
      <c r="N36" s="720"/>
      <c r="O36" s="377" t="str">
        <f t="shared" si="9"/>
        <v/>
      </c>
    </row>
    <row r="37" spans="1:17" ht="12.95" customHeight="1">
      <c r="B37" s="10"/>
      <c r="C37" s="11"/>
      <c r="D37" s="11"/>
      <c r="E37" s="665"/>
      <c r="F37" s="345">
        <v>616000</v>
      </c>
      <c r="G37" s="372"/>
      <c r="H37" s="26" t="s">
        <v>181</v>
      </c>
      <c r="I37" s="782">
        <f t="shared" ref="I37:N37" si="10">SUM(I38:I41)</f>
        <v>44710</v>
      </c>
      <c r="J37" s="782">
        <f t="shared" si="10"/>
        <v>44710</v>
      </c>
      <c r="K37" s="556">
        <f t="shared" si="10"/>
        <v>36512</v>
      </c>
      <c r="L37" s="628">
        <f t="shared" si="10"/>
        <v>41720</v>
      </c>
      <c r="M37" s="304">
        <f t="shared" si="10"/>
        <v>0</v>
      </c>
      <c r="N37" s="721">
        <f t="shared" si="10"/>
        <v>41720</v>
      </c>
      <c r="O37" s="376">
        <f t="shared" si="9"/>
        <v>93.312458063073137</v>
      </c>
    </row>
    <row r="38" spans="1:17" s="314" customFormat="1" ht="12.95" customHeight="1">
      <c r="B38" s="315"/>
      <c r="C38" s="316"/>
      <c r="D38" s="316"/>
      <c r="E38" s="562"/>
      <c r="F38" s="343">
        <v>616200</v>
      </c>
      <c r="G38" s="359" t="s">
        <v>574</v>
      </c>
      <c r="H38" s="44" t="s">
        <v>892</v>
      </c>
      <c r="I38" s="735">
        <v>19640</v>
      </c>
      <c r="J38" s="310">
        <v>19640</v>
      </c>
      <c r="K38" s="736">
        <v>18802</v>
      </c>
      <c r="L38" s="583">
        <v>18810</v>
      </c>
      <c r="M38" s="310">
        <v>0</v>
      </c>
      <c r="N38" s="720">
        <f t="shared" ref="N38:N39" si="11">SUM(L38:M38)</f>
        <v>18810</v>
      </c>
      <c r="O38" s="377">
        <f t="shared" ref="O38:O39" si="12">IF(J38=0,"",N38/J38*100)</f>
        <v>95.773930753564144</v>
      </c>
    </row>
    <row r="39" spans="1:17" s="314" customFormat="1" ht="12.95" customHeight="1">
      <c r="B39" s="315"/>
      <c r="C39" s="316"/>
      <c r="D39" s="316"/>
      <c r="E39" s="562"/>
      <c r="F39" s="343">
        <v>616200</v>
      </c>
      <c r="G39" s="359" t="s">
        <v>575</v>
      </c>
      <c r="H39" s="44" t="s">
        <v>893</v>
      </c>
      <c r="I39" s="735">
        <v>25070</v>
      </c>
      <c r="J39" s="310">
        <v>25070</v>
      </c>
      <c r="K39" s="736">
        <v>17710</v>
      </c>
      <c r="L39" s="583">
        <f>17710+5200</f>
        <v>22910</v>
      </c>
      <c r="M39" s="310">
        <v>0</v>
      </c>
      <c r="N39" s="720">
        <f t="shared" si="11"/>
        <v>22910</v>
      </c>
      <c r="O39" s="377">
        <f t="shared" si="12"/>
        <v>91.384124451535698</v>
      </c>
    </row>
    <row r="40" spans="1:17" ht="12.95" customHeight="1">
      <c r="B40" s="10"/>
      <c r="C40" s="11"/>
      <c r="D40" s="11"/>
      <c r="E40" s="562"/>
      <c r="F40" s="343">
        <v>616300</v>
      </c>
      <c r="G40" s="359" t="s">
        <v>574</v>
      </c>
      <c r="H40" s="44" t="s">
        <v>186</v>
      </c>
      <c r="I40" s="735">
        <v>0</v>
      </c>
      <c r="J40" s="310">
        <v>0</v>
      </c>
      <c r="K40" s="736">
        <v>0</v>
      </c>
      <c r="L40" s="583">
        <v>0</v>
      </c>
      <c r="M40" s="310">
        <v>0</v>
      </c>
      <c r="N40" s="720">
        <f t="shared" ref="N40:N41" si="13">SUM(L40:M40)</f>
        <v>0</v>
      </c>
      <c r="O40" s="377" t="str">
        <f t="shared" si="9"/>
        <v/>
      </c>
    </row>
    <row r="41" spans="1:17" ht="12.95" customHeight="1">
      <c r="B41" s="10"/>
      <c r="C41" s="11"/>
      <c r="D41" s="11"/>
      <c r="E41" s="562"/>
      <c r="F41" s="343">
        <v>616300</v>
      </c>
      <c r="G41" s="359" t="s">
        <v>575</v>
      </c>
      <c r="H41" s="44" t="s">
        <v>190</v>
      </c>
      <c r="I41" s="735">
        <v>0</v>
      </c>
      <c r="J41" s="310">
        <v>0</v>
      </c>
      <c r="K41" s="736">
        <v>0</v>
      </c>
      <c r="L41" s="583">
        <v>0</v>
      </c>
      <c r="M41" s="310">
        <v>0</v>
      </c>
      <c r="N41" s="720">
        <f t="shared" si="13"/>
        <v>0</v>
      </c>
      <c r="O41" s="377" t="str">
        <f t="shared" si="9"/>
        <v/>
      </c>
    </row>
    <row r="42" spans="1:17" ht="8.25" customHeight="1">
      <c r="B42" s="10"/>
      <c r="C42" s="11"/>
      <c r="D42" s="11"/>
      <c r="E42" s="316"/>
      <c r="F42" s="336"/>
      <c r="G42" s="362"/>
      <c r="H42" s="11"/>
      <c r="I42" s="632"/>
      <c r="J42" s="325"/>
      <c r="K42" s="739"/>
      <c r="L42" s="588"/>
      <c r="M42" s="325"/>
      <c r="N42" s="721"/>
      <c r="O42" s="377" t="str">
        <f t="shared" si="9"/>
        <v/>
      </c>
    </row>
    <row r="43" spans="1:17" ht="12.95" customHeight="1">
      <c r="B43" s="12"/>
      <c r="C43" s="8"/>
      <c r="D43" s="8"/>
      <c r="E43" s="8"/>
      <c r="F43" s="335">
        <v>821000</v>
      </c>
      <c r="G43" s="361"/>
      <c r="H43" s="8" t="s">
        <v>89</v>
      </c>
      <c r="I43" s="632">
        <f t="shared" ref="I43:N43" si="14">SUM(I44:I45)</f>
        <v>2000</v>
      </c>
      <c r="J43" s="325">
        <f t="shared" si="14"/>
        <v>2000</v>
      </c>
      <c r="K43" s="739">
        <f t="shared" si="14"/>
        <v>0</v>
      </c>
      <c r="L43" s="588">
        <f t="shared" si="14"/>
        <v>1000</v>
      </c>
      <c r="M43" s="325">
        <f t="shared" si="14"/>
        <v>0</v>
      </c>
      <c r="N43" s="721">
        <f t="shared" si="14"/>
        <v>1000</v>
      </c>
      <c r="O43" s="376">
        <f t="shared" si="9"/>
        <v>50</v>
      </c>
    </row>
    <row r="44" spans="1:17" ht="12.95" customHeight="1">
      <c r="B44" s="10"/>
      <c r="C44" s="11"/>
      <c r="D44" s="11"/>
      <c r="E44" s="316"/>
      <c r="F44" s="336">
        <v>821200</v>
      </c>
      <c r="G44" s="362"/>
      <c r="H44" s="11" t="s">
        <v>90</v>
      </c>
      <c r="I44" s="631">
        <v>0</v>
      </c>
      <c r="J44" s="326">
        <v>0</v>
      </c>
      <c r="K44" s="737">
        <v>0</v>
      </c>
      <c r="L44" s="622">
        <v>0</v>
      </c>
      <c r="M44" s="326">
        <v>0</v>
      </c>
      <c r="N44" s="720">
        <f t="shared" ref="N44:N45" si="15">SUM(L44:M44)</f>
        <v>0</v>
      </c>
      <c r="O44" s="377" t="str">
        <f t="shared" si="9"/>
        <v/>
      </c>
    </row>
    <row r="45" spans="1:17" s="1" customFormat="1" ht="12.95" customHeight="1">
      <c r="A45" s="311"/>
      <c r="B45" s="10"/>
      <c r="C45" s="11"/>
      <c r="D45" s="11"/>
      <c r="E45" s="316"/>
      <c r="F45" s="336">
        <v>821300</v>
      </c>
      <c r="G45" s="362"/>
      <c r="H45" s="11" t="s">
        <v>91</v>
      </c>
      <c r="I45" s="631">
        <v>2000</v>
      </c>
      <c r="J45" s="326">
        <v>2000</v>
      </c>
      <c r="K45" s="737">
        <v>0</v>
      </c>
      <c r="L45" s="622">
        <v>1000</v>
      </c>
      <c r="M45" s="326">
        <v>0</v>
      </c>
      <c r="N45" s="720">
        <f t="shared" si="15"/>
        <v>1000</v>
      </c>
      <c r="O45" s="377">
        <f t="shared" si="9"/>
        <v>50</v>
      </c>
    </row>
    <row r="46" spans="1:17" ht="9" customHeight="1">
      <c r="B46" s="10"/>
      <c r="C46" s="11"/>
      <c r="D46" s="11"/>
      <c r="E46" s="316"/>
      <c r="F46" s="336"/>
      <c r="G46" s="362"/>
      <c r="H46" s="11"/>
      <c r="I46" s="735"/>
      <c r="J46" s="310"/>
      <c r="K46" s="736"/>
      <c r="L46" s="583"/>
      <c r="M46" s="310"/>
      <c r="N46" s="720"/>
      <c r="O46" s="377" t="str">
        <f t="shared" si="9"/>
        <v/>
      </c>
    </row>
    <row r="47" spans="1:17" ht="12.95" customHeight="1">
      <c r="B47" s="12"/>
      <c r="C47" s="8"/>
      <c r="D47" s="8"/>
      <c r="E47" s="8"/>
      <c r="F47" s="335">
        <v>823000</v>
      </c>
      <c r="G47" s="361"/>
      <c r="H47" s="8" t="s">
        <v>187</v>
      </c>
      <c r="I47" s="632">
        <f>SUM(I48:I51)</f>
        <v>518280</v>
      </c>
      <c r="J47" s="325">
        <f t="shared" ref="J47:N47" si="16">SUM(J48:J51)</f>
        <v>518280</v>
      </c>
      <c r="K47" s="739">
        <f t="shared" si="16"/>
        <v>514992</v>
      </c>
      <c r="L47" s="588">
        <f t="shared" si="16"/>
        <v>515000</v>
      </c>
      <c r="M47" s="325">
        <f t="shared" si="16"/>
        <v>0</v>
      </c>
      <c r="N47" s="721">
        <f t="shared" si="16"/>
        <v>515000</v>
      </c>
      <c r="O47" s="376">
        <f t="shared" si="9"/>
        <v>99.367137454657723</v>
      </c>
    </row>
    <row r="48" spans="1:17" s="314" customFormat="1" ht="12.95" customHeight="1">
      <c r="B48" s="315"/>
      <c r="C48" s="316"/>
      <c r="D48" s="316"/>
      <c r="E48" s="316"/>
      <c r="F48" s="336">
        <v>823200</v>
      </c>
      <c r="G48" s="362" t="s">
        <v>574</v>
      </c>
      <c r="H48" s="386" t="s">
        <v>894</v>
      </c>
      <c r="I48" s="631">
        <v>87990</v>
      </c>
      <c r="J48" s="326">
        <v>87990</v>
      </c>
      <c r="K48" s="737">
        <v>84709</v>
      </c>
      <c r="L48" s="622">
        <v>84710</v>
      </c>
      <c r="M48" s="326">
        <v>0</v>
      </c>
      <c r="N48" s="720">
        <f t="shared" ref="N48:N49" si="17">SUM(L48:M48)</f>
        <v>84710</v>
      </c>
      <c r="O48" s="377">
        <f t="shared" ref="O48:O49" si="18">IF(J48=0,"",N48/J48*100)</f>
        <v>96.272303670871693</v>
      </c>
    </row>
    <row r="49" spans="1:15" s="314" customFormat="1" ht="12.95" customHeight="1">
      <c r="B49" s="315"/>
      <c r="C49" s="316"/>
      <c r="D49" s="316"/>
      <c r="E49" s="316"/>
      <c r="F49" s="336">
        <v>823200</v>
      </c>
      <c r="G49" s="362" t="s">
        <v>575</v>
      </c>
      <c r="H49" s="386" t="s">
        <v>895</v>
      </c>
      <c r="I49" s="631">
        <v>430290</v>
      </c>
      <c r="J49" s="326">
        <v>430290</v>
      </c>
      <c r="K49" s="737">
        <v>430283</v>
      </c>
      <c r="L49" s="622">
        <v>430290</v>
      </c>
      <c r="M49" s="326">
        <v>0</v>
      </c>
      <c r="N49" s="720">
        <f t="shared" si="17"/>
        <v>430290</v>
      </c>
      <c r="O49" s="377">
        <f t="shared" si="18"/>
        <v>100</v>
      </c>
    </row>
    <row r="50" spans="1:15" ht="12.95" customHeight="1">
      <c r="B50" s="10"/>
      <c r="C50" s="11"/>
      <c r="D50" s="11"/>
      <c r="E50" s="316"/>
      <c r="F50" s="336">
        <v>823300</v>
      </c>
      <c r="G50" s="362" t="s">
        <v>574</v>
      </c>
      <c r="H50" s="20" t="s">
        <v>520</v>
      </c>
      <c r="I50" s="631">
        <v>0</v>
      </c>
      <c r="J50" s="326">
        <v>0</v>
      </c>
      <c r="K50" s="737">
        <v>0</v>
      </c>
      <c r="L50" s="622">
        <v>0</v>
      </c>
      <c r="M50" s="326">
        <v>0</v>
      </c>
      <c r="N50" s="720">
        <f t="shared" ref="N50:N51" si="19">SUM(L50:M50)</f>
        <v>0</v>
      </c>
      <c r="O50" s="377" t="str">
        <f t="shared" si="9"/>
        <v/>
      </c>
    </row>
    <row r="51" spans="1:15" ht="12.95" customHeight="1">
      <c r="B51" s="10"/>
      <c r="C51" s="11"/>
      <c r="D51" s="11"/>
      <c r="E51" s="316"/>
      <c r="F51" s="336">
        <v>823300</v>
      </c>
      <c r="G51" s="362" t="s">
        <v>575</v>
      </c>
      <c r="H51" s="20" t="s">
        <v>519</v>
      </c>
      <c r="I51" s="631">
        <v>0</v>
      </c>
      <c r="J51" s="326">
        <v>0</v>
      </c>
      <c r="K51" s="737">
        <v>0</v>
      </c>
      <c r="L51" s="622">
        <v>0</v>
      </c>
      <c r="M51" s="326">
        <v>0</v>
      </c>
      <c r="N51" s="720">
        <f t="shared" si="19"/>
        <v>0</v>
      </c>
      <c r="O51" s="377" t="str">
        <f t="shared" si="9"/>
        <v/>
      </c>
    </row>
    <row r="52" spans="1:15" ht="12.95" customHeight="1">
      <c r="B52" s="10"/>
      <c r="C52" s="11"/>
      <c r="D52" s="11"/>
      <c r="E52" s="316"/>
      <c r="F52" s="336"/>
      <c r="G52" s="362"/>
      <c r="H52" s="11"/>
      <c r="I52" s="24"/>
      <c r="J52" s="316"/>
      <c r="K52" s="787"/>
      <c r="L52" s="315"/>
      <c r="M52" s="316"/>
      <c r="N52" s="729"/>
      <c r="O52" s="377" t="str">
        <f t="shared" si="9"/>
        <v/>
      </c>
    </row>
    <row r="53" spans="1:15" ht="12.95" customHeight="1">
      <c r="B53" s="12"/>
      <c r="C53" s="8"/>
      <c r="D53" s="8"/>
      <c r="E53" s="8"/>
      <c r="F53" s="335"/>
      <c r="G53" s="361"/>
      <c r="H53" s="8" t="s">
        <v>92</v>
      </c>
      <c r="I53" s="783" t="s">
        <v>899</v>
      </c>
      <c r="J53" s="651" t="s">
        <v>899</v>
      </c>
      <c r="K53" s="788">
        <v>15</v>
      </c>
      <c r="L53" s="650">
        <v>15</v>
      </c>
      <c r="M53" s="651"/>
      <c r="N53" s="784">
        <v>15</v>
      </c>
      <c r="O53" s="377"/>
    </row>
    <row r="54" spans="1:15" ht="12.95" customHeight="1">
      <c r="B54" s="12"/>
      <c r="C54" s="8"/>
      <c r="D54" s="8"/>
      <c r="E54" s="8"/>
      <c r="F54" s="335"/>
      <c r="G54" s="361"/>
      <c r="H54" s="8" t="s">
        <v>110</v>
      </c>
      <c r="I54" s="575">
        <f t="shared" ref="I54:N54" si="20">I8+I11+I16+I19+I32+I37+I43+I47</f>
        <v>1571010</v>
      </c>
      <c r="J54" s="318">
        <f t="shared" si="20"/>
        <v>1571010</v>
      </c>
      <c r="K54" s="575">
        <f t="shared" si="20"/>
        <v>1181745</v>
      </c>
      <c r="L54" s="582">
        <f t="shared" si="20"/>
        <v>1568670</v>
      </c>
      <c r="M54" s="318">
        <f t="shared" si="20"/>
        <v>0</v>
      </c>
      <c r="N54" s="721">
        <f t="shared" si="20"/>
        <v>1568670</v>
      </c>
      <c r="O54" s="376">
        <f>IF(J54=0,"",N54/J54*100)</f>
        <v>99.85105123455611</v>
      </c>
    </row>
    <row r="55" spans="1:15" s="1" customFormat="1" ht="12.95" customHeight="1">
      <c r="A55" s="311"/>
      <c r="B55" s="12"/>
      <c r="C55" s="8"/>
      <c r="D55" s="8"/>
      <c r="E55" s="8"/>
      <c r="F55" s="335"/>
      <c r="G55" s="361"/>
      <c r="H55" s="8" t="s">
        <v>93</v>
      </c>
      <c r="I55" s="575">
        <f>I54</f>
        <v>1571010</v>
      </c>
      <c r="J55" s="318">
        <f>J54</f>
        <v>1571010</v>
      </c>
      <c r="K55" s="575">
        <f t="shared" ref="K55" si="21">K54</f>
        <v>1181745</v>
      </c>
      <c r="L55" s="582">
        <f t="shared" ref="L55:N56" si="22">L54</f>
        <v>1568670</v>
      </c>
      <c r="M55" s="318">
        <f t="shared" si="22"/>
        <v>0</v>
      </c>
      <c r="N55" s="721">
        <f t="shared" si="22"/>
        <v>1568670</v>
      </c>
      <c r="O55" s="376">
        <f t="shared" si="9"/>
        <v>99.85105123455611</v>
      </c>
    </row>
    <row r="56" spans="1:15" s="1" customFormat="1" ht="12.95" customHeight="1">
      <c r="A56" s="311"/>
      <c r="B56" s="12"/>
      <c r="C56" s="8"/>
      <c r="D56" s="8"/>
      <c r="E56" s="8"/>
      <c r="F56" s="335"/>
      <c r="G56" s="361"/>
      <c r="H56" s="8" t="s">
        <v>94</v>
      </c>
      <c r="I56" s="575">
        <f>I55</f>
        <v>1571010</v>
      </c>
      <c r="J56" s="318">
        <f>J55</f>
        <v>1571010</v>
      </c>
      <c r="K56" s="575">
        <f t="shared" ref="K56" si="23">K55</f>
        <v>1181745</v>
      </c>
      <c r="L56" s="582">
        <f t="shared" si="22"/>
        <v>1568670</v>
      </c>
      <c r="M56" s="318">
        <f t="shared" si="22"/>
        <v>0</v>
      </c>
      <c r="N56" s="721">
        <f t="shared" si="22"/>
        <v>1568670</v>
      </c>
      <c r="O56" s="376">
        <f t="shared" si="9"/>
        <v>99.85105123455611</v>
      </c>
    </row>
    <row r="57" spans="1:15" s="1" customFormat="1" ht="12.95" customHeight="1" thickBot="1">
      <c r="A57" s="311"/>
      <c r="B57" s="16"/>
      <c r="C57" s="17"/>
      <c r="D57" s="17"/>
      <c r="E57" s="17"/>
      <c r="F57" s="337"/>
      <c r="G57" s="363"/>
      <c r="H57" s="17"/>
      <c r="I57" s="17"/>
      <c r="J57" s="17"/>
      <c r="K57" s="27"/>
      <c r="L57" s="16"/>
      <c r="M57" s="17"/>
      <c r="N57" s="730"/>
      <c r="O57" s="379"/>
    </row>
    <row r="58" spans="1:15" s="1" customFormat="1" ht="12.95" customHeight="1">
      <c r="A58" s="311"/>
      <c r="B58" s="9"/>
      <c r="C58" s="9"/>
      <c r="D58" s="9"/>
      <c r="E58" s="314"/>
      <c r="F58" s="338"/>
      <c r="G58" s="364"/>
      <c r="H58" s="9"/>
      <c r="I58" s="9"/>
      <c r="J58" s="9"/>
      <c r="K58" s="9"/>
      <c r="L58" s="314"/>
      <c r="M58" s="314"/>
      <c r="N58" s="423"/>
      <c r="O58" s="380"/>
    </row>
    <row r="59" spans="1:15" ht="12.95" customHeight="1">
      <c r="F59" s="338"/>
      <c r="G59" s="364"/>
      <c r="L59" s="63"/>
      <c r="N59" s="423"/>
      <c r="O59" s="840"/>
    </row>
    <row r="60" spans="1:15" ht="12.95" customHeight="1">
      <c r="F60" s="338"/>
      <c r="G60" s="364"/>
      <c r="N60" s="423"/>
    </row>
    <row r="61" spans="1:15" ht="12.95" customHeight="1">
      <c r="F61" s="338"/>
      <c r="G61" s="364"/>
      <c r="N61" s="423"/>
    </row>
    <row r="62" spans="1:15" ht="12.95" customHeight="1">
      <c r="F62" s="338"/>
      <c r="G62" s="364"/>
      <c r="N62" s="423"/>
    </row>
    <row r="63" spans="1:15" ht="12.95" customHeight="1">
      <c r="F63" s="338"/>
      <c r="G63" s="364"/>
      <c r="N63" s="423"/>
    </row>
    <row r="64" spans="1:15" ht="17.100000000000001" customHeight="1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64"/>
      <c r="N74" s="423"/>
    </row>
    <row r="75" spans="6:14" ht="14.25">
      <c r="F75" s="338"/>
      <c r="G75" s="364"/>
      <c r="N75" s="423"/>
    </row>
    <row r="76" spans="6:14" ht="14.25">
      <c r="F76" s="338"/>
      <c r="G76" s="364"/>
      <c r="N76" s="423"/>
    </row>
    <row r="77" spans="6:14" ht="14.25">
      <c r="F77" s="338"/>
      <c r="G77" s="364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 ht="14.25">
      <c r="F91" s="338"/>
      <c r="G91" s="338"/>
      <c r="N91" s="423"/>
    </row>
    <row r="92" spans="6:14" ht="14.25">
      <c r="F92" s="338"/>
      <c r="G92" s="338"/>
      <c r="N92" s="423"/>
    </row>
    <row r="93" spans="6:14" ht="14.25">
      <c r="F93" s="338"/>
      <c r="G93" s="338"/>
      <c r="N93" s="423"/>
    </row>
    <row r="94" spans="6:14" ht="14.25">
      <c r="F94" s="338"/>
      <c r="G94" s="338"/>
      <c r="N94" s="423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Q95"/>
  <sheetViews>
    <sheetView zoomScaleNormal="100" zoomScaleSheetLayoutView="130" workbookViewId="0">
      <selection activeCell="O43" sqref="O43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748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128</v>
      </c>
      <c r="C7" s="7" t="s">
        <v>80</v>
      </c>
      <c r="D7" s="7" t="s">
        <v>81</v>
      </c>
      <c r="E7" s="667" t="s">
        <v>824</v>
      </c>
      <c r="F7" s="5"/>
      <c r="G7" s="313"/>
      <c r="H7" s="5"/>
      <c r="I7" s="5"/>
      <c r="J7" s="5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254800</v>
      </c>
      <c r="J8" s="236">
        <f t="shared" si="0"/>
        <v>254800</v>
      </c>
      <c r="K8" s="739">
        <f t="shared" si="0"/>
        <v>185061</v>
      </c>
      <c r="L8" s="578">
        <f t="shared" si="0"/>
        <v>255090</v>
      </c>
      <c r="M8" s="236">
        <f t="shared" si="0"/>
        <v>0</v>
      </c>
      <c r="N8" s="718">
        <f t="shared" si="0"/>
        <v>255090</v>
      </c>
      <c r="O8" s="376">
        <f>IF(J8=0,"",N8/J8*100)</f>
        <v>100.1138147566719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216640</v>
      </c>
      <c r="J9" s="235">
        <v>216640</v>
      </c>
      <c r="K9" s="736">
        <v>158982</v>
      </c>
      <c r="L9" s="579">
        <f>218930+400</f>
        <v>219330</v>
      </c>
      <c r="M9" s="235">
        <v>0</v>
      </c>
      <c r="N9" s="719">
        <f>SUM(L9:M9)</f>
        <v>219330</v>
      </c>
      <c r="O9" s="377">
        <f>IF(J9=0,"",N9/J9*100)</f>
        <v>101.24169128508125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4">
        <v>38160</v>
      </c>
      <c r="J10" s="235">
        <v>38160</v>
      </c>
      <c r="K10" s="736">
        <v>26079</v>
      </c>
      <c r="L10" s="579">
        <f>34760+1000</f>
        <v>35760</v>
      </c>
      <c r="M10" s="235">
        <v>0</v>
      </c>
      <c r="N10" s="719">
        <f t="shared" ref="N10:N11" si="1">SUM(L10:M10)</f>
        <v>35760</v>
      </c>
      <c r="O10" s="377">
        <f t="shared" ref="O10:O40" si="2">IF(J10=0,"",N10/J10*100)</f>
        <v>93.710691823899367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4"/>
      <c r="J12" s="235"/>
      <c r="K12" s="736"/>
      <c r="L12" s="579"/>
      <c r="M12" s="235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23690</v>
      </c>
      <c r="J13" s="236">
        <f t="shared" si="3"/>
        <v>23690</v>
      </c>
      <c r="K13" s="739">
        <f t="shared" si="3"/>
        <v>16943</v>
      </c>
      <c r="L13" s="578">
        <f t="shared" si="3"/>
        <v>23480</v>
      </c>
      <c r="M13" s="236">
        <f t="shared" si="3"/>
        <v>0</v>
      </c>
      <c r="N13" s="718">
        <f t="shared" si="3"/>
        <v>23480</v>
      </c>
      <c r="O13" s="376">
        <f t="shared" si="2"/>
        <v>99.113550021105951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23690</v>
      </c>
      <c r="J14" s="235">
        <v>23690</v>
      </c>
      <c r="K14" s="736">
        <v>16943</v>
      </c>
      <c r="L14" s="579">
        <f>23280+200</f>
        <v>23480</v>
      </c>
      <c r="M14" s="235">
        <v>0</v>
      </c>
      <c r="N14" s="719">
        <f>SUM(L14:M14)</f>
        <v>23480</v>
      </c>
      <c r="O14" s="377">
        <f t="shared" si="2"/>
        <v>99.113550021105951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309"/>
      <c r="K15" s="786"/>
      <c r="L15" s="580"/>
      <c r="M15" s="309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59400</v>
      </c>
      <c r="J16" s="323">
        <f t="shared" si="4"/>
        <v>59400</v>
      </c>
      <c r="K16" s="778">
        <f t="shared" si="4"/>
        <v>36908</v>
      </c>
      <c r="L16" s="581">
        <f t="shared" si="4"/>
        <v>57600</v>
      </c>
      <c r="M16" s="323">
        <f t="shared" si="4"/>
        <v>0</v>
      </c>
      <c r="N16" s="721">
        <f t="shared" si="4"/>
        <v>57600</v>
      </c>
      <c r="O16" s="376">
        <f t="shared" si="2"/>
        <v>96.969696969696969</v>
      </c>
      <c r="Q16" s="64"/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86">
        <v>2800</v>
      </c>
      <c r="J17" s="393">
        <v>2800</v>
      </c>
      <c r="K17" s="786">
        <v>490</v>
      </c>
      <c r="L17" s="568">
        <v>1000</v>
      </c>
      <c r="M17" s="393">
        <v>0</v>
      </c>
      <c r="N17" s="719">
        <f t="shared" ref="N17:N26" si="5">SUM(L17:M17)</f>
        <v>1000</v>
      </c>
      <c r="O17" s="377">
        <f t="shared" si="2"/>
        <v>35.714285714285715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86">
        <v>0</v>
      </c>
      <c r="J18" s="393">
        <v>0</v>
      </c>
      <c r="K18" s="786">
        <v>0</v>
      </c>
      <c r="L18" s="568">
        <v>0</v>
      </c>
      <c r="M18" s="393">
        <v>0</v>
      </c>
      <c r="N18" s="719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86">
        <v>16000</v>
      </c>
      <c r="J19" s="393">
        <v>16000</v>
      </c>
      <c r="K19" s="786">
        <v>11479</v>
      </c>
      <c r="L19" s="568">
        <v>16000</v>
      </c>
      <c r="M19" s="393">
        <v>0</v>
      </c>
      <c r="N19" s="719">
        <f t="shared" si="5"/>
        <v>16000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6">
        <v>300</v>
      </c>
      <c r="J20" s="396">
        <v>300</v>
      </c>
      <c r="K20" s="736">
        <v>246</v>
      </c>
      <c r="L20" s="568">
        <v>300</v>
      </c>
      <c r="M20" s="396">
        <v>0</v>
      </c>
      <c r="N20" s="719">
        <f t="shared" si="5"/>
        <v>300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6">
        <v>0</v>
      </c>
      <c r="J21" s="396">
        <v>0</v>
      </c>
      <c r="K21" s="736">
        <v>0</v>
      </c>
      <c r="L21" s="568">
        <v>0</v>
      </c>
      <c r="M21" s="396">
        <v>0</v>
      </c>
      <c r="N21" s="719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6">
        <v>0</v>
      </c>
      <c r="J22" s="396">
        <v>0</v>
      </c>
      <c r="K22" s="736">
        <v>0</v>
      </c>
      <c r="L22" s="568">
        <v>0</v>
      </c>
      <c r="M22" s="396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300</v>
      </c>
      <c r="J23" s="396">
        <v>300</v>
      </c>
      <c r="K23" s="736">
        <v>163</v>
      </c>
      <c r="L23" s="568">
        <v>300</v>
      </c>
      <c r="M23" s="396">
        <v>0</v>
      </c>
      <c r="N23" s="719">
        <f t="shared" si="5"/>
        <v>300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0</v>
      </c>
      <c r="J24" s="396">
        <v>0</v>
      </c>
      <c r="K24" s="736">
        <v>0</v>
      </c>
      <c r="L24" s="568">
        <v>0</v>
      </c>
      <c r="M24" s="396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40000</v>
      </c>
      <c r="J25" s="397">
        <v>40000</v>
      </c>
      <c r="K25" s="737">
        <v>24530</v>
      </c>
      <c r="L25" s="571">
        <v>40000</v>
      </c>
      <c r="M25" s="397">
        <v>0</v>
      </c>
      <c r="N25" s="719">
        <f t="shared" si="5"/>
        <v>40000</v>
      </c>
      <c r="O25" s="377">
        <f t="shared" si="2"/>
        <v>100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6">
        <v>0</v>
      </c>
      <c r="J26" s="396">
        <v>0</v>
      </c>
      <c r="K26" s="736">
        <v>0</v>
      </c>
      <c r="L26" s="568">
        <v>0</v>
      </c>
      <c r="M26" s="396">
        <v>0</v>
      </c>
      <c r="N26" s="719">
        <f t="shared" si="5"/>
        <v>0</v>
      </c>
      <c r="O26" s="377" t="str">
        <f t="shared" si="2"/>
        <v/>
      </c>
    </row>
    <row r="27" spans="1:15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39"/>
      <c r="L27" s="588"/>
      <c r="M27" s="325"/>
      <c r="N27" s="721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J28" si="6">SUM(I29:I31)</f>
        <v>4180000</v>
      </c>
      <c r="J28" s="325">
        <f t="shared" si="6"/>
        <v>4180000</v>
      </c>
      <c r="K28" s="739">
        <f t="shared" ref="K28:L28" si="7">SUM(K29:K31)</f>
        <v>2834839</v>
      </c>
      <c r="L28" s="588">
        <f t="shared" si="7"/>
        <v>4187190</v>
      </c>
      <c r="M28" s="325">
        <f t="shared" ref="M28" si="8">SUM(M29:M31)</f>
        <v>492810</v>
      </c>
      <c r="N28" s="721">
        <f t="shared" ref="N28" si="9">SUM(N29:N31)</f>
        <v>4680000</v>
      </c>
      <c r="O28" s="376">
        <f t="shared" si="2"/>
        <v>111.96172248803829</v>
      </c>
    </row>
    <row r="29" spans="1:15" ht="12.95" customHeight="1">
      <c r="B29" s="10"/>
      <c r="C29" s="11"/>
      <c r="D29" s="24"/>
      <c r="E29" s="24"/>
      <c r="F29" s="336">
        <v>614100</v>
      </c>
      <c r="G29" s="362" t="s">
        <v>576</v>
      </c>
      <c r="H29" s="544" t="s">
        <v>681</v>
      </c>
      <c r="I29" s="631">
        <v>700000</v>
      </c>
      <c r="J29" s="631">
        <v>700000</v>
      </c>
      <c r="K29" s="737">
        <v>636000</v>
      </c>
      <c r="L29" s="622">
        <f>1175000-250000+100000</f>
        <v>1025000</v>
      </c>
      <c r="M29" s="326">
        <v>250000</v>
      </c>
      <c r="N29" s="719">
        <f t="shared" ref="N29:N31" si="10">SUM(L29:M29)</f>
        <v>1275000</v>
      </c>
      <c r="O29" s="377">
        <f t="shared" si="2"/>
        <v>182.14285714285714</v>
      </c>
    </row>
    <row r="30" spans="1:15" s="314" customFormat="1" ht="12.95" customHeight="1">
      <c r="B30" s="315"/>
      <c r="C30" s="316"/>
      <c r="D30" s="316"/>
      <c r="E30" s="316"/>
      <c r="F30" s="336">
        <v>614200</v>
      </c>
      <c r="G30" s="365" t="s">
        <v>687</v>
      </c>
      <c r="H30" s="320" t="s">
        <v>595</v>
      </c>
      <c r="I30" s="631">
        <v>60000</v>
      </c>
      <c r="J30" s="631">
        <v>60000</v>
      </c>
      <c r="K30" s="737">
        <v>40000</v>
      </c>
      <c r="L30" s="622">
        <v>60000</v>
      </c>
      <c r="M30" s="326">
        <v>0</v>
      </c>
      <c r="N30" s="719">
        <f t="shared" si="10"/>
        <v>60000</v>
      </c>
      <c r="O30" s="377"/>
    </row>
    <row r="31" spans="1:15" s="314" customFormat="1" ht="12.95" customHeight="1">
      <c r="B31" s="315"/>
      <c r="C31" s="316"/>
      <c r="D31" s="316"/>
      <c r="E31" s="316"/>
      <c r="F31" s="336">
        <v>614200</v>
      </c>
      <c r="G31" s="365" t="s">
        <v>688</v>
      </c>
      <c r="H31" s="320" t="s">
        <v>596</v>
      </c>
      <c r="I31" s="631">
        <v>3420000</v>
      </c>
      <c r="J31" s="631">
        <v>3420000</v>
      </c>
      <c r="K31" s="737">
        <v>2158839</v>
      </c>
      <c r="L31" s="622">
        <f>3345000-242810</f>
        <v>3102190</v>
      </c>
      <c r="M31" s="326">
        <v>242810</v>
      </c>
      <c r="N31" s="719">
        <f t="shared" si="10"/>
        <v>3345000</v>
      </c>
      <c r="O31" s="377"/>
    </row>
    <row r="32" spans="1:15" ht="12.95" customHeight="1">
      <c r="B32" s="10"/>
      <c r="C32" s="11"/>
      <c r="D32" s="11"/>
      <c r="E32" s="316"/>
      <c r="F32" s="336"/>
      <c r="G32" s="362"/>
      <c r="H32" s="11"/>
      <c r="I32" s="735"/>
      <c r="J32" s="310"/>
      <c r="K32" s="736"/>
      <c r="L32" s="583"/>
      <c r="M32" s="310"/>
      <c r="N32" s="720"/>
      <c r="O32" s="377" t="str">
        <f t="shared" si="2"/>
        <v/>
      </c>
    </row>
    <row r="33" spans="1:16" ht="12.95" customHeight="1">
      <c r="B33" s="12"/>
      <c r="C33" s="8"/>
      <c r="D33" s="8"/>
      <c r="E33" s="8"/>
      <c r="F33" s="335">
        <v>821000</v>
      </c>
      <c r="G33" s="361"/>
      <c r="H33" s="8" t="s">
        <v>89</v>
      </c>
      <c r="I33" s="632">
        <f t="shared" ref="I33:N33" si="11">I34+I35</f>
        <v>1500</v>
      </c>
      <c r="J33" s="325">
        <f t="shared" si="11"/>
        <v>1500</v>
      </c>
      <c r="K33" s="739">
        <f t="shared" si="11"/>
        <v>139</v>
      </c>
      <c r="L33" s="588">
        <f t="shared" si="11"/>
        <v>1500</v>
      </c>
      <c r="M33" s="325">
        <f t="shared" si="11"/>
        <v>0</v>
      </c>
      <c r="N33" s="721">
        <f t="shared" si="11"/>
        <v>1500</v>
      </c>
      <c r="O33" s="376">
        <f t="shared" si="2"/>
        <v>100</v>
      </c>
    </row>
    <row r="34" spans="1:16" s="1" customFormat="1" ht="12.95" customHeight="1">
      <c r="A34" s="311"/>
      <c r="B34" s="10"/>
      <c r="C34" s="11"/>
      <c r="D34" s="11"/>
      <c r="E34" s="316"/>
      <c r="F34" s="336">
        <v>821200</v>
      </c>
      <c r="G34" s="362"/>
      <c r="H34" s="11" t="s">
        <v>90</v>
      </c>
      <c r="I34" s="735">
        <v>0</v>
      </c>
      <c r="J34" s="310">
        <v>0</v>
      </c>
      <c r="K34" s="736">
        <v>0</v>
      </c>
      <c r="L34" s="583">
        <v>0</v>
      </c>
      <c r="M34" s="310">
        <v>0</v>
      </c>
      <c r="N34" s="719">
        <f t="shared" ref="N34:N35" si="12">SUM(L34:M34)</f>
        <v>0</v>
      </c>
      <c r="O34" s="377" t="str">
        <f t="shared" si="2"/>
        <v/>
      </c>
      <c r="P34" s="1" t="s">
        <v>151</v>
      </c>
    </row>
    <row r="35" spans="1:16" ht="12.95" customHeight="1">
      <c r="B35" s="10"/>
      <c r="C35" s="11"/>
      <c r="D35" s="11"/>
      <c r="E35" s="316"/>
      <c r="F35" s="336">
        <v>821300</v>
      </c>
      <c r="G35" s="362"/>
      <c r="H35" s="11" t="s">
        <v>91</v>
      </c>
      <c r="I35" s="735">
        <v>1500</v>
      </c>
      <c r="J35" s="310">
        <v>1500</v>
      </c>
      <c r="K35" s="736">
        <v>139</v>
      </c>
      <c r="L35" s="583">
        <v>1500</v>
      </c>
      <c r="M35" s="310">
        <v>0</v>
      </c>
      <c r="N35" s="719">
        <f t="shared" si="12"/>
        <v>1500</v>
      </c>
      <c r="O35" s="377">
        <f t="shared" si="2"/>
        <v>100</v>
      </c>
    </row>
    <row r="36" spans="1:16" ht="12.95" customHeight="1">
      <c r="B36" s="10"/>
      <c r="C36" s="11"/>
      <c r="D36" s="11"/>
      <c r="E36" s="316"/>
      <c r="F36" s="336"/>
      <c r="G36" s="362"/>
      <c r="H36" s="11"/>
      <c r="I36" s="735"/>
      <c r="J36" s="310"/>
      <c r="K36" s="736"/>
      <c r="L36" s="583"/>
      <c r="M36" s="310"/>
      <c r="N36" s="720"/>
      <c r="O36" s="377" t="str">
        <f t="shared" si="2"/>
        <v/>
      </c>
    </row>
    <row r="37" spans="1:16" ht="12.95" customHeight="1">
      <c r="B37" s="12"/>
      <c r="C37" s="8"/>
      <c r="D37" s="8"/>
      <c r="E37" s="8"/>
      <c r="F37" s="335"/>
      <c r="G37" s="361"/>
      <c r="H37" s="8" t="s">
        <v>92</v>
      </c>
      <c r="I37" s="738" t="s">
        <v>777</v>
      </c>
      <c r="J37" s="327" t="s">
        <v>777</v>
      </c>
      <c r="K37" s="741">
        <v>10</v>
      </c>
      <c r="L37" s="584">
        <v>10</v>
      </c>
      <c r="M37" s="327"/>
      <c r="N37" s="722">
        <v>10</v>
      </c>
      <c r="O37" s="377"/>
    </row>
    <row r="38" spans="1:16" s="1" customFormat="1" ht="12.95" customHeight="1">
      <c r="A38" s="311"/>
      <c r="B38" s="12"/>
      <c r="C38" s="8"/>
      <c r="D38" s="8"/>
      <c r="E38" s="8"/>
      <c r="F38" s="335"/>
      <c r="G38" s="361"/>
      <c r="H38" s="8" t="s">
        <v>110</v>
      </c>
      <c r="I38" s="575">
        <f t="shared" ref="I38:N38" si="13">I8+I13+I16+I28+I33</f>
        <v>4519390</v>
      </c>
      <c r="J38" s="318">
        <f t="shared" si="13"/>
        <v>4519390</v>
      </c>
      <c r="K38" s="575">
        <f t="shared" si="13"/>
        <v>3073890</v>
      </c>
      <c r="L38" s="582">
        <f t="shared" si="13"/>
        <v>4524860</v>
      </c>
      <c r="M38" s="318">
        <f t="shared" si="13"/>
        <v>492810</v>
      </c>
      <c r="N38" s="721">
        <f t="shared" si="13"/>
        <v>5017670</v>
      </c>
      <c r="O38" s="376">
        <f t="shared" si="2"/>
        <v>111.02538174399643</v>
      </c>
    </row>
    <row r="39" spans="1:16" s="1" customFormat="1" ht="12.95" customHeight="1">
      <c r="A39" s="311"/>
      <c r="B39" s="12"/>
      <c r="C39" s="8"/>
      <c r="D39" s="8"/>
      <c r="E39" s="8"/>
      <c r="F39" s="335"/>
      <c r="G39" s="361"/>
      <c r="H39" s="8" t="s">
        <v>93</v>
      </c>
      <c r="I39" s="15">
        <f>I38</f>
        <v>4519390</v>
      </c>
      <c r="J39" s="15">
        <f>J38</f>
        <v>4519390</v>
      </c>
      <c r="K39" s="575">
        <f t="shared" ref="K39" si="14">K38</f>
        <v>3073890</v>
      </c>
      <c r="L39" s="582">
        <f t="shared" ref="L39:N40" si="15">L38</f>
        <v>4524860</v>
      </c>
      <c r="M39" s="318">
        <f t="shared" si="15"/>
        <v>492810</v>
      </c>
      <c r="N39" s="721">
        <f t="shared" si="15"/>
        <v>5017670</v>
      </c>
      <c r="O39" s="376">
        <f t="shared" si="2"/>
        <v>111.02538174399643</v>
      </c>
    </row>
    <row r="40" spans="1:16" s="1" customFormat="1" ht="12.95" customHeight="1">
      <c r="A40" s="311"/>
      <c r="B40" s="12"/>
      <c r="C40" s="8"/>
      <c r="D40" s="8"/>
      <c r="E40" s="8"/>
      <c r="F40" s="335"/>
      <c r="G40" s="361"/>
      <c r="H40" s="8" t="s">
        <v>94</v>
      </c>
      <c r="I40" s="15">
        <f>I39</f>
        <v>4519390</v>
      </c>
      <c r="J40" s="15">
        <f>J39</f>
        <v>4519390</v>
      </c>
      <c r="K40" s="575">
        <f t="shared" ref="K40" si="16">K39</f>
        <v>3073890</v>
      </c>
      <c r="L40" s="582">
        <f t="shared" si="15"/>
        <v>4524860</v>
      </c>
      <c r="M40" s="318">
        <f t="shared" si="15"/>
        <v>492810</v>
      </c>
      <c r="N40" s="721">
        <f t="shared" si="15"/>
        <v>5017670</v>
      </c>
      <c r="O40" s="376">
        <f t="shared" si="2"/>
        <v>111.02538174399643</v>
      </c>
    </row>
    <row r="41" spans="1:16" s="1" customFormat="1" ht="12.95" customHeight="1" thickBot="1">
      <c r="A41" s="311"/>
      <c r="B41" s="16"/>
      <c r="C41" s="17"/>
      <c r="D41" s="17"/>
      <c r="E41" s="17"/>
      <c r="F41" s="337"/>
      <c r="G41" s="363"/>
      <c r="H41" s="17"/>
      <c r="I41" s="17"/>
      <c r="J41" s="17"/>
      <c r="K41" s="27"/>
      <c r="L41" s="16"/>
      <c r="M41" s="17"/>
      <c r="N41" s="730"/>
      <c r="O41" s="379"/>
    </row>
    <row r="42" spans="1:16" ht="12.95" customHeight="1">
      <c r="F42" s="338"/>
      <c r="G42" s="364"/>
      <c r="N42" s="423"/>
    </row>
    <row r="43" spans="1:16" ht="12.95" customHeight="1">
      <c r="F43" s="338"/>
      <c r="G43" s="364"/>
      <c r="N43" s="423"/>
      <c r="O43" s="840"/>
    </row>
    <row r="44" spans="1:16" ht="12.95" customHeight="1">
      <c r="B44" s="55"/>
      <c r="F44" s="338"/>
      <c r="G44" s="364"/>
      <c r="N44" s="423"/>
    </row>
    <row r="45" spans="1:16" ht="12.95" customHeight="1">
      <c r="B45" s="55"/>
      <c r="F45" s="338"/>
      <c r="G45" s="364"/>
      <c r="N45" s="423"/>
    </row>
    <row r="46" spans="1:16" ht="12.95" customHeight="1">
      <c r="B46" s="55"/>
      <c r="F46" s="338"/>
      <c r="G46" s="364"/>
      <c r="N46" s="423"/>
    </row>
    <row r="47" spans="1:16" ht="12.95" customHeight="1">
      <c r="B47" s="55"/>
      <c r="F47" s="338"/>
      <c r="G47" s="364"/>
      <c r="N47" s="423"/>
    </row>
    <row r="48" spans="1:16" ht="12.95" customHeight="1">
      <c r="B48" s="55"/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7.100000000000001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7.100000000000001" customHeight="1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Q98"/>
  <sheetViews>
    <sheetView topLeftCell="A4" zoomScaleNormal="100" zoomScaleSheetLayoutView="100" workbookViewId="0">
      <selection activeCell="M36" sqref="M36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749</v>
      </c>
      <c r="C2" s="898"/>
      <c r="D2" s="898"/>
      <c r="E2" s="898"/>
      <c r="F2" s="898"/>
      <c r="G2" s="898"/>
      <c r="H2" s="898"/>
      <c r="I2" s="89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129</v>
      </c>
      <c r="C7" s="7" t="s">
        <v>80</v>
      </c>
      <c r="D7" s="7" t="s">
        <v>81</v>
      </c>
      <c r="E7" s="667" t="s">
        <v>822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269390</v>
      </c>
      <c r="J8" s="236">
        <f t="shared" si="0"/>
        <v>269390</v>
      </c>
      <c r="K8" s="789">
        <f t="shared" si="0"/>
        <v>181357</v>
      </c>
      <c r="L8" s="578">
        <f t="shared" si="0"/>
        <v>250790</v>
      </c>
      <c r="M8" s="236">
        <f t="shared" si="0"/>
        <v>0</v>
      </c>
      <c r="N8" s="718">
        <f t="shared" si="0"/>
        <v>250790</v>
      </c>
      <c r="O8" s="376">
        <f>IF(J8=0,"",N8/J8*100)</f>
        <v>93.095512082853858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220520</v>
      </c>
      <c r="J9" s="238">
        <v>220520</v>
      </c>
      <c r="K9" s="790">
        <v>151907</v>
      </c>
      <c r="L9" s="626">
        <f>210040+450</f>
        <v>210490</v>
      </c>
      <c r="M9" s="238">
        <v>0</v>
      </c>
      <c r="N9" s="719">
        <f>SUM(L9:M9)</f>
        <v>210490</v>
      </c>
      <c r="O9" s="377">
        <f>IF(J9=0,"",N9/J9*100)</f>
        <v>95.45165971340468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48870</v>
      </c>
      <c r="J10" s="238">
        <v>48870</v>
      </c>
      <c r="K10" s="790">
        <v>29450</v>
      </c>
      <c r="L10" s="626">
        <f>39300+1000</f>
        <v>40300</v>
      </c>
      <c r="M10" s="238">
        <v>0</v>
      </c>
      <c r="N10" s="719">
        <f t="shared" ref="N10:N11" si="1">SUM(L10:M10)</f>
        <v>40300</v>
      </c>
      <c r="O10" s="377">
        <f t="shared" ref="O10:O43" si="2">IF(J10=0,"",N10/J10*100)</f>
        <v>82.463679148762026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91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238"/>
      <c r="K12" s="790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23960</v>
      </c>
      <c r="J13" s="236">
        <f t="shared" si="3"/>
        <v>23960</v>
      </c>
      <c r="K13" s="789">
        <f t="shared" si="3"/>
        <v>17105</v>
      </c>
      <c r="L13" s="578">
        <f t="shared" si="3"/>
        <v>23440</v>
      </c>
      <c r="M13" s="236">
        <f t="shared" si="3"/>
        <v>0</v>
      </c>
      <c r="N13" s="718">
        <f t="shared" si="3"/>
        <v>23440</v>
      </c>
      <c r="O13" s="376">
        <f t="shared" si="2"/>
        <v>97.829716193656097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23960</v>
      </c>
      <c r="J14" s="238">
        <v>23960</v>
      </c>
      <c r="K14" s="790">
        <v>17105</v>
      </c>
      <c r="L14" s="626">
        <f>23240+200</f>
        <v>23440</v>
      </c>
      <c r="M14" s="238">
        <v>0</v>
      </c>
      <c r="N14" s="719">
        <f>SUM(L14:M14)</f>
        <v>23440</v>
      </c>
      <c r="O14" s="377">
        <f t="shared" si="2"/>
        <v>97.829716193656097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92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SUM(I17:I27)</f>
        <v>225300</v>
      </c>
      <c r="J16" s="323">
        <f t="shared" si="4"/>
        <v>225300</v>
      </c>
      <c r="K16" s="793">
        <f t="shared" si="4"/>
        <v>147261</v>
      </c>
      <c r="L16" s="581">
        <f t="shared" si="4"/>
        <v>31400</v>
      </c>
      <c r="M16" s="323">
        <f t="shared" si="4"/>
        <v>200000</v>
      </c>
      <c r="N16" s="721">
        <f t="shared" si="4"/>
        <v>231400</v>
      </c>
      <c r="O16" s="376">
        <f t="shared" si="2"/>
        <v>102.70750110963161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2">
        <v>2800</v>
      </c>
      <c r="J17" s="321">
        <v>1800</v>
      </c>
      <c r="K17" s="792">
        <v>519</v>
      </c>
      <c r="L17" s="622">
        <v>1200</v>
      </c>
      <c r="M17" s="326">
        <v>0</v>
      </c>
      <c r="N17" s="719">
        <f t="shared" ref="N17:N27" si="5">SUM(L17:M17)</f>
        <v>1200</v>
      </c>
      <c r="O17" s="377">
        <f t="shared" si="2"/>
        <v>66.666666666666657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2">
        <v>0</v>
      </c>
      <c r="J18" s="321">
        <v>0</v>
      </c>
      <c r="K18" s="792">
        <v>0</v>
      </c>
      <c r="L18" s="622">
        <v>0</v>
      </c>
      <c r="M18" s="326">
        <v>0</v>
      </c>
      <c r="N18" s="719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6000</v>
      </c>
      <c r="J19" s="395">
        <v>6000</v>
      </c>
      <c r="K19" s="792">
        <v>5154</v>
      </c>
      <c r="L19" s="571">
        <v>6000</v>
      </c>
      <c r="M19" s="397">
        <v>0</v>
      </c>
      <c r="N19" s="719">
        <f t="shared" si="5"/>
        <v>6000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0</v>
      </c>
      <c r="J20" s="395">
        <v>0</v>
      </c>
      <c r="K20" s="792">
        <v>0</v>
      </c>
      <c r="L20" s="571">
        <v>0</v>
      </c>
      <c r="M20" s="397">
        <v>0</v>
      </c>
      <c r="N20" s="719">
        <f t="shared" si="5"/>
        <v>0</v>
      </c>
      <c r="O20" s="377" t="str">
        <f t="shared" si="2"/>
        <v/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0</v>
      </c>
      <c r="J21" s="397">
        <v>0</v>
      </c>
      <c r="K21" s="790">
        <v>0</v>
      </c>
      <c r="L21" s="571">
        <v>0</v>
      </c>
      <c r="M21" s="397">
        <v>0</v>
      </c>
      <c r="N21" s="719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90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663"/>
      <c r="F23" s="342">
        <v>613700</v>
      </c>
      <c r="G23" s="368"/>
      <c r="H23" s="11" t="s">
        <v>86</v>
      </c>
      <c r="I23" s="737">
        <v>1500</v>
      </c>
      <c r="J23" s="397">
        <v>1500</v>
      </c>
      <c r="K23" s="790">
        <v>221</v>
      </c>
      <c r="L23" s="571">
        <v>1200</v>
      </c>
      <c r="M23" s="397">
        <v>0</v>
      </c>
      <c r="N23" s="719">
        <f t="shared" si="5"/>
        <v>1200</v>
      </c>
      <c r="O23" s="377">
        <f t="shared" si="2"/>
        <v>80</v>
      </c>
    </row>
    <row r="24" spans="1:16" ht="12.95" customHeight="1">
      <c r="B24" s="10"/>
      <c r="C24" s="11"/>
      <c r="D24" s="24"/>
      <c r="E24" s="24"/>
      <c r="F24" s="336">
        <v>613700</v>
      </c>
      <c r="G24" s="359" t="s">
        <v>577</v>
      </c>
      <c r="H24" s="42" t="s">
        <v>87</v>
      </c>
      <c r="I24" s="737">
        <v>200000</v>
      </c>
      <c r="J24" s="397">
        <v>200000</v>
      </c>
      <c r="K24" s="790">
        <v>125688</v>
      </c>
      <c r="L24" s="571">
        <v>0</v>
      </c>
      <c r="M24" s="397">
        <v>200000</v>
      </c>
      <c r="N24" s="719">
        <f t="shared" si="5"/>
        <v>200000</v>
      </c>
      <c r="O24" s="377">
        <f t="shared" si="2"/>
        <v>100</v>
      </c>
    </row>
    <row r="25" spans="1:16" ht="12.95" customHeight="1">
      <c r="B25" s="10"/>
      <c r="C25" s="11"/>
      <c r="D25" s="11"/>
      <c r="E25" s="662"/>
      <c r="F25" s="344">
        <v>613800</v>
      </c>
      <c r="G25" s="369"/>
      <c r="H25" s="11" t="s">
        <v>149</v>
      </c>
      <c r="I25" s="737">
        <v>0</v>
      </c>
      <c r="J25" s="397">
        <v>0</v>
      </c>
      <c r="K25" s="790">
        <v>0</v>
      </c>
      <c r="L25" s="571">
        <v>0</v>
      </c>
      <c r="M25" s="397">
        <v>0</v>
      </c>
      <c r="N25" s="719">
        <f t="shared" si="5"/>
        <v>0</v>
      </c>
      <c r="O25" s="377" t="str">
        <f t="shared" si="2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11" t="s">
        <v>150</v>
      </c>
      <c r="I26" s="737">
        <v>15000</v>
      </c>
      <c r="J26" s="397">
        <v>16000</v>
      </c>
      <c r="K26" s="790">
        <v>15679</v>
      </c>
      <c r="L26" s="571">
        <v>23000</v>
      </c>
      <c r="M26" s="397">
        <v>0</v>
      </c>
      <c r="N26" s="719">
        <f t="shared" si="5"/>
        <v>23000</v>
      </c>
      <c r="O26" s="377">
        <f t="shared" si="2"/>
        <v>143.75</v>
      </c>
      <c r="P26" s="802"/>
    </row>
    <row r="27" spans="1:16" ht="12.95" customHeight="1">
      <c r="B27" s="10"/>
      <c r="C27" s="11"/>
      <c r="D27" s="11"/>
      <c r="E27" s="316"/>
      <c r="F27" s="336">
        <v>613900</v>
      </c>
      <c r="G27" s="362"/>
      <c r="H27" s="210" t="s">
        <v>465</v>
      </c>
      <c r="I27" s="737">
        <v>0</v>
      </c>
      <c r="J27" s="397">
        <v>0</v>
      </c>
      <c r="K27" s="790">
        <v>0</v>
      </c>
      <c r="L27" s="571">
        <v>0</v>
      </c>
      <c r="M27" s="397">
        <v>0</v>
      </c>
      <c r="N27" s="719">
        <f t="shared" si="5"/>
        <v>0</v>
      </c>
      <c r="O27" s="377" t="str">
        <f t="shared" si="2"/>
        <v/>
      </c>
    </row>
    <row r="28" spans="1:16" ht="12.95" customHeight="1">
      <c r="B28" s="10"/>
      <c r="C28" s="11"/>
      <c r="D28" s="11"/>
      <c r="E28" s="316"/>
      <c r="F28" s="336"/>
      <c r="G28" s="362"/>
      <c r="H28" s="11"/>
      <c r="I28" s="631"/>
      <c r="J28" s="326"/>
      <c r="K28" s="790"/>
      <c r="L28" s="622"/>
      <c r="M28" s="326"/>
      <c r="N28" s="720"/>
      <c r="O28" s="377" t="str">
        <f t="shared" si="2"/>
        <v/>
      </c>
    </row>
    <row r="29" spans="1:16" s="1" customFormat="1" ht="12.95" customHeight="1">
      <c r="A29" s="311"/>
      <c r="B29" s="12"/>
      <c r="C29" s="8"/>
      <c r="D29" s="8"/>
      <c r="E29" s="8"/>
      <c r="F29" s="335">
        <v>614000</v>
      </c>
      <c r="G29" s="361"/>
      <c r="H29" s="8" t="s">
        <v>178</v>
      </c>
      <c r="I29" s="632">
        <f t="shared" ref="I29:N29" si="6">SUM(I30:I31)</f>
        <v>300000</v>
      </c>
      <c r="J29" s="325">
        <f t="shared" si="6"/>
        <v>300000</v>
      </c>
      <c r="K29" s="789">
        <f t="shared" si="6"/>
        <v>15000</v>
      </c>
      <c r="L29" s="588">
        <f t="shared" si="6"/>
        <v>0</v>
      </c>
      <c r="M29" s="325">
        <f t="shared" si="6"/>
        <v>300000</v>
      </c>
      <c r="N29" s="721">
        <f t="shared" si="6"/>
        <v>300000</v>
      </c>
      <c r="O29" s="376">
        <f t="shared" si="2"/>
        <v>100</v>
      </c>
    </row>
    <row r="30" spans="1:16" ht="12.95" customHeight="1">
      <c r="B30" s="10"/>
      <c r="C30" s="11"/>
      <c r="D30" s="24"/>
      <c r="E30" s="664"/>
      <c r="F30" s="344">
        <v>614100</v>
      </c>
      <c r="G30" s="369" t="s">
        <v>578</v>
      </c>
      <c r="H30" s="46" t="s">
        <v>152</v>
      </c>
      <c r="I30" s="631">
        <v>300000</v>
      </c>
      <c r="J30" s="326">
        <v>300000</v>
      </c>
      <c r="K30" s="790">
        <v>15000</v>
      </c>
      <c r="L30" s="622">
        <v>0</v>
      </c>
      <c r="M30" s="326">
        <v>300000</v>
      </c>
      <c r="N30" s="719">
        <f t="shared" ref="N30:N31" si="7">SUM(L30:M30)</f>
        <v>300000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>
        <v>614100</v>
      </c>
      <c r="G31" s="362" t="s">
        <v>579</v>
      </c>
      <c r="H31" s="20" t="s">
        <v>194</v>
      </c>
      <c r="I31" s="631">
        <v>0</v>
      </c>
      <c r="J31" s="326">
        <v>0</v>
      </c>
      <c r="K31" s="790">
        <v>0</v>
      </c>
      <c r="L31" s="622">
        <v>0</v>
      </c>
      <c r="M31" s="326">
        <v>0</v>
      </c>
      <c r="N31" s="719">
        <f t="shared" si="7"/>
        <v>0</v>
      </c>
      <c r="O31" s="377" t="str">
        <f t="shared" si="2"/>
        <v/>
      </c>
    </row>
    <row r="32" spans="1:16" ht="12.95" customHeight="1">
      <c r="B32" s="10"/>
      <c r="C32" s="11"/>
      <c r="D32" s="11"/>
      <c r="E32" s="316"/>
      <c r="F32" s="336"/>
      <c r="G32" s="362"/>
      <c r="H32" s="11"/>
      <c r="I32" s="631"/>
      <c r="J32" s="326"/>
      <c r="K32" s="790"/>
      <c r="L32" s="622"/>
      <c r="M32" s="326"/>
      <c r="N32" s="720"/>
      <c r="O32" s="377" t="str">
        <f t="shared" si="2"/>
        <v/>
      </c>
    </row>
    <row r="33" spans="1:17" s="1" customFormat="1" ht="12.95" customHeight="1">
      <c r="A33" s="311"/>
      <c r="B33" s="12"/>
      <c r="C33" s="8"/>
      <c r="D33" s="8"/>
      <c r="E33" s="8"/>
      <c r="F33" s="335">
        <v>821000</v>
      </c>
      <c r="G33" s="361"/>
      <c r="H33" s="8" t="s">
        <v>89</v>
      </c>
      <c r="I33" s="632">
        <f t="shared" ref="I33:J33" si="8">SUM(I34:I38)</f>
        <v>1155000</v>
      </c>
      <c r="J33" s="325">
        <f t="shared" si="8"/>
        <v>1155000</v>
      </c>
      <c r="K33" s="789">
        <f t="shared" ref="K33:L33" si="9">SUM(K34:K38)</f>
        <v>410712</v>
      </c>
      <c r="L33" s="588">
        <f t="shared" si="9"/>
        <v>7000</v>
      </c>
      <c r="M33" s="325">
        <f t="shared" ref="M33:N33" si="10">SUM(M34:M38)</f>
        <v>1211960</v>
      </c>
      <c r="N33" s="721">
        <f t="shared" si="10"/>
        <v>1218960</v>
      </c>
      <c r="O33" s="376">
        <f t="shared" si="2"/>
        <v>105.53766233766233</v>
      </c>
    </row>
    <row r="34" spans="1:17" ht="12.95" customHeight="1">
      <c r="B34" s="10"/>
      <c r="C34" s="11"/>
      <c r="D34" s="11"/>
      <c r="E34" s="316"/>
      <c r="F34" s="336">
        <v>821200</v>
      </c>
      <c r="G34" s="362"/>
      <c r="H34" s="11" t="s">
        <v>90</v>
      </c>
      <c r="I34" s="631">
        <v>0</v>
      </c>
      <c r="J34" s="326">
        <v>0</v>
      </c>
      <c r="K34" s="790">
        <v>0</v>
      </c>
      <c r="L34" s="622">
        <v>0</v>
      </c>
      <c r="M34" s="326">
        <v>0</v>
      </c>
      <c r="N34" s="719">
        <f t="shared" ref="N34:N37" si="11">SUM(L34:M34)</f>
        <v>0</v>
      </c>
      <c r="O34" s="377" t="str">
        <f t="shared" si="2"/>
        <v/>
      </c>
    </row>
    <row r="35" spans="1:17" ht="12.95" customHeight="1">
      <c r="B35" s="10"/>
      <c r="C35" s="11"/>
      <c r="D35" s="11"/>
      <c r="E35" s="316"/>
      <c r="F35" s="336">
        <v>821300</v>
      </c>
      <c r="G35" s="362"/>
      <c r="H35" s="11" t="s">
        <v>91</v>
      </c>
      <c r="I35" s="631">
        <v>5000</v>
      </c>
      <c r="J35" s="326">
        <v>5000</v>
      </c>
      <c r="K35" s="790">
        <v>3116</v>
      </c>
      <c r="L35" s="622">
        <v>7000</v>
      </c>
      <c r="M35" s="326">
        <v>0</v>
      </c>
      <c r="N35" s="719">
        <f t="shared" si="11"/>
        <v>7000</v>
      </c>
      <c r="O35" s="377">
        <f t="shared" si="2"/>
        <v>140</v>
      </c>
    </row>
    <row r="36" spans="1:17" s="314" customFormat="1" ht="12.95" customHeight="1">
      <c r="B36" s="315"/>
      <c r="C36" s="316"/>
      <c r="D36" s="316"/>
      <c r="E36" s="316"/>
      <c r="F36" s="339">
        <v>821500</v>
      </c>
      <c r="G36" s="365" t="s">
        <v>724</v>
      </c>
      <c r="H36" s="675" t="s">
        <v>723</v>
      </c>
      <c r="I36" s="631">
        <v>750000</v>
      </c>
      <c r="J36" s="326">
        <v>750000</v>
      </c>
      <c r="K36" s="790">
        <v>330737</v>
      </c>
      <c r="L36" s="622">
        <v>0</v>
      </c>
      <c r="M36" s="326">
        <f>1080000-268040</f>
        <v>811960</v>
      </c>
      <c r="N36" s="719">
        <f t="shared" ref="N36" si="12">SUM(L36:M36)</f>
        <v>811960</v>
      </c>
      <c r="O36" s="377">
        <f t="shared" ref="O36" si="13">IF(J36=0,"",N36/J36*100)</f>
        <v>108.26133333333334</v>
      </c>
      <c r="Q36" s="63"/>
    </row>
    <row r="37" spans="1:17" ht="12.95" customHeight="1">
      <c r="B37" s="10"/>
      <c r="C37" s="11"/>
      <c r="D37" s="11"/>
      <c r="E37" s="316"/>
      <c r="F37" s="339">
        <v>821600</v>
      </c>
      <c r="G37" s="365"/>
      <c r="H37" s="78" t="s">
        <v>102</v>
      </c>
      <c r="I37" s="631">
        <v>0</v>
      </c>
      <c r="J37" s="326">
        <v>0</v>
      </c>
      <c r="K37" s="790">
        <v>0</v>
      </c>
      <c r="L37" s="622">
        <v>0</v>
      </c>
      <c r="M37" s="326">
        <v>0</v>
      </c>
      <c r="N37" s="719">
        <f t="shared" si="11"/>
        <v>0</v>
      </c>
      <c r="O37" s="377" t="str">
        <f t="shared" si="2"/>
        <v/>
      </c>
      <c r="Q37" s="63"/>
    </row>
    <row r="38" spans="1:17" s="314" customFormat="1" ht="12.95" customHeight="1">
      <c r="B38" s="315"/>
      <c r="C38" s="316"/>
      <c r="D38" s="316"/>
      <c r="E38" s="316"/>
      <c r="F38" s="339">
        <v>821600</v>
      </c>
      <c r="G38" s="365" t="s">
        <v>725</v>
      </c>
      <c r="H38" s="675" t="s">
        <v>722</v>
      </c>
      <c r="I38" s="631">
        <v>400000</v>
      </c>
      <c r="J38" s="326">
        <v>400000</v>
      </c>
      <c r="K38" s="790">
        <v>76859</v>
      </c>
      <c r="L38" s="622">
        <v>0</v>
      </c>
      <c r="M38" s="326">
        <v>400000</v>
      </c>
      <c r="N38" s="719">
        <f t="shared" ref="N38" si="14">SUM(L38:M38)</f>
        <v>400000</v>
      </c>
      <c r="O38" s="377">
        <f t="shared" ref="O38" si="15">IF(J38=0,"",N38/J38*100)</f>
        <v>100</v>
      </c>
      <c r="P38" s="836"/>
      <c r="Q38" s="63"/>
    </row>
    <row r="39" spans="1:17" ht="12.95" customHeight="1">
      <c r="B39" s="10"/>
      <c r="C39" s="11"/>
      <c r="D39" s="11"/>
      <c r="E39" s="316"/>
      <c r="F39" s="336"/>
      <c r="G39" s="362"/>
      <c r="H39" s="11"/>
      <c r="I39" s="632"/>
      <c r="J39" s="325"/>
      <c r="K39" s="789"/>
      <c r="L39" s="588"/>
      <c r="M39" s="325"/>
      <c r="N39" s="721"/>
      <c r="O39" s="377" t="str">
        <f t="shared" si="2"/>
        <v/>
      </c>
    </row>
    <row r="40" spans="1:17" s="1" customFormat="1" ht="12.95" customHeight="1">
      <c r="A40" s="311"/>
      <c r="B40" s="12"/>
      <c r="C40" s="8"/>
      <c r="D40" s="8"/>
      <c r="E40" s="8"/>
      <c r="F40" s="335"/>
      <c r="G40" s="361"/>
      <c r="H40" s="8" t="s">
        <v>92</v>
      </c>
      <c r="I40" s="738" t="s">
        <v>778</v>
      </c>
      <c r="J40" s="327" t="s">
        <v>778</v>
      </c>
      <c r="K40" s="794">
        <v>10</v>
      </c>
      <c r="L40" s="584">
        <v>10</v>
      </c>
      <c r="M40" s="325"/>
      <c r="N40" s="722">
        <v>10</v>
      </c>
      <c r="O40" s="377"/>
    </row>
    <row r="41" spans="1:17" s="1" customFormat="1" ht="12.95" customHeight="1">
      <c r="A41" s="311"/>
      <c r="B41" s="12"/>
      <c r="C41" s="8"/>
      <c r="D41" s="8"/>
      <c r="E41" s="8"/>
      <c r="F41" s="335"/>
      <c r="G41" s="361"/>
      <c r="H41" s="8" t="s">
        <v>110</v>
      </c>
      <c r="I41" s="575">
        <f>I8+I13+I16+I29+I33</f>
        <v>1973650</v>
      </c>
      <c r="J41" s="318">
        <f>J8+J13+J16+J29+J33</f>
        <v>1973650</v>
      </c>
      <c r="K41" s="575">
        <f t="shared" ref="K41" si="16">K8+K13+K16+K29+K33</f>
        <v>771435</v>
      </c>
      <c r="L41" s="582">
        <f>L8+L13+L16+L29+L33</f>
        <v>312630</v>
      </c>
      <c r="M41" s="318">
        <f>M8+M13+M16+M29+M33</f>
        <v>1711960</v>
      </c>
      <c r="N41" s="721">
        <f>N8+N13+N16+N29+N33</f>
        <v>2024590</v>
      </c>
      <c r="O41" s="376">
        <f t="shared" si="2"/>
        <v>102.58100473741545</v>
      </c>
    </row>
    <row r="42" spans="1:17" s="1" customFormat="1" ht="12.95" customHeight="1">
      <c r="A42" s="311"/>
      <c r="B42" s="12"/>
      <c r="C42" s="8"/>
      <c r="D42" s="8"/>
      <c r="E42" s="8"/>
      <c r="F42" s="335"/>
      <c r="G42" s="361"/>
      <c r="H42" s="8" t="s">
        <v>93</v>
      </c>
      <c r="I42" s="15">
        <f>I41</f>
        <v>1973650</v>
      </c>
      <c r="J42" s="15">
        <f>J41</f>
        <v>1973650</v>
      </c>
      <c r="K42" s="575">
        <f t="shared" ref="K42" si="17">K41</f>
        <v>771435</v>
      </c>
      <c r="L42" s="582">
        <f t="shared" ref="L42:N43" si="18">L41</f>
        <v>312630</v>
      </c>
      <c r="M42" s="318">
        <f t="shared" si="18"/>
        <v>1711960</v>
      </c>
      <c r="N42" s="721">
        <f t="shared" si="18"/>
        <v>2024590</v>
      </c>
      <c r="O42" s="376">
        <f t="shared" si="2"/>
        <v>102.58100473741545</v>
      </c>
    </row>
    <row r="43" spans="1:17" s="1" customFormat="1" ht="12.95" customHeight="1">
      <c r="A43" s="311"/>
      <c r="B43" s="12"/>
      <c r="C43" s="8"/>
      <c r="D43" s="8"/>
      <c r="E43" s="8"/>
      <c r="F43" s="335"/>
      <c r="G43" s="361"/>
      <c r="H43" s="8" t="s">
        <v>94</v>
      </c>
      <c r="I43" s="15">
        <f>I42</f>
        <v>1973650</v>
      </c>
      <c r="J43" s="15">
        <f>J42</f>
        <v>1973650</v>
      </c>
      <c r="K43" s="575">
        <f t="shared" ref="K43" si="19">K42</f>
        <v>771435</v>
      </c>
      <c r="L43" s="582">
        <f t="shared" si="18"/>
        <v>312630</v>
      </c>
      <c r="M43" s="318">
        <f t="shared" si="18"/>
        <v>1711960</v>
      </c>
      <c r="N43" s="721">
        <f t="shared" si="18"/>
        <v>2024590</v>
      </c>
      <c r="O43" s="376">
        <f t="shared" si="2"/>
        <v>102.58100473741545</v>
      </c>
    </row>
    <row r="44" spans="1:17" ht="12.95" customHeight="1" thickBot="1">
      <c r="B44" s="16"/>
      <c r="C44" s="17"/>
      <c r="D44" s="17"/>
      <c r="E44" s="17"/>
      <c r="F44" s="337"/>
      <c r="G44" s="363"/>
      <c r="H44" s="17"/>
      <c r="I44" s="32"/>
      <c r="J44" s="32"/>
      <c r="K44" s="576"/>
      <c r="L44" s="585"/>
      <c r="M44" s="32"/>
      <c r="N44" s="723"/>
      <c r="O44" s="379"/>
    </row>
    <row r="45" spans="1:17" ht="12.95" customHeight="1">
      <c r="F45" s="338"/>
      <c r="G45" s="364"/>
      <c r="N45" s="425"/>
    </row>
    <row r="46" spans="1:17" ht="12.95" customHeight="1">
      <c r="B46" s="55"/>
      <c r="F46" s="338"/>
      <c r="G46" s="364"/>
      <c r="N46" s="425"/>
      <c r="O46" s="840"/>
      <c r="P46" s="640"/>
    </row>
    <row r="47" spans="1:17" ht="12.95" customHeight="1">
      <c r="B47" s="55"/>
      <c r="F47" s="338"/>
      <c r="G47" s="364"/>
      <c r="N47" s="425"/>
    </row>
    <row r="48" spans="1:17" ht="12.95" customHeight="1">
      <c r="B48" s="55"/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2.95" customHeight="1">
      <c r="F60" s="338"/>
      <c r="G60" s="364"/>
      <c r="N60" s="425"/>
    </row>
    <row r="61" spans="6:14" ht="12.95" customHeight="1">
      <c r="F61" s="338"/>
      <c r="G61" s="364"/>
      <c r="N61" s="425"/>
    </row>
    <row r="62" spans="6:14" ht="17.100000000000001" customHeight="1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Q100"/>
  <sheetViews>
    <sheetView topLeftCell="B7" zoomScaleNormal="100" zoomScaleSheetLayoutView="100" workbookViewId="0">
      <selection activeCell="M51" sqref="M5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750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130</v>
      </c>
      <c r="C7" s="7" t="s">
        <v>80</v>
      </c>
      <c r="D7" s="7" t="s">
        <v>81</v>
      </c>
      <c r="E7" s="667" t="s">
        <v>825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620880</v>
      </c>
      <c r="J8" s="733">
        <f t="shared" si="0"/>
        <v>620880</v>
      </c>
      <c r="K8" s="739">
        <f t="shared" si="0"/>
        <v>462907</v>
      </c>
      <c r="L8" s="578">
        <f t="shared" si="0"/>
        <v>634320</v>
      </c>
      <c r="M8" s="236">
        <f t="shared" si="0"/>
        <v>0</v>
      </c>
      <c r="N8" s="718">
        <f t="shared" si="0"/>
        <v>634320</v>
      </c>
      <c r="O8" s="376">
        <f>IF(J8=0,"",N8/J8*100)</f>
        <v>102.16466950135292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522330</v>
      </c>
      <c r="J9" s="734">
        <v>522330</v>
      </c>
      <c r="K9" s="736">
        <v>387268</v>
      </c>
      <c r="L9" s="579">
        <f>526710+1000+1500</f>
        <v>529210</v>
      </c>
      <c r="M9" s="235">
        <v>0</v>
      </c>
      <c r="N9" s="719">
        <f>SUM(L9:M9)</f>
        <v>529210</v>
      </c>
      <c r="O9" s="377">
        <f>IF(J9=0,"",N9/J9*100)</f>
        <v>101.31717496601765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95">
        <v>98550</v>
      </c>
      <c r="J10" s="795">
        <v>98550</v>
      </c>
      <c r="K10" s="557">
        <v>75639</v>
      </c>
      <c r="L10" s="629">
        <f>100380+210+1920+2600</f>
        <v>105110</v>
      </c>
      <c r="M10" s="239">
        <v>0</v>
      </c>
      <c r="N10" s="719">
        <f t="shared" ref="N10:N11" si="1">SUM(L10:M10)</f>
        <v>105110</v>
      </c>
      <c r="O10" s="377">
        <f t="shared" ref="O10:O45" si="2">IF(J10=0,"",N10/J10*100)</f>
        <v>106.65651953323186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734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4"/>
      <c r="J12" s="734"/>
      <c r="K12" s="736"/>
      <c r="L12" s="579"/>
      <c r="M12" s="235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55690</v>
      </c>
      <c r="J13" s="733">
        <f t="shared" si="3"/>
        <v>55690</v>
      </c>
      <c r="K13" s="739">
        <f t="shared" si="3"/>
        <v>41131</v>
      </c>
      <c r="L13" s="578">
        <f t="shared" si="3"/>
        <v>56320</v>
      </c>
      <c r="M13" s="236">
        <f t="shared" si="3"/>
        <v>0</v>
      </c>
      <c r="N13" s="718">
        <f t="shared" si="3"/>
        <v>56320</v>
      </c>
      <c r="O13" s="376">
        <f t="shared" si="2"/>
        <v>101.1312623451248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55690</v>
      </c>
      <c r="J14" s="734">
        <v>55690</v>
      </c>
      <c r="K14" s="736">
        <v>41131</v>
      </c>
      <c r="L14" s="579">
        <f>55860+300+160</f>
        <v>56320</v>
      </c>
      <c r="M14" s="235">
        <v>0</v>
      </c>
      <c r="N14" s="719">
        <f>SUM(L14:M14)</f>
        <v>56320</v>
      </c>
      <c r="O14" s="377">
        <f t="shared" si="2"/>
        <v>101.1312623451248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586"/>
      <c r="K15" s="786"/>
      <c r="L15" s="580"/>
      <c r="M15" s="309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77970</v>
      </c>
      <c r="J16" s="773">
        <f t="shared" si="4"/>
        <v>77970</v>
      </c>
      <c r="K16" s="778">
        <f t="shared" si="4"/>
        <v>52166</v>
      </c>
      <c r="L16" s="581">
        <f t="shared" si="4"/>
        <v>77760</v>
      </c>
      <c r="M16" s="323">
        <f t="shared" si="4"/>
        <v>0</v>
      </c>
      <c r="N16" s="721">
        <f t="shared" si="4"/>
        <v>77760</v>
      </c>
      <c r="O16" s="376">
        <f t="shared" si="2"/>
        <v>99.730665640631017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6">
        <v>8400</v>
      </c>
      <c r="J17" s="736">
        <v>8400</v>
      </c>
      <c r="K17" s="736">
        <v>5166</v>
      </c>
      <c r="L17" s="568">
        <v>7200</v>
      </c>
      <c r="M17" s="396">
        <v>0</v>
      </c>
      <c r="N17" s="719">
        <f t="shared" ref="N17:N26" si="5">SUM(L17:M17)</f>
        <v>7200</v>
      </c>
      <c r="O17" s="377">
        <f t="shared" si="2"/>
        <v>85.714285714285708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36">
        <v>0</v>
      </c>
      <c r="J18" s="736">
        <v>0</v>
      </c>
      <c r="K18" s="736">
        <v>0</v>
      </c>
      <c r="L18" s="568">
        <v>400</v>
      </c>
      <c r="M18" s="396">
        <v>0</v>
      </c>
      <c r="N18" s="719">
        <f t="shared" si="5"/>
        <v>400</v>
      </c>
      <c r="O18" s="377" t="str">
        <f t="shared" si="2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6">
        <v>5800</v>
      </c>
      <c r="J19" s="736">
        <v>5800</v>
      </c>
      <c r="K19" s="736">
        <v>4736</v>
      </c>
      <c r="L19" s="568">
        <v>7000</v>
      </c>
      <c r="M19" s="396">
        <v>0</v>
      </c>
      <c r="N19" s="719">
        <f t="shared" si="5"/>
        <v>7000</v>
      </c>
      <c r="O19" s="377">
        <f t="shared" si="2"/>
        <v>120.68965517241379</v>
      </c>
      <c r="P19" s="640"/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6">
        <v>3260</v>
      </c>
      <c r="J20" s="736">
        <v>3260</v>
      </c>
      <c r="K20" s="736">
        <v>2250</v>
      </c>
      <c r="L20" s="568">
        <v>4500</v>
      </c>
      <c r="M20" s="396">
        <v>0</v>
      </c>
      <c r="N20" s="719">
        <f t="shared" si="5"/>
        <v>4500</v>
      </c>
      <c r="O20" s="377">
        <f t="shared" si="2"/>
        <v>138.03680981595093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6">
        <v>500</v>
      </c>
      <c r="J21" s="736">
        <v>500</v>
      </c>
      <c r="K21" s="736">
        <v>108</v>
      </c>
      <c r="L21" s="568">
        <v>110</v>
      </c>
      <c r="M21" s="396">
        <v>0</v>
      </c>
      <c r="N21" s="719">
        <f t="shared" si="5"/>
        <v>110</v>
      </c>
      <c r="O21" s="377">
        <f t="shared" si="2"/>
        <v>22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6">
        <v>5500</v>
      </c>
      <c r="J22" s="736">
        <v>5500</v>
      </c>
      <c r="K22" s="736">
        <v>3336</v>
      </c>
      <c r="L22" s="568">
        <v>5500</v>
      </c>
      <c r="M22" s="396">
        <v>0</v>
      </c>
      <c r="N22" s="719">
        <f t="shared" si="5"/>
        <v>5500</v>
      </c>
      <c r="O22" s="377">
        <f t="shared" si="2"/>
        <v>100</v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10000</v>
      </c>
      <c r="J23" s="736">
        <v>10000</v>
      </c>
      <c r="K23" s="736">
        <v>2239</v>
      </c>
      <c r="L23" s="568">
        <v>8000</v>
      </c>
      <c r="M23" s="396">
        <v>0</v>
      </c>
      <c r="N23" s="719">
        <f t="shared" si="5"/>
        <v>8000</v>
      </c>
      <c r="O23" s="377">
        <f t="shared" si="2"/>
        <v>80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710</v>
      </c>
      <c r="J24" s="736">
        <v>710</v>
      </c>
      <c r="K24" s="736">
        <v>46</v>
      </c>
      <c r="L24" s="568">
        <v>50</v>
      </c>
      <c r="M24" s="396">
        <v>0</v>
      </c>
      <c r="N24" s="719">
        <f t="shared" si="5"/>
        <v>50</v>
      </c>
      <c r="O24" s="377">
        <f t="shared" si="2"/>
        <v>7.042253521126761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6">
        <v>43800</v>
      </c>
      <c r="J25" s="736">
        <v>43800</v>
      </c>
      <c r="K25" s="736">
        <v>34285</v>
      </c>
      <c r="L25" s="568">
        <v>45000</v>
      </c>
      <c r="M25" s="396">
        <v>0</v>
      </c>
      <c r="N25" s="719">
        <f t="shared" si="5"/>
        <v>45000</v>
      </c>
      <c r="O25" s="377">
        <f t="shared" si="2"/>
        <v>102.73972602739727</v>
      </c>
      <c r="P25" s="77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6">
        <v>0</v>
      </c>
      <c r="J26" s="736">
        <v>0</v>
      </c>
      <c r="K26" s="736">
        <v>0</v>
      </c>
      <c r="L26" s="568">
        <v>0</v>
      </c>
      <c r="M26" s="396">
        <v>0</v>
      </c>
      <c r="N26" s="719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/>
      <c r="G27" s="362"/>
      <c r="H27" s="11"/>
      <c r="I27" s="632"/>
      <c r="J27" s="632"/>
      <c r="K27" s="739"/>
      <c r="L27" s="588"/>
      <c r="M27" s="325"/>
      <c r="N27" s="721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J28" si="6">SUM(I29:I32)</f>
        <v>1470000</v>
      </c>
      <c r="J28" s="632">
        <f t="shared" si="6"/>
        <v>1470000</v>
      </c>
      <c r="K28" s="739">
        <f t="shared" ref="K28:L28" si="7">SUM(K29:K32)</f>
        <v>1120301</v>
      </c>
      <c r="L28" s="588">
        <f t="shared" si="7"/>
        <v>1120000</v>
      </c>
      <c r="M28" s="325">
        <f t="shared" ref="M28:N28" si="8">SUM(M29:M32)</f>
        <v>420000</v>
      </c>
      <c r="N28" s="721">
        <f t="shared" si="8"/>
        <v>1540000</v>
      </c>
      <c r="O28" s="376">
        <f t="shared" si="2"/>
        <v>104.76190476190477</v>
      </c>
    </row>
    <row r="29" spans="1:17" s="1" customFormat="1" ht="12.95" customHeight="1">
      <c r="A29" s="311"/>
      <c r="B29" s="12"/>
      <c r="C29" s="8"/>
      <c r="D29" s="25"/>
      <c r="E29" s="25"/>
      <c r="F29" s="336">
        <v>614100</v>
      </c>
      <c r="G29" s="362" t="s">
        <v>581</v>
      </c>
      <c r="H29" s="13" t="s">
        <v>144</v>
      </c>
      <c r="I29" s="631">
        <v>120000</v>
      </c>
      <c r="J29" s="631">
        <v>120000</v>
      </c>
      <c r="K29" s="737">
        <v>5193</v>
      </c>
      <c r="L29" s="622">
        <v>0</v>
      </c>
      <c r="M29" s="326">
        <v>120000</v>
      </c>
      <c r="N29" s="719">
        <f t="shared" ref="N29:N32" si="9">SUM(L29:M29)</f>
        <v>120000</v>
      </c>
      <c r="O29" s="377">
        <f t="shared" si="2"/>
        <v>100</v>
      </c>
    </row>
    <row r="30" spans="1:17" ht="12.95" customHeight="1">
      <c r="B30" s="10"/>
      <c r="C30" s="11"/>
      <c r="D30" s="11"/>
      <c r="E30" s="316"/>
      <c r="F30" s="336">
        <v>614500</v>
      </c>
      <c r="G30" s="362" t="s">
        <v>580</v>
      </c>
      <c r="H30" s="23" t="s">
        <v>338</v>
      </c>
      <c r="I30" s="631">
        <v>1100000</v>
      </c>
      <c r="J30" s="631">
        <v>1100000</v>
      </c>
      <c r="K30" s="737">
        <v>915108</v>
      </c>
      <c r="L30" s="622">
        <f>1100000+20000</f>
        <v>1120000</v>
      </c>
      <c r="M30" s="326">
        <v>0</v>
      </c>
      <c r="N30" s="719">
        <f t="shared" si="9"/>
        <v>1120000</v>
      </c>
      <c r="O30" s="377">
        <f t="shared" si="2"/>
        <v>101.81818181818181</v>
      </c>
    </row>
    <row r="31" spans="1:17" ht="12.95" customHeight="1">
      <c r="B31" s="10"/>
      <c r="C31" s="11"/>
      <c r="D31" s="11"/>
      <c r="E31" s="316"/>
      <c r="F31" s="339">
        <v>614500</v>
      </c>
      <c r="G31" s="362" t="s">
        <v>582</v>
      </c>
      <c r="H31" s="23" t="s">
        <v>339</v>
      </c>
      <c r="I31" s="631">
        <v>150000</v>
      </c>
      <c r="J31" s="631">
        <v>150000</v>
      </c>
      <c r="K31" s="737">
        <v>100000</v>
      </c>
      <c r="L31" s="622">
        <v>0</v>
      </c>
      <c r="M31" s="326">
        <v>150000</v>
      </c>
      <c r="N31" s="719">
        <f t="shared" si="9"/>
        <v>150000</v>
      </c>
      <c r="O31" s="377">
        <f t="shared" si="2"/>
        <v>100</v>
      </c>
      <c r="Q31" s="646"/>
    </row>
    <row r="32" spans="1:17" ht="12.95" customHeight="1">
      <c r="B32" s="10"/>
      <c r="C32" s="11"/>
      <c r="D32" s="11"/>
      <c r="E32" s="316"/>
      <c r="F32" s="339">
        <v>614500</v>
      </c>
      <c r="G32" s="362" t="s">
        <v>583</v>
      </c>
      <c r="H32" s="23" t="s">
        <v>340</v>
      </c>
      <c r="I32" s="631">
        <v>100000</v>
      </c>
      <c r="J32" s="631">
        <v>100000</v>
      </c>
      <c r="K32" s="737">
        <v>100000</v>
      </c>
      <c r="L32" s="622">
        <v>0</v>
      </c>
      <c r="M32" s="326">
        <v>150000</v>
      </c>
      <c r="N32" s="719">
        <f t="shared" si="9"/>
        <v>150000</v>
      </c>
      <c r="O32" s="377">
        <f t="shared" si="2"/>
        <v>150</v>
      </c>
      <c r="Q32" s="80"/>
    </row>
    <row r="33" spans="1:17" s="314" customFormat="1" ht="12.95" customHeight="1">
      <c r="B33" s="315"/>
      <c r="C33" s="316"/>
      <c r="D33" s="316"/>
      <c r="E33" s="316"/>
      <c r="F33" s="336"/>
      <c r="G33" s="362"/>
      <c r="H33" s="316"/>
      <c r="I33" s="632"/>
      <c r="J33" s="632"/>
      <c r="K33" s="739"/>
      <c r="L33" s="588"/>
      <c r="M33" s="325"/>
      <c r="N33" s="721"/>
      <c r="O33" s="377" t="str">
        <f t="shared" ref="O33:O36" si="10">IF(J33=0,"",N33/J33*100)</f>
        <v/>
      </c>
      <c r="Q33" s="80"/>
    </row>
    <row r="34" spans="1:17" s="311" customFormat="1" ht="12.95" customHeight="1">
      <c r="B34" s="317"/>
      <c r="C34" s="8"/>
      <c r="D34" s="8"/>
      <c r="E34" s="8"/>
      <c r="F34" s="335">
        <v>615000</v>
      </c>
      <c r="G34" s="361"/>
      <c r="H34" s="8" t="s">
        <v>88</v>
      </c>
      <c r="I34" s="632">
        <f t="shared" ref="I34:K34" si="11">SUM(I35:I36)</f>
        <v>80000</v>
      </c>
      <c r="J34" s="632">
        <f t="shared" si="11"/>
        <v>80000</v>
      </c>
      <c r="K34" s="739">
        <f t="shared" si="11"/>
        <v>4000</v>
      </c>
      <c r="L34" s="588">
        <f t="shared" ref="L34" si="12">SUM(L35:L36)</f>
        <v>0</v>
      </c>
      <c r="M34" s="325">
        <f t="shared" ref="M34:N34" si="13">SUM(M35:M36)</f>
        <v>80000</v>
      </c>
      <c r="N34" s="721">
        <f t="shared" si="13"/>
        <v>80000</v>
      </c>
      <c r="O34" s="376">
        <f t="shared" si="10"/>
        <v>100</v>
      </c>
    </row>
    <row r="35" spans="1:17" s="311" customFormat="1" ht="12.95" customHeight="1">
      <c r="B35" s="317"/>
      <c r="C35" s="8"/>
      <c r="D35" s="25"/>
      <c r="E35" s="25"/>
      <c r="F35" s="339">
        <v>615100</v>
      </c>
      <c r="G35" s="365" t="s">
        <v>840</v>
      </c>
      <c r="H35" s="84" t="s">
        <v>786</v>
      </c>
      <c r="I35" s="631">
        <v>30000</v>
      </c>
      <c r="J35" s="631">
        <v>30000</v>
      </c>
      <c r="K35" s="737">
        <v>4000</v>
      </c>
      <c r="L35" s="622">
        <v>0</v>
      </c>
      <c r="M35" s="326">
        <v>30000</v>
      </c>
      <c r="N35" s="719">
        <f t="shared" ref="N35" si="14">SUM(L35:M35)</f>
        <v>30000</v>
      </c>
      <c r="O35" s="377">
        <f t="shared" ref="O35" si="15">IF(J35=0,"",N35/J35*100)</f>
        <v>100</v>
      </c>
    </row>
    <row r="36" spans="1:17" s="311" customFormat="1" ht="12.95" customHeight="1">
      <c r="B36" s="317"/>
      <c r="C36" s="8"/>
      <c r="D36" s="25"/>
      <c r="E36" s="25"/>
      <c r="F36" s="339">
        <v>615100</v>
      </c>
      <c r="G36" s="365" t="s">
        <v>841</v>
      </c>
      <c r="H36" s="84" t="s">
        <v>776</v>
      </c>
      <c r="I36" s="631">
        <v>50000</v>
      </c>
      <c r="J36" s="631">
        <v>50000</v>
      </c>
      <c r="K36" s="737">
        <v>0</v>
      </c>
      <c r="L36" s="622">
        <v>0</v>
      </c>
      <c r="M36" s="326">
        <v>50000</v>
      </c>
      <c r="N36" s="719">
        <f t="shared" ref="N36" si="16">SUM(L36:M36)</f>
        <v>50000</v>
      </c>
      <c r="O36" s="377">
        <f t="shared" si="10"/>
        <v>100</v>
      </c>
    </row>
    <row r="37" spans="1:17" ht="12.95" customHeight="1">
      <c r="B37" s="10"/>
      <c r="C37" s="11"/>
      <c r="D37" s="11"/>
      <c r="E37" s="316"/>
      <c r="F37" s="336"/>
      <c r="G37" s="362"/>
      <c r="H37" s="20"/>
      <c r="I37" s="735"/>
      <c r="J37" s="735"/>
      <c r="K37" s="736"/>
      <c r="L37" s="583"/>
      <c r="M37" s="310"/>
      <c r="N37" s="720"/>
      <c r="O37" s="377" t="str">
        <f t="shared" si="2"/>
        <v/>
      </c>
    </row>
    <row r="38" spans="1:17" s="1" customFormat="1" ht="12.95" customHeight="1">
      <c r="A38" s="311"/>
      <c r="B38" s="12"/>
      <c r="C38" s="8"/>
      <c r="D38" s="8"/>
      <c r="E38" s="8"/>
      <c r="F38" s="335">
        <v>821000</v>
      </c>
      <c r="G38" s="361"/>
      <c r="H38" s="8" t="s">
        <v>89</v>
      </c>
      <c r="I38" s="632">
        <f t="shared" ref="I38:N38" si="17">SUM(I39:I41)</f>
        <v>35000</v>
      </c>
      <c r="J38" s="632">
        <f t="shared" si="17"/>
        <v>35000</v>
      </c>
      <c r="K38" s="739">
        <f t="shared" si="17"/>
        <v>27041</v>
      </c>
      <c r="L38" s="588">
        <f t="shared" si="17"/>
        <v>5000</v>
      </c>
      <c r="M38" s="325">
        <f t="shared" si="17"/>
        <v>30000</v>
      </c>
      <c r="N38" s="721">
        <f t="shared" si="17"/>
        <v>35000</v>
      </c>
      <c r="O38" s="376">
        <f t="shared" si="2"/>
        <v>100</v>
      </c>
    </row>
    <row r="39" spans="1:17" ht="12.95" customHeight="1">
      <c r="B39" s="10"/>
      <c r="C39" s="11"/>
      <c r="D39" s="11"/>
      <c r="E39" s="316"/>
      <c r="F39" s="336">
        <v>821200</v>
      </c>
      <c r="G39" s="362"/>
      <c r="H39" s="11" t="s">
        <v>90</v>
      </c>
      <c r="I39" s="735">
        <v>0</v>
      </c>
      <c r="J39" s="735">
        <v>0</v>
      </c>
      <c r="K39" s="736">
        <v>0</v>
      </c>
      <c r="L39" s="583">
        <v>0</v>
      </c>
      <c r="M39" s="310">
        <v>0</v>
      </c>
      <c r="N39" s="719">
        <f t="shared" ref="N39:N40" si="18">SUM(L39:M39)</f>
        <v>0</v>
      </c>
      <c r="O39" s="377" t="str">
        <f t="shared" si="2"/>
        <v/>
      </c>
    </row>
    <row r="40" spans="1:17" ht="12.95" customHeight="1">
      <c r="B40" s="10"/>
      <c r="C40" s="11"/>
      <c r="D40" s="11"/>
      <c r="E40" s="316"/>
      <c r="F40" s="336">
        <v>821300</v>
      </c>
      <c r="G40" s="362"/>
      <c r="H40" s="11" t="s">
        <v>91</v>
      </c>
      <c r="I40" s="735">
        <v>35000</v>
      </c>
      <c r="J40" s="735">
        <v>35000</v>
      </c>
      <c r="K40" s="736">
        <v>27041</v>
      </c>
      <c r="L40" s="583">
        <v>5000</v>
      </c>
      <c r="M40" s="310">
        <v>30000</v>
      </c>
      <c r="N40" s="719">
        <f t="shared" si="18"/>
        <v>35000</v>
      </c>
      <c r="O40" s="377">
        <f t="shared" si="2"/>
        <v>100</v>
      </c>
    </row>
    <row r="41" spans="1:17" ht="12.95" customHeight="1">
      <c r="B41" s="10"/>
      <c r="C41" s="11"/>
      <c r="D41" s="11"/>
      <c r="E41" s="316"/>
      <c r="F41" s="336"/>
      <c r="G41" s="362"/>
      <c r="H41" s="20"/>
      <c r="I41" s="735"/>
      <c r="J41" s="735"/>
      <c r="K41" s="736"/>
      <c r="L41" s="583"/>
      <c r="M41" s="310"/>
      <c r="N41" s="720"/>
      <c r="O41" s="377" t="str">
        <f t="shared" si="2"/>
        <v/>
      </c>
    </row>
    <row r="42" spans="1:17" s="1" customFormat="1" ht="12.95" customHeight="1">
      <c r="A42" s="311"/>
      <c r="B42" s="12"/>
      <c r="C42" s="8"/>
      <c r="D42" s="8"/>
      <c r="E42" s="8"/>
      <c r="F42" s="335"/>
      <c r="G42" s="361"/>
      <c r="H42" s="8" t="s">
        <v>92</v>
      </c>
      <c r="I42" s="780" t="s">
        <v>785</v>
      </c>
      <c r="J42" s="780" t="s">
        <v>785</v>
      </c>
      <c r="K42" s="785">
        <v>24</v>
      </c>
      <c r="L42" s="627">
        <v>26</v>
      </c>
      <c r="M42" s="308"/>
      <c r="N42" s="722">
        <v>26</v>
      </c>
      <c r="O42" s="377"/>
      <c r="P42" s="311"/>
    </row>
    <row r="43" spans="1:17" s="1" customFormat="1" ht="12.95" customHeight="1">
      <c r="A43" s="311"/>
      <c r="B43" s="12"/>
      <c r="C43" s="8"/>
      <c r="D43" s="8"/>
      <c r="E43" s="8"/>
      <c r="F43" s="335"/>
      <c r="G43" s="361"/>
      <c r="H43" s="8" t="s">
        <v>110</v>
      </c>
      <c r="I43" s="575">
        <f t="shared" ref="I43:N43" si="19">I8+I13+I16+I28+I34+I38</f>
        <v>2339540</v>
      </c>
      <c r="J43" s="318">
        <f t="shared" si="19"/>
        <v>2339540</v>
      </c>
      <c r="K43" s="575">
        <f t="shared" si="19"/>
        <v>1707546</v>
      </c>
      <c r="L43" s="582">
        <f t="shared" si="19"/>
        <v>1893400</v>
      </c>
      <c r="M43" s="318">
        <f t="shared" si="19"/>
        <v>530000</v>
      </c>
      <c r="N43" s="721">
        <f t="shared" si="19"/>
        <v>2423400</v>
      </c>
      <c r="O43" s="376">
        <f t="shared" si="2"/>
        <v>103.58446532224283</v>
      </c>
    </row>
    <row r="44" spans="1:17" s="1" customFormat="1" ht="12.95" customHeight="1">
      <c r="A44" s="311"/>
      <c r="B44" s="12"/>
      <c r="C44" s="8"/>
      <c r="D44" s="8"/>
      <c r="E44" s="8"/>
      <c r="F44" s="335"/>
      <c r="G44" s="361"/>
      <c r="H44" s="8" t="s">
        <v>93</v>
      </c>
      <c r="I44" s="15">
        <f>I43</f>
        <v>2339540</v>
      </c>
      <c r="J44" s="15">
        <f>J43</f>
        <v>2339540</v>
      </c>
      <c r="K44" s="575">
        <f t="shared" ref="K44" si="20">K43</f>
        <v>1707546</v>
      </c>
      <c r="L44" s="582">
        <f t="shared" ref="L44:N45" si="21">L43</f>
        <v>1893400</v>
      </c>
      <c r="M44" s="318">
        <f t="shared" si="21"/>
        <v>530000</v>
      </c>
      <c r="N44" s="721">
        <f t="shared" si="21"/>
        <v>2423400</v>
      </c>
      <c r="O44" s="376">
        <f t="shared" si="2"/>
        <v>103.58446532224283</v>
      </c>
    </row>
    <row r="45" spans="1:17" s="1" customFormat="1" ht="12.95" customHeight="1">
      <c r="A45" s="311"/>
      <c r="B45" s="12"/>
      <c r="C45" s="8"/>
      <c r="D45" s="8"/>
      <c r="E45" s="8"/>
      <c r="F45" s="335"/>
      <c r="G45" s="361"/>
      <c r="H45" s="8" t="s">
        <v>94</v>
      </c>
      <c r="I45" s="15">
        <f>I44</f>
        <v>2339540</v>
      </c>
      <c r="J45" s="15">
        <f>J44</f>
        <v>2339540</v>
      </c>
      <c r="K45" s="575">
        <f t="shared" ref="K45" si="22">K44</f>
        <v>1707546</v>
      </c>
      <c r="L45" s="582">
        <f t="shared" si="21"/>
        <v>1893400</v>
      </c>
      <c r="M45" s="318">
        <f t="shared" si="21"/>
        <v>530000</v>
      </c>
      <c r="N45" s="721">
        <f t="shared" si="21"/>
        <v>2423400</v>
      </c>
      <c r="O45" s="376">
        <f t="shared" si="2"/>
        <v>103.58446532224283</v>
      </c>
    </row>
    <row r="46" spans="1:17" ht="12.95" customHeight="1" thickBot="1">
      <c r="B46" s="16"/>
      <c r="C46" s="17"/>
      <c r="D46" s="17"/>
      <c r="E46" s="17"/>
      <c r="F46" s="337"/>
      <c r="G46" s="363"/>
      <c r="H46" s="17"/>
      <c r="I46" s="32"/>
      <c r="J46" s="32"/>
      <c r="K46" s="576"/>
      <c r="L46" s="585"/>
      <c r="M46" s="32"/>
      <c r="N46" s="723"/>
      <c r="O46" s="379"/>
    </row>
    <row r="47" spans="1:17" ht="12.95" customHeight="1">
      <c r="F47" s="338"/>
      <c r="G47" s="364"/>
      <c r="N47" s="423"/>
    </row>
    <row r="48" spans="1:17" ht="12.95" customHeight="1">
      <c r="B48" s="55"/>
      <c r="F48" s="338"/>
      <c r="G48" s="364"/>
      <c r="N48" s="423"/>
      <c r="O48" s="840"/>
    </row>
    <row r="49" spans="2:14" ht="12.95" customHeight="1">
      <c r="B49" s="55"/>
      <c r="F49" s="338"/>
      <c r="G49" s="364"/>
      <c r="N49" s="423"/>
    </row>
    <row r="50" spans="2:14" ht="12.95" customHeight="1">
      <c r="B50" s="55"/>
      <c r="F50" s="338"/>
      <c r="G50" s="364"/>
      <c r="N50" s="423"/>
    </row>
    <row r="51" spans="2:14" ht="12.95" customHeight="1">
      <c r="F51" s="338"/>
      <c r="G51" s="364"/>
      <c r="N51" s="423"/>
    </row>
    <row r="52" spans="2:14" ht="12.95" customHeight="1">
      <c r="F52" s="338"/>
      <c r="G52" s="364"/>
      <c r="N52" s="423"/>
    </row>
    <row r="53" spans="2:14" ht="12.95" customHeight="1">
      <c r="F53" s="338"/>
      <c r="G53" s="364"/>
      <c r="N53" s="423"/>
    </row>
    <row r="54" spans="2:14" ht="12.95" customHeight="1">
      <c r="F54" s="338"/>
      <c r="G54" s="364"/>
      <c r="N54" s="423"/>
    </row>
    <row r="55" spans="2:14" ht="12.95" customHeight="1">
      <c r="F55" s="338"/>
      <c r="G55" s="364"/>
      <c r="N55" s="423"/>
    </row>
    <row r="56" spans="2:14" ht="12.95" customHeight="1">
      <c r="F56" s="338"/>
      <c r="G56" s="364"/>
      <c r="N56" s="423"/>
    </row>
    <row r="57" spans="2:14" ht="12.95" customHeight="1">
      <c r="F57" s="338"/>
      <c r="G57" s="364"/>
      <c r="N57" s="423"/>
    </row>
    <row r="58" spans="2:14" ht="12.95" customHeight="1">
      <c r="F58" s="338"/>
      <c r="G58" s="364"/>
      <c r="N58" s="423"/>
    </row>
    <row r="59" spans="2:14" ht="12.95" customHeight="1">
      <c r="F59" s="338"/>
      <c r="G59" s="364"/>
      <c r="N59" s="423"/>
    </row>
    <row r="60" spans="2:14" ht="12.95" customHeight="1">
      <c r="F60" s="338"/>
      <c r="G60" s="364"/>
      <c r="N60" s="423"/>
    </row>
    <row r="61" spans="2:14" ht="12.95" customHeight="1">
      <c r="F61" s="338"/>
      <c r="G61" s="364"/>
      <c r="N61" s="423"/>
    </row>
    <row r="62" spans="2:14" ht="12.95" customHeight="1">
      <c r="F62" s="338"/>
      <c r="G62" s="364"/>
      <c r="N62" s="423"/>
    </row>
    <row r="63" spans="2:14" ht="12.95" customHeight="1">
      <c r="F63" s="338"/>
      <c r="G63" s="364"/>
      <c r="N63" s="423"/>
    </row>
    <row r="64" spans="2:14" ht="17.100000000000001" customHeight="1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64"/>
      <c r="N74" s="423"/>
    </row>
    <row r="75" spans="6:14" ht="14.25">
      <c r="F75" s="338"/>
      <c r="G75" s="364"/>
      <c r="N75" s="423"/>
    </row>
    <row r="76" spans="6:14" ht="14.25">
      <c r="F76" s="338"/>
      <c r="G76" s="364"/>
      <c r="N76" s="423"/>
    </row>
    <row r="77" spans="6:14" ht="14.25">
      <c r="F77" s="338"/>
      <c r="G77" s="364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 ht="14.25">
      <c r="F91" s="338"/>
      <c r="G91" s="338"/>
      <c r="N91" s="423"/>
    </row>
    <row r="92" spans="6:14" ht="14.25">
      <c r="F92" s="338"/>
      <c r="G92" s="338"/>
      <c r="N92" s="423"/>
    </row>
    <row r="93" spans="6:14" ht="14.25">
      <c r="F93" s="338"/>
      <c r="G93" s="338"/>
      <c r="N93" s="423"/>
    </row>
    <row r="94" spans="6:14" ht="14.25">
      <c r="F94" s="338"/>
      <c r="G94" s="338"/>
      <c r="N94" s="423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R94"/>
  <sheetViews>
    <sheetView topLeftCell="D10" zoomScaleNormal="100" zoomScaleSheetLayoutView="100" workbookViewId="0">
      <selection activeCell="O58" sqref="O5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751</v>
      </c>
      <c r="C2" s="898"/>
      <c r="D2" s="898"/>
      <c r="E2" s="898"/>
      <c r="F2" s="898"/>
      <c r="G2" s="898"/>
      <c r="H2" s="898"/>
      <c r="I2" s="898"/>
      <c r="J2" s="409"/>
      <c r="K2" s="409"/>
      <c r="L2" s="411"/>
      <c r="M2" s="411"/>
      <c r="N2" s="411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542" customFormat="1" ht="11.1" customHeight="1"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80</v>
      </c>
      <c r="D7" s="7" t="s">
        <v>81</v>
      </c>
      <c r="E7" s="667" t="s">
        <v>826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69">
        <f t="shared" ref="I8:N8" si="0">SUM(I9:I12)</f>
        <v>304290</v>
      </c>
      <c r="J8" s="769">
        <f t="shared" si="0"/>
        <v>304290</v>
      </c>
      <c r="K8" s="775">
        <f t="shared" si="0"/>
        <v>226049</v>
      </c>
      <c r="L8" s="590">
        <f t="shared" si="0"/>
        <v>307210</v>
      </c>
      <c r="M8" s="249">
        <f t="shared" si="0"/>
        <v>0</v>
      </c>
      <c r="N8" s="718">
        <f t="shared" si="0"/>
        <v>307210</v>
      </c>
      <c r="O8" s="376">
        <f>IF(J8=0,"",N8/J8*100)</f>
        <v>100.95961089749909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0">
        <v>263650</v>
      </c>
      <c r="J9" s="770">
        <v>263650</v>
      </c>
      <c r="K9" s="776">
        <v>197226</v>
      </c>
      <c r="L9" s="620">
        <f>266830+400</f>
        <v>267230</v>
      </c>
      <c r="M9" s="251">
        <v>0</v>
      </c>
      <c r="N9" s="719">
        <f>SUM(L9:M9)</f>
        <v>267230</v>
      </c>
      <c r="O9" s="377">
        <f>IF(J9=0,"",N9/J9*100)</f>
        <v>101.35786080030343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0">
        <v>40640</v>
      </c>
      <c r="J10" s="770">
        <v>40640</v>
      </c>
      <c r="K10" s="776">
        <v>28823</v>
      </c>
      <c r="L10" s="620">
        <f>38880+1100</f>
        <v>39980</v>
      </c>
      <c r="M10" s="251">
        <v>0</v>
      </c>
      <c r="N10" s="719">
        <f t="shared" ref="N10:N11" si="1">SUM(L10:M10)</f>
        <v>39980</v>
      </c>
      <c r="O10" s="377">
        <f t="shared" ref="O10:O53" si="2">IF(J10=0,"",N10/J10*100)</f>
        <v>98.375984251968504</v>
      </c>
      <c r="Q10" s="63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71">
        <v>0</v>
      </c>
      <c r="J11" s="771">
        <v>0</v>
      </c>
      <c r="K11" s="777">
        <v>0</v>
      </c>
      <c r="L11" s="591">
        <v>0</v>
      </c>
      <c r="M11" s="250">
        <v>0</v>
      </c>
      <c r="N11" s="719">
        <f t="shared" si="1"/>
        <v>0</v>
      </c>
      <c r="O11" s="377" t="str">
        <f t="shared" si="2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770"/>
      <c r="J12" s="770"/>
      <c r="K12" s="776"/>
      <c r="L12" s="620"/>
      <c r="M12" s="251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69">
        <f t="shared" ref="I13:N13" si="3">I14</f>
        <v>28410</v>
      </c>
      <c r="J13" s="769">
        <f t="shared" si="3"/>
        <v>28410</v>
      </c>
      <c r="K13" s="775">
        <f t="shared" si="3"/>
        <v>20798</v>
      </c>
      <c r="L13" s="590">
        <f t="shared" si="3"/>
        <v>28350</v>
      </c>
      <c r="M13" s="249">
        <f t="shared" si="3"/>
        <v>0</v>
      </c>
      <c r="N13" s="718">
        <f t="shared" si="3"/>
        <v>28350</v>
      </c>
      <c r="O13" s="376">
        <f t="shared" si="2"/>
        <v>99.788806758183739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0">
        <v>28410</v>
      </c>
      <c r="J14" s="770">
        <v>28410</v>
      </c>
      <c r="K14" s="776">
        <v>20798</v>
      </c>
      <c r="L14" s="620">
        <f>28150+200</f>
        <v>28350</v>
      </c>
      <c r="M14" s="251">
        <v>0</v>
      </c>
      <c r="N14" s="719">
        <f>SUM(L14:M14)</f>
        <v>28350</v>
      </c>
      <c r="O14" s="377">
        <f t="shared" si="2"/>
        <v>99.788806758183739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631"/>
      <c r="J15" s="631"/>
      <c r="K15" s="737"/>
      <c r="L15" s="622"/>
      <c r="M15" s="326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632">
        <f t="shared" ref="I16:N16" si="4">SUM(I17:I28)</f>
        <v>85400</v>
      </c>
      <c r="J16" s="632">
        <f t="shared" si="4"/>
        <v>92744</v>
      </c>
      <c r="K16" s="739">
        <f t="shared" si="4"/>
        <v>65021</v>
      </c>
      <c r="L16" s="588">
        <f t="shared" si="4"/>
        <v>89900</v>
      </c>
      <c r="M16" s="325">
        <f t="shared" si="4"/>
        <v>7350</v>
      </c>
      <c r="N16" s="721">
        <f t="shared" si="4"/>
        <v>97250</v>
      </c>
      <c r="O16" s="376">
        <f t="shared" si="2"/>
        <v>104.85853532303977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7">
        <v>4000</v>
      </c>
      <c r="J17" s="737">
        <v>4000</v>
      </c>
      <c r="K17" s="737">
        <v>2620</v>
      </c>
      <c r="L17" s="571">
        <v>4000</v>
      </c>
      <c r="M17" s="397">
        <v>0</v>
      </c>
      <c r="N17" s="719">
        <f t="shared" ref="N17:N28" si="5">SUM(L17:M17)</f>
        <v>4000</v>
      </c>
      <c r="O17" s="377">
        <f t="shared" si="2"/>
        <v>100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37">
        <v>0</v>
      </c>
      <c r="J18" s="737">
        <v>0</v>
      </c>
      <c r="K18" s="737">
        <v>0</v>
      </c>
      <c r="L18" s="571">
        <v>0</v>
      </c>
      <c r="M18" s="397">
        <v>0</v>
      </c>
      <c r="N18" s="719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7">
        <v>3700</v>
      </c>
      <c r="J19" s="737">
        <v>3700</v>
      </c>
      <c r="K19" s="737">
        <v>2427</v>
      </c>
      <c r="L19" s="571">
        <v>3700</v>
      </c>
      <c r="M19" s="397">
        <v>0</v>
      </c>
      <c r="N19" s="719">
        <f t="shared" si="5"/>
        <v>3700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7700</v>
      </c>
      <c r="J20" s="737">
        <f>7700+7344</f>
        <v>15044</v>
      </c>
      <c r="K20" s="737">
        <v>13379</v>
      </c>
      <c r="L20" s="571">
        <v>7700</v>
      </c>
      <c r="M20" s="397">
        <v>7350</v>
      </c>
      <c r="N20" s="719">
        <f t="shared" si="5"/>
        <v>15050</v>
      </c>
      <c r="O20" s="377">
        <f t="shared" si="2"/>
        <v>100.03988300983781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0</v>
      </c>
      <c r="J21" s="737">
        <v>0</v>
      </c>
      <c r="K21" s="737">
        <v>0</v>
      </c>
      <c r="L21" s="571">
        <v>0</v>
      </c>
      <c r="M21" s="397">
        <v>0</v>
      </c>
      <c r="N21" s="719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73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2000</v>
      </c>
      <c r="J23" s="737">
        <v>2000</v>
      </c>
      <c r="K23" s="737">
        <v>658</v>
      </c>
      <c r="L23" s="571">
        <v>2000</v>
      </c>
      <c r="M23" s="397">
        <v>0</v>
      </c>
      <c r="N23" s="719">
        <f t="shared" si="5"/>
        <v>2000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73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613800</v>
      </c>
      <c r="G25" s="362"/>
      <c r="H25" s="20" t="s">
        <v>159</v>
      </c>
      <c r="I25" s="737">
        <v>0</v>
      </c>
      <c r="J25" s="737">
        <v>0</v>
      </c>
      <c r="K25" s="737">
        <v>0</v>
      </c>
      <c r="L25" s="571">
        <v>0</v>
      </c>
      <c r="M25" s="397">
        <v>0</v>
      </c>
      <c r="N25" s="719">
        <f t="shared" si="5"/>
        <v>0</v>
      </c>
      <c r="O25" s="377" t="str">
        <f t="shared" si="2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150</v>
      </c>
      <c r="I26" s="737">
        <v>18000</v>
      </c>
      <c r="J26" s="737">
        <v>24000</v>
      </c>
      <c r="K26" s="737">
        <v>21643</v>
      </c>
      <c r="L26" s="571">
        <v>32500</v>
      </c>
      <c r="M26" s="397">
        <v>0</v>
      </c>
      <c r="N26" s="719">
        <f t="shared" si="5"/>
        <v>32500</v>
      </c>
      <c r="O26" s="377">
        <f t="shared" si="2"/>
        <v>135.41666666666669</v>
      </c>
    </row>
    <row r="27" spans="1:16" ht="12.95" customHeight="1">
      <c r="B27" s="10"/>
      <c r="C27" s="11"/>
      <c r="D27" s="11"/>
      <c r="E27" s="316"/>
      <c r="F27" s="336">
        <v>613900</v>
      </c>
      <c r="G27" s="362" t="s">
        <v>584</v>
      </c>
      <c r="H27" s="20" t="s">
        <v>153</v>
      </c>
      <c r="I27" s="737">
        <v>50000</v>
      </c>
      <c r="J27" s="737">
        <v>44000</v>
      </c>
      <c r="K27" s="737">
        <v>24294</v>
      </c>
      <c r="L27" s="571">
        <v>40000</v>
      </c>
      <c r="M27" s="397">
        <v>0</v>
      </c>
      <c r="N27" s="719">
        <f t="shared" si="5"/>
        <v>40000</v>
      </c>
      <c r="O27" s="377">
        <f t="shared" si="2"/>
        <v>90.909090909090907</v>
      </c>
    </row>
    <row r="28" spans="1:16" ht="12.95" customHeight="1">
      <c r="B28" s="10"/>
      <c r="C28" s="11"/>
      <c r="D28" s="11"/>
      <c r="E28" s="316"/>
      <c r="F28" s="336">
        <v>613900</v>
      </c>
      <c r="G28" s="362"/>
      <c r="H28" s="210" t="s">
        <v>465</v>
      </c>
      <c r="I28" s="737">
        <v>0</v>
      </c>
      <c r="J28" s="737">
        <v>0</v>
      </c>
      <c r="K28" s="737">
        <v>0</v>
      </c>
      <c r="L28" s="571">
        <v>0</v>
      </c>
      <c r="M28" s="397">
        <v>0</v>
      </c>
      <c r="N28" s="719">
        <f t="shared" si="5"/>
        <v>0</v>
      </c>
      <c r="O28" s="377" t="str">
        <f t="shared" si="2"/>
        <v/>
      </c>
    </row>
    <row r="29" spans="1:16" ht="8.1" customHeight="1">
      <c r="B29" s="10"/>
      <c r="C29" s="11"/>
      <c r="D29" s="11"/>
      <c r="E29" s="316"/>
      <c r="F29" s="336"/>
      <c r="G29" s="362"/>
      <c r="H29" s="11"/>
      <c r="I29" s="631"/>
      <c r="J29" s="631"/>
      <c r="K29" s="737"/>
      <c r="L29" s="622"/>
      <c r="M29" s="326"/>
      <c r="N29" s="720"/>
      <c r="O29" s="377" t="str">
        <f t="shared" si="2"/>
        <v/>
      </c>
    </row>
    <row r="30" spans="1:16" s="1" customFormat="1" ht="12.95" customHeight="1">
      <c r="A30" s="311"/>
      <c r="B30" s="12"/>
      <c r="C30" s="8"/>
      <c r="D30" s="8"/>
      <c r="E30" s="669"/>
      <c r="F30" s="335">
        <v>614000</v>
      </c>
      <c r="G30" s="361"/>
      <c r="H30" s="8" t="s">
        <v>178</v>
      </c>
      <c r="I30" s="632">
        <f>SUM(I31:I40)</f>
        <v>1170000</v>
      </c>
      <c r="J30" s="632">
        <f>SUM(J31:J40)</f>
        <v>1170000</v>
      </c>
      <c r="K30" s="739">
        <f t="shared" ref="K30" si="6">SUM(K31:K40)</f>
        <v>775403</v>
      </c>
      <c r="L30" s="588">
        <f>SUM(L31:L40)</f>
        <v>1158800</v>
      </c>
      <c r="M30" s="325">
        <f>SUM(M31:M40)</f>
        <v>0</v>
      </c>
      <c r="N30" s="721">
        <f>SUM(N31:N40)</f>
        <v>1158800</v>
      </c>
      <c r="O30" s="376">
        <f t="shared" si="2"/>
        <v>99.042735042735046</v>
      </c>
    </row>
    <row r="31" spans="1:16" s="113" customFormat="1" ht="28.5" customHeight="1">
      <c r="B31" s="108"/>
      <c r="C31" s="109"/>
      <c r="D31" s="110"/>
      <c r="E31" s="670" t="s">
        <v>827</v>
      </c>
      <c r="F31" s="340">
        <v>614100</v>
      </c>
      <c r="G31" s="366" t="s">
        <v>585</v>
      </c>
      <c r="H31" s="111" t="s">
        <v>195</v>
      </c>
      <c r="I31" s="796">
        <v>125000</v>
      </c>
      <c r="J31" s="796">
        <v>125000</v>
      </c>
      <c r="K31" s="797">
        <v>96936</v>
      </c>
      <c r="L31" s="630">
        <v>125000</v>
      </c>
      <c r="M31" s="305">
        <v>0</v>
      </c>
      <c r="N31" s="719">
        <f t="shared" ref="N31:N38" si="7">SUM(L31:M31)</f>
        <v>125000</v>
      </c>
      <c r="O31" s="377">
        <f t="shared" si="2"/>
        <v>100</v>
      </c>
      <c r="P31" s="112"/>
    </row>
    <row r="32" spans="1:16" s="314" customFormat="1" ht="12.95" customHeight="1">
      <c r="B32" s="315"/>
      <c r="C32" s="316"/>
      <c r="D32" s="316"/>
      <c r="E32" s="671"/>
      <c r="F32" s="341">
        <v>614100</v>
      </c>
      <c r="G32" s="367" t="s">
        <v>685</v>
      </c>
      <c r="H32" s="547" t="s">
        <v>697</v>
      </c>
      <c r="I32" s="631">
        <v>0</v>
      </c>
      <c r="J32" s="631">
        <v>0</v>
      </c>
      <c r="K32" s="737">
        <v>0</v>
      </c>
      <c r="L32" s="622">
        <v>0</v>
      </c>
      <c r="M32" s="326">
        <v>0</v>
      </c>
      <c r="N32" s="719">
        <f t="shared" si="7"/>
        <v>0</v>
      </c>
      <c r="O32" s="377" t="str">
        <f t="shared" si="2"/>
        <v/>
      </c>
    </row>
    <row r="33" spans="1:18" s="314" customFormat="1" ht="12.95" customHeight="1">
      <c r="B33" s="315"/>
      <c r="C33" s="316"/>
      <c r="D33" s="316"/>
      <c r="E33" s="671"/>
      <c r="F33" s="341">
        <v>614100</v>
      </c>
      <c r="G33" s="367" t="s">
        <v>686</v>
      </c>
      <c r="H33" s="265" t="s">
        <v>586</v>
      </c>
      <c r="I33" s="631">
        <v>0</v>
      </c>
      <c r="J33" s="631">
        <v>0</v>
      </c>
      <c r="K33" s="737">
        <v>0</v>
      </c>
      <c r="L33" s="622">
        <v>0</v>
      </c>
      <c r="M33" s="326">
        <v>0</v>
      </c>
      <c r="N33" s="719">
        <f t="shared" si="7"/>
        <v>0</v>
      </c>
      <c r="O33" s="377"/>
    </row>
    <row r="34" spans="1:18" ht="12.95" customHeight="1">
      <c r="B34" s="10"/>
      <c r="C34" s="11"/>
      <c r="D34" s="11"/>
      <c r="E34" s="671"/>
      <c r="F34" s="341">
        <v>614100</v>
      </c>
      <c r="G34" s="367" t="s">
        <v>587</v>
      </c>
      <c r="H34" s="83" t="s">
        <v>341</v>
      </c>
      <c r="I34" s="631">
        <v>240000</v>
      </c>
      <c r="J34" s="631">
        <v>240000</v>
      </c>
      <c r="K34" s="737">
        <v>83347</v>
      </c>
      <c r="L34" s="622">
        <v>228800</v>
      </c>
      <c r="M34" s="326">
        <v>0</v>
      </c>
      <c r="N34" s="719">
        <f t="shared" si="7"/>
        <v>228800</v>
      </c>
      <c r="O34" s="377">
        <f t="shared" si="2"/>
        <v>95.333333333333343</v>
      </c>
    </row>
    <row r="35" spans="1:18" ht="12.95" customHeight="1">
      <c r="B35" s="10"/>
      <c r="C35" s="11"/>
      <c r="D35" s="11"/>
      <c r="E35" s="672" t="s">
        <v>827</v>
      </c>
      <c r="F35" s="336">
        <v>614200</v>
      </c>
      <c r="G35" s="362" t="s">
        <v>588</v>
      </c>
      <c r="H35" s="23" t="s">
        <v>109</v>
      </c>
      <c r="I35" s="631">
        <v>150000</v>
      </c>
      <c r="J35" s="631">
        <v>150000</v>
      </c>
      <c r="K35" s="737">
        <v>118800</v>
      </c>
      <c r="L35" s="622">
        <v>150000</v>
      </c>
      <c r="M35" s="326">
        <v>0</v>
      </c>
      <c r="N35" s="719">
        <f t="shared" si="7"/>
        <v>150000</v>
      </c>
      <c r="O35" s="377">
        <f t="shared" si="2"/>
        <v>100</v>
      </c>
    </row>
    <row r="36" spans="1:18" s="113" customFormat="1" ht="27.75" customHeight="1">
      <c r="B36" s="108"/>
      <c r="C36" s="109"/>
      <c r="D36" s="109"/>
      <c r="E36" s="673" t="s">
        <v>830</v>
      </c>
      <c r="F36" s="340">
        <v>614200</v>
      </c>
      <c r="G36" s="366" t="s">
        <v>589</v>
      </c>
      <c r="H36" s="114" t="s">
        <v>675</v>
      </c>
      <c r="I36" s="796">
        <v>15000</v>
      </c>
      <c r="J36" s="796">
        <v>15000</v>
      </c>
      <c r="K36" s="797">
        <v>15000</v>
      </c>
      <c r="L36" s="630">
        <v>15000</v>
      </c>
      <c r="M36" s="305">
        <v>0</v>
      </c>
      <c r="N36" s="719">
        <f t="shared" si="7"/>
        <v>15000</v>
      </c>
      <c r="O36" s="377">
        <f t="shared" si="2"/>
        <v>100</v>
      </c>
    </row>
    <row r="37" spans="1:18" ht="12.95" customHeight="1">
      <c r="B37" s="10"/>
      <c r="C37" s="11"/>
      <c r="D37" s="11"/>
      <c r="E37" s="672" t="s">
        <v>831</v>
      </c>
      <c r="F37" s="336">
        <v>614300</v>
      </c>
      <c r="G37" s="362" t="s">
        <v>590</v>
      </c>
      <c r="H37" s="23" t="s">
        <v>99</v>
      </c>
      <c r="I37" s="631">
        <v>100000</v>
      </c>
      <c r="J37" s="631">
        <v>100000</v>
      </c>
      <c r="K37" s="737">
        <v>75000</v>
      </c>
      <c r="L37" s="622">
        <v>100000</v>
      </c>
      <c r="M37" s="326">
        <v>0</v>
      </c>
      <c r="N37" s="719">
        <f t="shared" si="7"/>
        <v>100000</v>
      </c>
      <c r="O37" s="377">
        <f t="shared" si="2"/>
        <v>100</v>
      </c>
    </row>
    <row r="38" spans="1:18" ht="12.95" customHeight="1">
      <c r="B38" s="10"/>
      <c r="C38" s="11"/>
      <c r="D38" s="11"/>
      <c r="E38" s="672" t="s">
        <v>832</v>
      </c>
      <c r="F38" s="336">
        <v>614300</v>
      </c>
      <c r="G38" s="362" t="s">
        <v>591</v>
      </c>
      <c r="H38" s="23" t="s">
        <v>100</v>
      </c>
      <c r="I38" s="631">
        <v>220000</v>
      </c>
      <c r="J38" s="631">
        <v>220000</v>
      </c>
      <c r="K38" s="737">
        <v>188320</v>
      </c>
      <c r="L38" s="622">
        <v>220000</v>
      </c>
      <c r="M38" s="326">
        <v>0</v>
      </c>
      <c r="N38" s="719">
        <f t="shared" si="7"/>
        <v>220000</v>
      </c>
      <c r="O38" s="377">
        <f t="shared" si="2"/>
        <v>100</v>
      </c>
      <c r="P38" s="640"/>
    </row>
    <row r="39" spans="1:18" s="314" customFormat="1" ht="12.95" customHeight="1">
      <c r="B39" s="315"/>
      <c r="C39" s="316"/>
      <c r="D39" s="316"/>
      <c r="E39" s="671" t="s">
        <v>829</v>
      </c>
      <c r="F39" s="341">
        <v>614300</v>
      </c>
      <c r="G39" s="367" t="s">
        <v>716</v>
      </c>
      <c r="H39" s="547" t="s">
        <v>697</v>
      </c>
      <c r="I39" s="631">
        <v>240000</v>
      </c>
      <c r="J39" s="631">
        <v>240000</v>
      </c>
      <c r="K39" s="737">
        <v>171700</v>
      </c>
      <c r="L39" s="622">
        <v>240000</v>
      </c>
      <c r="M39" s="326">
        <v>0</v>
      </c>
      <c r="N39" s="719">
        <f t="shared" ref="N39:N40" si="8">SUM(L39:M39)</f>
        <v>240000</v>
      </c>
      <c r="O39" s="377">
        <f t="shared" ref="O39" si="9">IF(J39=0,"",N39/J39*100)</f>
        <v>100</v>
      </c>
    </row>
    <row r="40" spans="1:18" s="314" customFormat="1" ht="12.95" customHeight="1">
      <c r="B40" s="315"/>
      <c r="C40" s="316"/>
      <c r="D40" s="316"/>
      <c r="E40" s="671" t="s">
        <v>828</v>
      </c>
      <c r="F40" s="341">
        <v>614300</v>
      </c>
      <c r="G40" s="367" t="s">
        <v>717</v>
      </c>
      <c r="H40" s="547" t="s">
        <v>586</v>
      </c>
      <c r="I40" s="631">
        <v>80000</v>
      </c>
      <c r="J40" s="631">
        <v>80000</v>
      </c>
      <c r="K40" s="737">
        <v>26300</v>
      </c>
      <c r="L40" s="622">
        <v>80000</v>
      </c>
      <c r="M40" s="326">
        <v>0</v>
      </c>
      <c r="N40" s="719">
        <f t="shared" si="8"/>
        <v>80000</v>
      </c>
      <c r="O40" s="377"/>
    </row>
    <row r="41" spans="1:18" ht="8.1" customHeight="1">
      <c r="B41" s="10"/>
      <c r="C41" s="11"/>
      <c r="D41" s="11"/>
      <c r="E41" s="672"/>
      <c r="F41" s="336"/>
      <c r="G41" s="362"/>
      <c r="H41" s="23"/>
      <c r="I41" s="631"/>
      <c r="J41" s="631"/>
      <c r="K41" s="737"/>
      <c r="L41" s="622"/>
      <c r="M41" s="326"/>
      <c r="N41" s="720"/>
      <c r="O41" s="377" t="str">
        <f t="shared" si="2"/>
        <v/>
      </c>
      <c r="P41" s="77"/>
    </row>
    <row r="42" spans="1:18" ht="12.95" customHeight="1">
      <c r="B42" s="10"/>
      <c r="C42" s="11"/>
      <c r="D42" s="11"/>
      <c r="E42" s="672"/>
      <c r="F42" s="335">
        <v>616000</v>
      </c>
      <c r="G42" s="361"/>
      <c r="H42" s="26" t="s">
        <v>179</v>
      </c>
      <c r="I42" s="632">
        <f t="shared" ref="I42:N42" si="10">I43</f>
        <v>0</v>
      </c>
      <c r="J42" s="632">
        <f t="shared" si="10"/>
        <v>0</v>
      </c>
      <c r="K42" s="739">
        <f t="shared" si="10"/>
        <v>0</v>
      </c>
      <c r="L42" s="588">
        <f t="shared" si="10"/>
        <v>0</v>
      </c>
      <c r="M42" s="325">
        <f t="shared" si="10"/>
        <v>0</v>
      </c>
      <c r="N42" s="721">
        <f t="shared" si="10"/>
        <v>0</v>
      </c>
      <c r="O42" s="376" t="str">
        <f t="shared" si="2"/>
        <v/>
      </c>
    </row>
    <row r="43" spans="1:18" ht="12.95" customHeight="1">
      <c r="B43" s="10"/>
      <c r="C43" s="11"/>
      <c r="D43" s="11"/>
      <c r="E43" s="672"/>
      <c r="F43" s="336">
        <v>616300</v>
      </c>
      <c r="G43" s="362"/>
      <c r="H43" s="44" t="s">
        <v>188</v>
      </c>
      <c r="I43" s="631">
        <v>0</v>
      </c>
      <c r="J43" s="631">
        <v>0</v>
      </c>
      <c r="K43" s="737">
        <v>0</v>
      </c>
      <c r="L43" s="622">
        <v>0</v>
      </c>
      <c r="M43" s="326">
        <v>0</v>
      </c>
      <c r="N43" s="719">
        <f>SUM(L43:M43)</f>
        <v>0</v>
      </c>
      <c r="O43" s="377" t="str">
        <f t="shared" si="2"/>
        <v/>
      </c>
    </row>
    <row r="44" spans="1:18" ht="8.1" customHeight="1">
      <c r="B44" s="10"/>
      <c r="C44" s="11"/>
      <c r="D44" s="11"/>
      <c r="E44" s="672"/>
      <c r="F44" s="336"/>
      <c r="G44" s="362"/>
      <c r="H44" s="11"/>
      <c r="I44" s="735"/>
      <c r="J44" s="735"/>
      <c r="K44" s="736"/>
      <c r="L44" s="583"/>
      <c r="M44" s="310"/>
      <c r="N44" s="720"/>
      <c r="O44" s="377" t="str">
        <f t="shared" si="2"/>
        <v/>
      </c>
    </row>
    <row r="45" spans="1:18" s="1" customFormat="1" ht="12.95" customHeight="1">
      <c r="A45" s="311"/>
      <c r="B45" s="12"/>
      <c r="C45" s="8"/>
      <c r="D45" s="8"/>
      <c r="E45" s="669"/>
      <c r="F45" s="335">
        <v>821000</v>
      </c>
      <c r="G45" s="361"/>
      <c r="H45" s="8" t="s">
        <v>89</v>
      </c>
      <c r="I45" s="632">
        <f t="shared" ref="I45:N45" si="11">SUM(I46:I47)</f>
        <v>504910</v>
      </c>
      <c r="J45" s="632">
        <f t="shared" si="11"/>
        <v>504910</v>
      </c>
      <c r="K45" s="739">
        <f t="shared" si="11"/>
        <v>288453</v>
      </c>
      <c r="L45" s="588">
        <f t="shared" si="11"/>
        <v>152500</v>
      </c>
      <c r="M45" s="325">
        <f t="shared" si="11"/>
        <v>351230</v>
      </c>
      <c r="N45" s="721">
        <f t="shared" si="11"/>
        <v>503730</v>
      </c>
      <c r="O45" s="376">
        <f t="shared" si="2"/>
        <v>99.766294983264345</v>
      </c>
    </row>
    <row r="46" spans="1:18" ht="12.95" customHeight="1">
      <c r="B46" s="10"/>
      <c r="C46" s="11"/>
      <c r="D46" s="11"/>
      <c r="E46" s="672"/>
      <c r="F46" s="336">
        <v>821200</v>
      </c>
      <c r="G46" s="362"/>
      <c r="H46" s="11" t="s">
        <v>90</v>
      </c>
      <c r="I46" s="735">
        <v>485950</v>
      </c>
      <c r="J46" s="735">
        <v>485950</v>
      </c>
      <c r="K46" s="736">
        <v>270091</v>
      </c>
      <c r="L46" s="583">
        <v>150920</v>
      </c>
      <c r="M46" s="310">
        <v>332950</v>
      </c>
      <c r="N46" s="719">
        <f t="shared" ref="N46:N47" si="12">SUM(L46:M46)</f>
        <v>483870</v>
      </c>
      <c r="O46" s="377">
        <f t="shared" si="2"/>
        <v>99.571972425146612</v>
      </c>
      <c r="Q46" s="80"/>
      <c r="R46" s="802"/>
    </row>
    <row r="47" spans="1:18" ht="12.95" customHeight="1">
      <c r="B47" s="10"/>
      <c r="C47" s="11"/>
      <c r="D47" s="11"/>
      <c r="E47" s="672"/>
      <c r="F47" s="336">
        <v>821300</v>
      </c>
      <c r="G47" s="362"/>
      <c r="H47" s="11" t="s">
        <v>91</v>
      </c>
      <c r="I47" s="631">
        <v>18960</v>
      </c>
      <c r="J47" s="631">
        <v>18960</v>
      </c>
      <c r="K47" s="737">
        <v>18362</v>
      </c>
      <c r="L47" s="622">
        <f>2400-820</f>
        <v>1580</v>
      </c>
      <c r="M47" s="326">
        <f>11860+5600+820</f>
        <v>18280</v>
      </c>
      <c r="N47" s="719">
        <f t="shared" si="12"/>
        <v>19860</v>
      </c>
      <c r="O47" s="377">
        <f t="shared" si="2"/>
        <v>104.74683544303798</v>
      </c>
      <c r="P47" s="640"/>
    </row>
    <row r="48" spans="1:18" ht="8.1" customHeight="1">
      <c r="B48" s="10"/>
      <c r="C48" s="11"/>
      <c r="D48" s="11"/>
      <c r="E48" s="316"/>
      <c r="F48" s="336"/>
      <c r="G48" s="362"/>
      <c r="H48" s="11"/>
      <c r="I48" s="735"/>
      <c r="J48" s="735"/>
      <c r="K48" s="736"/>
      <c r="L48" s="583"/>
      <c r="M48" s="310"/>
      <c r="N48" s="720"/>
      <c r="O48" s="377" t="str">
        <f t="shared" si="2"/>
        <v/>
      </c>
    </row>
    <row r="49" spans="1:15" ht="12.95" customHeight="1">
      <c r="B49" s="10"/>
      <c r="C49" s="11"/>
      <c r="D49" s="11"/>
      <c r="E49" s="316"/>
      <c r="F49" s="335">
        <v>823000</v>
      </c>
      <c r="G49" s="361"/>
      <c r="H49" s="8" t="s">
        <v>180</v>
      </c>
      <c r="I49" s="632">
        <f t="shared" ref="I49:N49" si="13">I50</f>
        <v>0</v>
      </c>
      <c r="J49" s="632">
        <f t="shared" si="13"/>
        <v>0</v>
      </c>
      <c r="K49" s="739">
        <f t="shared" si="13"/>
        <v>0</v>
      </c>
      <c r="L49" s="588">
        <f t="shared" si="13"/>
        <v>0</v>
      </c>
      <c r="M49" s="325">
        <f t="shared" si="13"/>
        <v>0</v>
      </c>
      <c r="N49" s="721">
        <f t="shared" si="13"/>
        <v>0</v>
      </c>
      <c r="O49" s="376" t="str">
        <f t="shared" si="2"/>
        <v/>
      </c>
    </row>
    <row r="50" spans="1:15" ht="12.95" customHeight="1">
      <c r="B50" s="10"/>
      <c r="C50" s="11"/>
      <c r="D50" s="11"/>
      <c r="E50" s="316"/>
      <c r="F50" s="336">
        <v>823300</v>
      </c>
      <c r="G50" s="362"/>
      <c r="H50" s="20" t="s">
        <v>158</v>
      </c>
      <c r="I50" s="631">
        <v>0</v>
      </c>
      <c r="J50" s="631">
        <v>0</v>
      </c>
      <c r="K50" s="737">
        <v>0</v>
      </c>
      <c r="L50" s="622">
        <v>0</v>
      </c>
      <c r="M50" s="326">
        <v>0</v>
      </c>
      <c r="N50" s="719">
        <f>SUM(L50:M50)</f>
        <v>0</v>
      </c>
      <c r="O50" s="377" t="str">
        <f t="shared" si="2"/>
        <v/>
      </c>
    </row>
    <row r="51" spans="1:15" ht="8.1" customHeight="1">
      <c r="B51" s="10"/>
      <c r="C51" s="11"/>
      <c r="D51" s="11"/>
      <c r="E51" s="316"/>
      <c r="F51" s="336"/>
      <c r="G51" s="362"/>
      <c r="H51" s="20"/>
      <c r="I51" s="735"/>
      <c r="J51" s="735"/>
      <c r="K51" s="736"/>
      <c r="L51" s="583"/>
      <c r="M51" s="310"/>
      <c r="N51" s="720"/>
      <c r="O51" s="377" t="str">
        <f t="shared" si="2"/>
        <v/>
      </c>
    </row>
    <row r="52" spans="1:15" s="1" customFormat="1" ht="12.95" customHeight="1">
      <c r="A52" s="311"/>
      <c r="B52" s="12"/>
      <c r="C52" s="8"/>
      <c r="D52" s="8"/>
      <c r="E52" s="8"/>
      <c r="F52" s="335"/>
      <c r="G52" s="361"/>
      <c r="H52" s="8" t="s">
        <v>92</v>
      </c>
      <c r="I52" s="575">
        <v>12</v>
      </c>
      <c r="J52" s="575">
        <v>12</v>
      </c>
      <c r="K52" s="740">
        <v>11</v>
      </c>
      <c r="L52" s="582">
        <v>11</v>
      </c>
      <c r="M52" s="318"/>
      <c r="N52" s="721">
        <v>11</v>
      </c>
      <c r="O52" s="377"/>
    </row>
    <row r="53" spans="1:15" s="1" customFormat="1" ht="12.95" customHeight="1">
      <c r="A53" s="311"/>
      <c r="B53" s="12"/>
      <c r="C53" s="8"/>
      <c r="D53" s="8"/>
      <c r="E53" s="8"/>
      <c r="F53" s="335"/>
      <c r="G53" s="361"/>
      <c r="H53" s="8" t="s">
        <v>110</v>
      </c>
      <c r="I53" s="575">
        <f t="shared" ref="I53:N53" si="14">I8+I13+I16+I30+I42+I45+I49</f>
        <v>2093010</v>
      </c>
      <c r="J53" s="318">
        <f t="shared" si="14"/>
        <v>2100354</v>
      </c>
      <c r="K53" s="575">
        <f t="shared" si="14"/>
        <v>1375724</v>
      </c>
      <c r="L53" s="582">
        <f t="shared" si="14"/>
        <v>1736760</v>
      </c>
      <c r="M53" s="318">
        <f t="shared" si="14"/>
        <v>358580</v>
      </c>
      <c r="N53" s="721">
        <f t="shared" si="14"/>
        <v>2095340</v>
      </c>
      <c r="O53" s="376">
        <f t="shared" si="2"/>
        <v>99.761278336889887</v>
      </c>
    </row>
    <row r="54" spans="1:15" s="1" customFormat="1" ht="12.95" customHeight="1">
      <c r="A54" s="311"/>
      <c r="B54" s="12"/>
      <c r="C54" s="8"/>
      <c r="D54" s="8"/>
      <c r="E54" s="8"/>
      <c r="F54" s="335"/>
      <c r="G54" s="361"/>
      <c r="H54" s="8" t="s">
        <v>93</v>
      </c>
      <c r="I54" s="11"/>
      <c r="J54" s="11"/>
      <c r="K54" s="24"/>
      <c r="L54" s="315"/>
      <c r="M54" s="316"/>
      <c r="N54" s="729"/>
      <c r="O54" s="378"/>
    </row>
    <row r="55" spans="1:15" s="1" customFormat="1" ht="12.95" customHeight="1">
      <c r="A55" s="311"/>
      <c r="B55" s="12"/>
      <c r="C55" s="8"/>
      <c r="D55" s="8"/>
      <c r="E55" s="8"/>
      <c r="F55" s="335"/>
      <c r="G55" s="361"/>
      <c r="H55" s="8" t="s">
        <v>94</v>
      </c>
      <c r="I55" s="11"/>
      <c r="J55" s="11"/>
      <c r="K55" s="24"/>
      <c r="L55" s="315"/>
      <c r="M55" s="316"/>
      <c r="N55" s="729"/>
      <c r="O55" s="378"/>
    </row>
    <row r="56" spans="1:15" ht="8.1" customHeight="1" thickBot="1">
      <c r="B56" s="16"/>
      <c r="C56" s="17"/>
      <c r="D56" s="17"/>
      <c r="E56" s="17"/>
      <c r="F56" s="337"/>
      <c r="G56" s="363"/>
      <c r="H56" s="17"/>
      <c r="I56" s="17"/>
      <c r="J56" s="17"/>
      <c r="K56" s="27"/>
      <c r="L56" s="16"/>
      <c r="M56" s="17"/>
      <c r="N56" s="730"/>
      <c r="O56" s="379"/>
    </row>
    <row r="57" spans="1:15" ht="12.95" customHeight="1">
      <c r="F57" s="338"/>
      <c r="G57" s="364"/>
      <c r="N57" s="423"/>
    </row>
    <row r="58" spans="1:15" ht="17.100000000000001" customHeight="1">
      <c r="F58" s="338"/>
      <c r="G58" s="364"/>
      <c r="N58" s="423"/>
      <c r="O58" s="840"/>
    </row>
    <row r="59" spans="1:15" ht="17.100000000000001" customHeight="1">
      <c r="B59" s="55"/>
      <c r="F59" s="338"/>
      <c r="G59" s="364"/>
      <c r="N59" s="423"/>
    </row>
    <row r="60" spans="1:15" ht="17.100000000000001" customHeight="1">
      <c r="B60" s="55"/>
      <c r="F60" s="338"/>
      <c r="G60" s="364"/>
      <c r="N60" s="423"/>
    </row>
    <row r="61" spans="1:15" ht="14.25">
      <c r="B61" s="55"/>
      <c r="F61" s="338"/>
      <c r="G61" s="364"/>
      <c r="N61" s="423"/>
    </row>
    <row r="62" spans="1:15" ht="14.25">
      <c r="B62" s="55"/>
      <c r="F62" s="338"/>
      <c r="G62" s="364"/>
      <c r="N62" s="423"/>
    </row>
    <row r="63" spans="1:15" ht="14.25">
      <c r="F63" s="338"/>
      <c r="G63" s="364"/>
      <c r="N63" s="423"/>
    </row>
    <row r="64" spans="1:15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38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>
      <c r="G89" s="338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R96"/>
  <sheetViews>
    <sheetView zoomScaleNormal="100" zoomScaleSheetLayoutView="100" workbookViewId="0">
      <selection activeCell="J44" sqref="J44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" width="9.140625" style="9"/>
    <col min="17" max="17" width="10.140625" style="9" bestFit="1" customWidth="1"/>
    <col min="18" max="16384" width="9.140625" style="9"/>
  </cols>
  <sheetData>
    <row r="1" spans="1:18" ht="13.5" thickBot="1"/>
    <row r="2" spans="1:18" s="113" customFormat="1" ht="20.100000000000001" customHeight="1" thickTop="1" thickBot="1">
      <c r="B2" s="897" t="s">
        <v>789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6"/>
      <c r="Q2" s="408"/>
    </row>
    <row r="3" spans="1:18" s="1" customFormat="1" ht="8.1" customHeight="1" thickTop="1" thickBot="1">
      <c r="A3" s="311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</row>
    <row r="4" spans="1:18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7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8" s="311" customFormat="1" ht="27" customHeight="1">
      <c r="B5" s="905"/>
      <c r="C5" s="907"/>
      <c r="D5" s="907"/>
      <c r="E5" s="907"/>
      <c r="F5" s="911"/>
      <c r="G5" s="907"/>
      <c r="H5" s="911"/>
      <c r="I5" s="915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8" s="2" customFormat="1" ht="12.95" customHeight="1">
      <c r="A7" s="312"/>
      <c r="B7" s="6" t="s">
        <v>131</v>
      </c>
      <c r="C7" s="7" t="s">
        <v>124</v>
      </c>
      <c r="D7" s="7" t="s">
        <v>113</v>
      </c>
      <c r="E7" s="667" t="s">
        <v>833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1039350</v>
      </c>
      <c r="J8" s="236">
        <f t="shared" si="0"/>
        <v>1039350</v>
      </c>
      <c r="K8" s="739">
        <f t="shared" si="0"/>
        <v>745466</v>
      </c>
      <c r="L8" s="578">
        <f t="shared" si="0"/>
        <v>1041690</v>
      </c>
      <c r="M8" s="236">
        <f t="shared" si="0"/>
        <v>0</v>
      </c>
      <c r="N8" s="718">
        <f t="shared" si="0"/>
        <v>1041690</v>
      </c>
      <c r="O8" s="376">
        <f>IF(J8=0,"",N8/J8*100)</f>
        <v>100.22514071294559</v>
      </c>
      <c r="Q8" s="64"/>
      <c r="R8" s="64"/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855240</v>
      </c>
      <c r="J9" s="238">
        <v>855240</v>
      </c>
      <c r="K9" s="737">
        <v>622567</v>
      </c>
      <c r="L9" s="626">
        <f>860880+2000+2000</f>
        <v>864880</v>
      </c>
      <c r="M9" s="238">
        <v>0</v>
      </c>
      <c r="N9" s="719">
        <f>SUM(L9:M9)</f>
        <v>864880</v>
      </c>
      <c r="O9" s="377">
        <f>IF(J9=0,"",N9/J9*100)</f>
        <v>101.12716898180626</v>
      </c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184110</v>
      </c>
      <c r="J10" s="238">
        <v>184110</v>
      </c>
      <c r="K10" s="737">
        <v>122899</v>
      </c>
      <c r="L10" s="626">
        <f>170310+1500+5000</f>
        <v>176810</v>
      </c>
      <c r="M10" s="238">
        <v>0</v>
      </c>
      <c r="N10" s="719">
        <f t="shared" ref="N10:N11" si="1">SUM(L10:M10)</f>
        <v>176810</v>
      </c>
      <c r="O10" s="377">
        <f t="shared" ref="O10:O35" si="2">IF(J10=0,"",N10/J10*100)</f>
        <v>96.034979088588344</v>
      </c>
      <c r="Q10" s="63"/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8" ht="12.95" customHeight="1">
      <c r="B12" s="10"/>
      <c r="C12" s="11"/>
      <c r="D12" s="11"/>
      <c r="E12" s="316"/>
      <c r="F12" s="336"/>
      <c r="G12" s="362"/>
      <c r="H12" s="20"/>
      <c r="I12" s="779"/>
      <c r="J12" s="238"/>
      <c r="K12" s="737"/>
      <c r="L12" s="626"/>
      <c r="M12" s="238"/>
      <c r="N12" s="719"/>
      <c r="O12" s="377" t="str">
        <f t="shared" si="2"/>
        <v/>
      </c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90900</v>
      </c>
      <c r="J13" s="236">
        <f t="shared" si="3"/>
        <v>90900</v>
      </c>
      <c r="K13" s="739">
        <f t="shared" si="3"/>
        <v>66841</v>
      </c>
      <c r="L13" s="578">
        <f t="shared" si="3"/>
        <v>93330</v>
      </c>
      <c r="M13" s="236">
        <f t="shared" si="3"/>
        <v>0</v>
      </c>
      <c r="N13" s="718">
        <f t="shared" si="3"/>
        <v>93330</v>
      </c>
      <c r="O13" s="376">
        <f t="shared" si="2"/>
        <v>102.67326732673267</v>
      </c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90900</v>
      </c>
      <c r="J14" s="238">
        <v>90900</v>
      </c>
      <c r="K14" s="737">
        <v>66841</v>
      </c>
      <c r="L14" s="626">
        <f>92310+800+220</f>
        <v>93330</v>
      </c>
      <c r="M14" s="238">
        <v>0</v>
      </c>
      <c r="N14" s="719">
        <f>SUM(L14:M14)</f>
        <v>93330</v>
      </c>
      <c r="O14" s="377">
        <f t="shared" si="2"/>
        <v>102.67326732673267</v>
      </c>
    </row>
    <row r="15" spans="1:18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74"/>
      <c r="L15" s="621"/>
      <c r="M15" s="321"/>
      <c r="N15" s="720"/>
      <c r="O15" s="377" t="str">
        <f t="shared" si="2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158140</v>
      </c>
      <c r="J16" s="323">
        <f t="shared" si="4"/>
        <v>158140</v>
      </c>
      <c r="K16" s="778">
        <f t="shared" si="4"/>
        <v>102017</v>
      </c>
      <c r="L16" s="581">
        <f t="shared" si="4"/>
        <v>161800</v>
      </c>
      <c r="M16" s="323">
        <f t="shared" si="4"/>
        <v>0</v>
      </c>
      <c r="N16" s="721">
        <f t="shared" si="4"/>
        <v>161800</v>
      </c>
      <c r="O16" s="376">
        <f t="shared" si="2"/>
        <v>102.31440495763249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3000</v>
      </c>
      <c r="J17" s="395">
        <v>3000</v>
      </c>
      <c r="K17" s="774">
        <v>295</v>
      </c>
      <c r="L17" s="571">
        <v>1300</v>
      </c>
      <c r="M17" s="395">
        <v>0</v>
      </c>
      <c r="N17" s="719">
        <f t="shared" ref="N17:N26" si="5">SUM(L17:M17)</f>
        <v>1300</v>
      </c>
      <c r="O17" s="377">
        <f t="shared" si="2"/>
        <v>43.333333333333336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80000</v>
      </c>
      <c r="J18" s="395">
        <v>80000</v>
      </c>
      <c r="K18" s="774">
        <v>43148</v>
      </c>
      <c r="L18" s="571">
        <v>80000</v>
      </c>
      <c r="M18" s="395">
        <v>0</v>
      </c>
      <c r="N18" s="719">
        <f t="shared" si="5"/>
        <v>80000</v>
      </c>
      <c r="O18" s="377">
        <f t="shared" si="2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8500</v>
      </c>
      <c r="J19" s="395">
        <v>8500</v>
      </c>
      <c r="K19" s="774">
        <v>4407</v>
      </c>
      <c r="L19" s="571">
        <v>8500</v>
      </c>
      <c r="M19" s="395">
        <v>0</v>
      </c>
      <c r="N19" s="719">
        <f t="shared" si="5"/>
        <v>8500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15000</v>
      </c>
      <c r="J20" s="395">
        <v>15000</v>
      </c>
      <c r="K20" s="774">
        <v>14809</v>
      </c>
      <c r="L20" s="571">
        <v>18000</v>
      </c>
      <c r="M20" s="395">
        <v>0</v>
      </c>
      <c r="N20" s="719">
        <f t="shared" si="5"/>
        <v>18000</v>
      </c>
      <c r="O20" s="377">
        <f t="shared" si="2"/>
        <v>120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2000</v>
      </c>
      <c r="J21" s="397">
        <v>2000</v>
      </c>
      <c r="K21" s="737">
        <v>1312</v>
      </c>
      <c r="L21" s="571">
        <v>2000</v>
      </c>
      <c r="M21" s="397">
        <v>0</v>
      </c>
      <c r="N21" s="719">
        <f t="shared" si="5"/>
        <v>2000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395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4">
        <v>15000</v>
      </c>
      <c r="J23" s="395">
        <v>15000</v>
      </c>
      <c r="K23" s="774">
        <v>10580</v>
      </c>
      <c r="L23" s="571">
        <v>15000</v>
      </c>
      <c r="M23" s="395">
        <v>0</v>
      </c>
      <c r="N23" s="719">
        <f t="shared" si="5"/>
        <v>15000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4">
        <v>0</v>
      </c>
      <c r="J24" s="395">
        <v>0</v>
      </c>
      <c r="K24" s="774">
        <v>0</v>
      </c>
      <c r="L24" s="571">
        <v>0</v>
      </c>
      <c r="M24" s="395">
        <v>0</v>
      </c>
      <c r="N24" s="719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34640</v>
      </c>
      <c r="J25" s="397">
        <v>34640</v>
      </c>
      <c r="K25" s="737">
        <v>27466</v>
      </c>
      <c r="L25" s="571">
        <v>37000</v>
      </c>
      <c r="M25" s="397">
        <v>0</v>
      </c>
      <c r="N25" s="719">
        <f t="shared" si="5"/>
        <v>37000</v>
      </c>
      <c r="O25" s="377">
        <f t="shared" si="2"/>
        <v>106.81293302540415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98">
        <v>0</v>
      </c>
      <c r="J26" s="390">
        <v>0</v>
      </c>
      <c r="K26" s="798">
        <v>0</v>
      </c>
      <c r="L26" s="572">
        <v>0</v>
      </c>
      <c r="M26" s="390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72"/>
      <c r="J27" s="321"/>
      <c r="K27" s="774"/>
      <c r="L27" s="622"/>
      <c r="M27" s="321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SUM(I29:I31)</f>
        <v>5000</v>
      </c>
      <c r="J28" s="318">
        <f t="shared" si="6"/>
        <v>5000</v>
      </c>
      <c r="K28" s="740">
        <f t="shared" si="6"/>
        <v>0</v>
      </c>
      <c r="L28" s="588">
        <f t="shared" si="6"/>
        <v>5000</v>
      </c>
      <c r="M28" s="318">
        <f t="shared" si="6"/>
        <v>0</v>
      </c>
      <c r="N28" s="721">
        <f t="shared" si="6"/>
        <v>5000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37">
        <v>0</v>
      </c>
      <c r="L30" s="622">
        <v>5000</v>
      </c>
      <c r="M30" s="326">
        <v>0</v>
      </c>
      <c r="N30" s="719">
        <f t="shared" si="7"/>
        <v>5000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20"/>
      <c r="I31" s="772"/>
      <c r="J31" s="321"/>
      <c r="K31" s="774"/>
      <c r="L31" s="622"/>
      <c r="M31" s="321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0" t="s">
        <v>862</v>
      </c>
      <c r="J32" s="308" t="s">
        <v>862</v>
      </c>
      <c r="K32" s="785" t="s">
        <v>916</v>
      </c>
      <c r="L32" s="627" t="s">
        <v>943</v>
      </c>
      <c r="M32" s="308"/>
      <c r="N32" s="722" t="s">
        <v>943</v>
      </c>
      <c r="O32" s="377"/>
    </row>
    <row r="33" spans="1:18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1293390</v>
      </c>
      <c r="J33" s="318">
        <f>J8+J13+J16+J28</f>
        <v>1293390</v>
      </c>
      <c r="K33" s="575">
        <f t="shared" ref="K33" si="8">K8+K13+K16+K28</f>
        <v>914324</v>
      </c>
      <c r="L33" s="582">
        <f>L8+L13+L16+L28</f>
        <v>1301820</v>
      </c>
      <c r="M33" s="318">
        <f>M8+M13+M16+M28</f>
        <v>0</v>
      </c>
      <c r="N33" s="721">
        <f>N8+N13+N16+N28</f>
        <v>1301820</v>
      </c>
      <c r="O33" s="376">
        <f t="shared" si="2"/>
        <v>100.65177556653447</v>
      </c>
    </row>
    <row r="34" spans="1:18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  <c r="R34" s="1" t="s">
        <v>151</v>
      </c>
    </row>
    <row r="35" spans="1:18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86"/>
      <c r="J35" s="309"/>
      <c r="K35" s="586"/>
      <c r="L35" s="580"/>
      <c r="M35" s="309"/>
      <c r="N35" s="720"/>
      <c r="O35" s="377" t="str">
        <f t="shared" si="2"/>
        <v/>
      </c>
    </row>
    <row r="36" spans="1:18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8" ht="12.95" customHeight="1">
      <c r="F37" s="338"/>
      <c r="G37" s="364"/>
      <c r="N37" s="425"/>
    </row>
    <row r="38" spans="1:18" ht="12.95" customHeight="1">
      <c r="B38" s="55"/>
      <c r="F38" s="338"/>
      <c r="G38" s="364"/>
      <c r="N38" s="425"/>
    </row>
    <row r="39" spans="1:18" ht="12.95" customHeight="1">
      <c r="B39" s="55"/>
      <c r="F39" s="338"/>
      <c r="G39" s="364"/>
      <c r="N39" s="425"/>
    </row>
    <row r="40" spans="1:18" ht="12.95" customHeight="1">
      <c r="B40" s="55"/>
      <c r="F40" s="338"/>
      <c r="G40" s="364"/>
      <c r="N40" s="425"/>
    </row>
    <row r="41" spans="1:18" ht="12.95" customHeight="1">
      <c r="B41" s="55"/>
      <c r="F41" s="338"/>
      <c r="G41" s="364"/>
      <c r="N41" s="425"/>
    </row>
    <row r="42" spans="1:18" ht="12.95" customHeight="1">
      <c r="B42" s="55"/>
      <c r="F42" s="338"/>
      <c r="G42" s="364"/>
      <c r="N42" s="425"/>
    </row>
    <row r="43" spans="1:18" ht="12.95" customHeight="1">
      <c r="B43" s="55"/>
      <c r="F43" s="338"/>
      <c r="G43" s="364"/>
      <c r="N43" s="425"/>
    </row>
    <row r="44" spans="1:18" ht="12.95" customHeight="1">
      <c r="B44" s="55"/>
      <c r="F44" s="338"/>
      <c r="G44" s="364"/>
      <c r="N44" s="425"/>
    </row>
    <row r="45" spans="1:18" ht="12.95" customHeight="1">
      <c r="B45" s="55"/>
      <c r="F45" s="338"/>
      <c r="G45" s="364"/>
      <c r="N45" s="425"/>
    </row>
    <row r="46" spans="1:18" ht="12.95" customHeight="1">
      <c r="B46" s="55"/>
      <c r="F46" s="338"/>
      <c r="G46" s="364"/>
      <c r="N46" s="425"/>
    </row>
    <row r="47" spans="1:18" ht="12.95" customHeight="1">
      <c r="B47" s="55"/>
      <c r="F47" s="338"/>
      <c r="G47" s="364"/>
      <c r="N47" s="425"/>
    </row>
    <row r="48" spans="1:18" ht="12.95" customHeight="1">
      <c r="B48" s="55"/>
      <c r="F48" s="338"/>
      <c r="G48" s="364"/>
      <c r="N48" s="425"/>
    </row>
    <row r="49" spans="2:14" ht="12.95" customHeight="1">
      <c r="B49" s="55"/>
      <c r="F49" s="338"/>
      <c r="G49" s="364"/>
      <c r="N49" s="425"/>
    </row>
    <row r="50" spans="2:14" ht="12.95" customHeight="1">
      <c r="B50" s="55"/>
      <c r="F50" s="338"/>
      <c r="G50" s="364"/>
      <c r="N50" s="425"/>
    </row>
    <row r="51" spans="2:14" ht="12.95" customHeight="1">
      <c r="B51" s="55"/>
      <c r="F51" s="338"/>
      <c r="G51" s="364"/>
      <c r="N51" s="425"/>
    </row>
    <row r="52" spans="2:14" ht="12.95" customHeight="1">
      <c r="F52" s="338"/>
      <c r="G52" s="364"/>
      <c r="N52" s="425"/>
    </row>
    <row r="53" spans="2:14" ht="12.95" customHeight="1">
      <c r="F53" s="338"/>
      <c r="G53" s="364"/>
      <c r="N53" s="425"/>
    </row>
    <row r="54" spans="2:14" ht="12.95" customHeight="1">
      <c r="F54" s="338"/>
      <c r="G54" s="364"/>
      <c r="N54" s="425"/>
    </row>
    <row r="55" spans="2:14" ht="12.95" customHeight="1">
      <c r="F55" s="338"/>
      <c r="G55" s="364"/>
      <c r="N55" s="425"/>
    </row>
    <row r="56" spans="2:14" ht="12.95" customHeight="1">
      <c r="F56" s="338"/>
      <c r="G56" s="364"/>
      <c r="N56" s="425"/>
    </row>
    <row r="57" spans="2:14" ht="12.95" customHeight="1">
      <c r="F57" s="338"/>
      <c r="G57" s="364"/>
      <c r="N57" s="425"/>
    </row>
    <row r="58" spans="2:14" ht="12.95" customHeight="1">
      <c r="F58" s="338"/>
      <c r="G58" s="364"/>
      <c r="N58" s="425"/>
    </row>
    <row r="59" spans="2:14" ht="12.95" customHeight="1">
      <c r="F59" s="338"/>
      <c r="G59" s="364"/>
      <c r="N59" s="425"/>
    </row>
    <row r="60" spans="2:14" ht="17.100000000000001" customHeight="1">
      <c r="F60" s="338"/>
      <c r="G60" s="364"/>
      <c r="N60" s="425"/>
    </row>
    <row r="61" spans="2:14" ht="14.25">
      <c r="F61" s="338"/>
      <c r="G61" s="364"/>
      <c r="N61" s="425"/>
    </row>
    <row r="62" spans="2:14" ht="14.25">
      <c r="F62" s="338"/>
      <c r="G62" s="364"/>
      <c r="N62" s="425"/>
    </row>
    <row r="63" spans="2:14" ht="14.25">
      <c r="F63" s="338"/>
      <c r="G63" s="364"/>
      <c r="N63" s="425"/>
    </row>
    <row r="64" spans="2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3">
    <mergeCell ref="B2:O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Q96"/>
  <sheetViews>
    <sheetView zoomScaleNormal="100" zoomScaleSheetLayoutView="100" workbookViewId="0">
      <selection activeCell="J38" sqref="J3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788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90" t="s">
        <v>131</v>
      </c>
      <c r="C7" s="91" t="s">
        <v>124</v>
      </c>
      <c r="D7" s="91" t="s">
        <v>118</v>
      </c>
      <c r="E7" s="668" t="s">
        <v>833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1059390</v>
      </c>
      <c r="J8" s="236">
        <f t="shared" si="0"/>
        <v>1059390</v>
      </c>
      <c r="K8" s="739">
        <f t="shared" si="0"/>
        <v>755206</v>
      </c>
      <c r="L8" s="578">
        <f t="shared" si="0"/>
        <v>1053340</v>
      </c>
      <c r="M8" s="236">
        <f t="shared" si="0"/>
        <v>0</v>
      </c>
      <c r="N8" s="718">
        <f t="shared" si="0"/>
        <v>1053340</v>
      </c>
      <c r="O8" s="376">
        <f>IF(J8=0,"",N8/J8*100)</f>
        <v>99.428916640708337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851510</v>
      </c>
      <c r="J9" s="238">
        <v>851510</v>
      </c>
      <c r="K9" s="737">
        <v>622310</v>
      </c>
      <c r="L9" s="626">
        <f>850020+2000+2*790+2000</f>
        <v>855600</v>
      </c>
      <c r="M9" s="238">
        <v>0</v>
      </c>
      <c r="N9" s="719">
        <f>SUM(L9:M9)</f>
        <v>855600</v>
      </c>
      <c r="O9" s="377">
        <f>IF(J9=0,"",N9/J9*100)</f>
        <v>100.48032319056735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207880</v>
      </c>
      <c r="J10" s="238">
        <v>207880</v>
      </c>
      <c r="K10" s="737">
        <v>132896</v>
      </c>
      <c r="L10" s="626">
        <f>184520+1500+420+6000+5300</f>
        <v>197740</v>
      </c>
      <c r="M10" s="238">
        <v>0</v>
      </c>
      <c r="N10" s="719">
        <f t="shared" ref="N10:N11" si="1">SUM(L10:M10)</f>
        <v>197740</v>
      </c>
      <c r="O10" s="377">
        <f t="shared" ref="O10:O35" si="2">IF(J10=0,"",N10/J10*100)</f>
        <v>95.122185876467185</v>
      </c>
      <c r="Q10" s="55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238"/>
      <c r="K12" s="737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90330</v>
      </c>
      <c r="J13" s="236">
        <f t="shared" si="3"/>
        <v>90330</v>
      </c>
      <c r="K13" s="739">
        <f t="shared" si="3"/>
        <v>66139</v>
      </c>
      <c r="L13" s="578">
        <f t="shared" si="3"/>
        <v>90220</v>
      </c>
      <c r="M13" s="236">
        <f t="shared" si="3"/>
        <v>0</v>
      </c>
      <c r="N13" s="718">
        <f t="shared" si="3"/>
        <v>90220</v>
      </c>
      <c r="O13" s="376">
        <f t="shared" si="2"/>
        <v>99.878224288719139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90330</v>
      </c>
      <c r="J14" s="238">
        <v>90330</v>
      </c>
      <c r="K14" s="737">
        <v>66139</v>
      </c>
      <c r="L14" s="626">
        <f>89020+800+2*90+220</f>
        <v>90220</v>
      </c>
      <c r="M14" s="238">
        <v>0</v>
      </c>
      <c r="N14" s="719">
        <f>SUM(L14:M14)</f>
        <v>90220</v>
      </c>
      <c r="O14" s="377">
        <f t="shared" si="2"/>
        <v>99.878224288719139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74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173240</v>
      </c>
      <c r="J16" s="323">
        <f t="shared" si="4"/>
        <v>173240</v>
      </c>
      <c r="K16" s="778">
        <f t="shared" si="4"/>
        <v>103653</v>
      </c>
      <c r="L16" s="581">
        <f t="shared" si="4"/>
        <v>160450</v>
      </c>
      <c r="M16" s="323">
        <f t="shared" si="4"/>
        <v>0</v>
      </c>
      <c r="N16" s="721">
        <f t="shared" si="4"/>
        <v>160450</v>
      </c>
      <c r="O16" s="376">
        <f t="shared" si="2"/>
        <v>92.617178480720384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7">
        <v>3000</v>
      </c>
      <c r="J17" s="397">
        <v>3000</v>
      </c>
      <c r="K17" s="737">
        <v>625</v>
      </c>
      <c r="L17" s="571">
        <v>1300</v>
      </c>
      <c r="M17" s="397">
        <v>0</v>
      </c>
      <c r="N17" s="719">
        <f t="shared" ref="N17:N26" si="5">SUM(L17:M17)</f>
        <v>1300</v>
      </c>
      <c r="O17" s="377">
        <f t="shared" si="2"/>
        <v>43.333333333333336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100000</v>
      </c>
      <c r="J18" s="395">
        <v>100000</v>
      </c>
      <c r="K18" s="774">
        <v>49235</v>
      </c>
      <c r="L18" s="571">
        <v>80000</v>
      </c>
      <c r="M18" s="395">
        <v>0</v>
      </c>
      <c r="N18" s="719">
        <f t="shared" si="5"/>
        <v>80000</v>
      </c>
      <c r="O18" s="377">
        <f t="shared" si="2"/>
        <v>80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7">
        <v>10000</v>
      </c>
      <c r="J19" s="397">
        <v>10000</v>
      </c>
      <c r="K19" s="737">
        <v>9020</v>
      </c>
      <c r="L19" s="571">
        <v>15000</v>
      </c>
      <c r="M19" s="397">
        <v>0</v>
      </c>
      <c r="N19" s="719">
        <f t="shared" si="5"/>
        <v>15000</v>
      </c>
      <c r="O19" s="377">
        <f t="shared" si="2"/>
        <v>150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20000</v>
      </c>
      <c r="J20" s="397">
        <v>20000</v>
      </c>
      <c r="K20" s="737">
        <v>14197</v>
      </c>
      <c r="L20" s="571">
        <v>21000</v>
      </c>
      <c r="M20" s="397">
        <v>0</v>
      </c>
      <c r="N20" s="719">
        <f t="shared" si="5"/>
        <v>21000</v>
      </c>
      <c r="O20" s="377">
        <f t="shared" si="2"/>
        <v>105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500</v>
      </c>
      <c r="J21" s="397">
        <v>500</v>
      </c>
      <c r="K21" s="737">
        <v>108</v>
      </c>
      <c r="L21" s="571">
        <v>150</v>
      </c>
      <c r="M21" s="397">
        <v>0</v>
      </c>
      <c r="N21" s="719">
        <f t="shared" si="5"/>
        <v>150</v>
      </c>
      <c r="O21" s="377">
        <f t="shared" si="2"/>
        <v>30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27500</v>
      </c>
      <c r="J23" s="397">
        <v>27500</v>
      </c>
      <c r="K23" s="737">
        <v>20015</v>
      </c>
      <c r="L23" s="571">
        <v>29000</v>
      </c>
      <c r="M23" s="397">
        <v>0</v>
      </c>
      <c r="N23" s="719">
        <f t="shared" si="5"/>
        <v>29000</v>
      </c>
      <c r="O23" s="377">
        <f t="shared" si="2"/>
        <v>105.45454545454544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12240</v>
      </c>
      <c r="J25" s="397">
        <v>12240</v>
      </c>
      <c r="K25" s="737">
        <v>10453</v>
      </c>
      <c r="L25" s="571">
        <v>14000</v>
      </c>
      <c r="M25" s="397">
        <v>0</v>
      </c>
      <c r="N25" s="719">
        <f t="shared" si="5"/>
        <v>14000</v>
      </c>
      <c r="O25" s="377">
        <f t="shared" si="2"/>
        <v>114.37908496732025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9000</v>
      </c>
      <c r="J28" s="325">
        <f t="shared" si="6"/>
        <v>16309</v>
      </c>
      <c r="K28" s="739">
        <f t="shared" si="6"/>
        <v>5000</v>
      </c>
      <c r="L28" s="588">
        <f t="shared" si="6"/>
        <v>9000</v>
      </c>
      <c r="M28" s="325">
        <f t="shared" si="6"/>
        <v>12750</v>
      </c>
      <c r="N28" s="721">
        <f t="shared" si="6"/>
        <v>21750</v>
      </c>
      <c r="O28" s="376">
        <f t="shared" si="2"/>
        <v>133.36194739101111</v>
      </c>
    </row>
    <row r="29" spans="1:16" ht="12.95" customHeight="1">
      <c r="B29" s="10"/>
      <c r="C29" s="11"/>
      <c r="D29" s="11"/>
      <c r="E29" s="316"/>
      <c r="F29" s="339">
        <v>821200</v>
      </c>
      <c r="G29" s="365"/>
      <c r="H29" s="14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9000</v>
      </c>
      <c r="J30" s="326">
        <f>9000+7309</f>
        <v>16309</v>
      </c>
      <c r="K30" s="737">
        <v>5000</v>
      </c>
      <c r="L30" s="622">
        <v>9000</v>
      </c>
      <c r="M30" s="326">
        <f>7310+5440</f>
        <v>12750</v>
      </c>
      <c r="N30" s="719">
        <f t="shared" si="7"/>
        <v>21750</v>
      </c>
      <c r="O30" s="377">
        <f t="shared" si="2"/>
        <v>133.36194739101111</v>
      </c>
      <c r="P30" s="640"/>
    </row>
    <row r="31" spans="1:16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37"/>
      <c r="L31" s="622"/>
      <c r="M31" s="326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38" t="s">
        <v>689</v>
      </c>
      <c r="J32" s="327" t="s">
        <v>689</v>
      </c>
      <c r="K32" s="741" t="s">
        <v>917</v>
      </c>
      <c r="L32" s="584" t="s">
        <v>941</v>
      </c>
      <c r="M32" s="308"/>
      <c r="N32" s="722" t="s">
        <v>941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1331960</v>
      </c>
      <c r="J33" s="318">
        <f>J8+J13+J16+J28</f>
        <v>1339269</v>
      </c>
      <c r="K33" s="575">
        <f t="shared" ref="K33" si="8">K8+K13+K16+K28</f>
        <v>929998</v>
      </c>
      <c r="L33" s="582">
        <f>L8+L13+L16+L28</f>
        <v>1313010</v>
      </c>
      <c r="M33" s="318">
        <f>M8+M13+M16+M28</f>
        <v>12750</v>
      </c>
      <c r="N33" s="721">
        <f>N8+N13+N16+N28</f>
        <v>1325760</v>
      </c>
      <c r="O33" s="376">
        <f t="shared" si="2"/>
        <v>98.991315411616327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Q95"/>
  <sheetViews>
    <sheetView zoomScaleNormal="100" zoomScaleSheetLayoutView="100" workbookViewId="0">
      <selection activeCell="L32" sqref="L32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787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90" t="s">
        <v>131</v>
      </c>
      <c r="C7" s="91" t="s">
        <v>124</v>
      </c>
      <c r="D7" s="91" t="s">
        <v>119</v>
      </c>
      <c r="E7" s="668" t="s">
        <v>833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849840</v>
      </c>
      <c r="J8" s="236">
        <f t="shared" si="0"/>
        <v>849840</v>
      </c>
      <c r="K8" s="739">
        <f t="shared" si="0"/>
        <v>618768</v>
      </c>
      <c r="L8" s="578">
        <f t="shared" si="0"/>
        <v>852030</v>
      </c>
      <c r="M8" s="236">
        <f t="shared" si="0"/>
        <v>0</v>
      </c>
      <c r="N8" s="718">
        <f t="shared" si="0"/>
        <v>852030</v>
      </c>
      <c r="O8" s="376">
        <f>IF(J8=0,"",N8/J8*100)</f>
        <v>100.25769556622424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694210</v>
      </c>
      <c r="J9" s="238">
        <v>694210</v>
      </c>
      <c r="K9" s="737">
        <v>512245</v>
      </c>
      <c r="L9" s="626">
        <f>701870+1800+430+1800</f>
        <v>705900</v>
      </c>
      <c r="M9" s="238">
        <v>0</v>
      </c>
      <c r="N9" s="719">
        <f>SUM(L9:M9)</f>
        <v>705900</v>
      </c>
      <c r="O9" s="377">
        <f>IF(J9=0,"",N9/J9*100)</f>
        <v>101.68392849425967</v>
      </c>
      <c r="P9" s="55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155630</v>
      </c>
      <c r="J10" s="238">
        <v>155630</v>
      </c>
      <c r="K10" s="737">
        <v>106523</v>
      </c>
      <c r="L10" s="626">
        <f>143870+1300+960</f>
        <v>146130</v>
      </c>
      <c r="M10" s="238">
        <v>0</v>
      </c>
      <c r="N10" s="719">
        <f t="shared" ref="N10:N11" si="1">SUM(L10:M10)</f>
        <v>146130</v>
      </c>
      <c r="O10" s="377">
        <f t="shared" ref="O10:O34" si="2">IF(J10=0,"",N10/J10*100)</f>
        <v>93.895778448885181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238"/>
      <c r="K12" s="737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74610</v>
      </c>
      <c r="J13" s="236">
        <f t="shared" si="3"/>
        <v>74610</v>
      </c>
      <c r="K13" s="739">
        <f t="shared" si="3"/>
        <v>55611</v>
      </c>
      <c r="L13" s="578">
        <f t="shared" si="3"/>
        <v>76500</v>
      </c>
      <c r="M13" s="236">
        <f t="shared" si="3"/>
        <v>0</v>
      </c>
      <c r="N13" s="718">
        <f t="shared" si="3"/>
        <v>76500</v>
      </c>
      <c r="O13" s="376">
        <f t="shared" si="2"/>
        <v>102.53317249698432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74610</v>
      </c>
      <c r="J14" s="238">
        <v>74610</v>
      </c>
      <c r="K14" s="737">
        <v>55611</v>
      </c>
      <c r="L14" s="626">
        <f>75650+600+50+200</f>
        <v>76500</v>
      </c>
      <c r="M14" s="238">
        <v>0</v>
      </c>
      <c r="N14" s="719">
        <f>SUM(L14:M14)</f>
        <v>76500</v>
      </c>
      <c r="O14" s="377">
        <f t="shared" si="2"/>
        <v>102.53317249698432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74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>SUM(I17:I26)</f>
        <v>118840</v>
      </c>
      <c r="J16" s="323">
        <f>SUM(J17:J26)</f>
        <v>118840</v>
      </c>
      <c r="K16" s="778">
        <f t="shared" ref="K16" si="4">SUM(K17:K26)</f>
        <v>70365</v>
      </c>
      <c r="L16" s="581">
        <f>SUM(L17:L26)</f>
        <v>119100</v>
      </c>
      <c r="M16" s="323">
        <f>SUM(M17:M26)</f>
        <v>0</v>
      </c>
      <c r="N16" s="721">
        <f>SUM(N17:N26)</f>
        <v>119100</v>
      </c>
      <c r="O16" s="376">
        <f t="shared" si="2"/>
        <v>100.21878155503197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7">
        <v>3000</v>
      </c>
      <c r="J17" s="397">
        <v>3000</v>
      </c>
      <c r="K17" s="737">
        <v>630</v>
      </c>
      <c r="L17" s="571">
        <v>1000</v>
      </c>
      <c r="M17" s="397">
        <v>0</v>
      </c>
      <c r="N17" s="719">
        <f t="shared" ref="N17:N26" si="5">SUM(L17:M17)</f>
        <v>1000</v>
      </c>
      <c r="O17" s="377">
        <f t="shared" si="2"/>
        <v>33.333333333333329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50000</v>
      </c>
      <c r="J18" s="395">
        <v>50000</v>
      </c>
      <c r="K18" s="774">
        <v>27063</v>
      </c>
      <c r="L18" s="571">
        <v>50000</v>
      </c>
      <c r="M18" s="395">
        <v>0</v>
      </c>
      <c r="N18" s="719">
        <f t="shared" si="5"/>
        <v>50000</v>
      </c>
      <c r="O18" s="377">
        <f t="shared" si="2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6100</v>
      </c>
      <c r="J19" s="395">
        <v>6100</v>
      </c>
      <c r="K19" s="774">
        <v>4423</v>
      </c>
      <c r="L19" s="571">
        <v>6200</v>
      </c>
      <c r="M19" s="395">
        <v>0</v>
      </c>
      <c r="N19" s="719">
        <f t="shared" si="5"/>
        <v>6200</v>
      </c>
      <c r="O19" s="377">
        <f t="shared" si="2"/>
        <v>101.63934426229508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15000</v>
      </c>
      <c r="J20" s="395">
        <v>15000</v>
      </c>
      <c r="K20" s="774">
        <v>8781</v>
      </c>
      <c r="L20" s="571">
        <v>15000</v>
      </c>
      <c r="M20" s="395">
        <v>0</v>
      </c>
      <c r="N20" s="719">
        <f t="shared" si="5"/>
        <v>15000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2500</v>
      </c>
      <c r="J21" s="397">
        <v>2500</v>
      </c>
      <c r="K21" s="737">
        <v>665</v>
      </c>
      <c r="L21" s="571">
        <v>1400</v>
      </c>
      <c r="M21" s="397">
        <v>0</v>
      </c>
      <c r="N21" s="719">
        <f t="shared" si="5"/>
        <v>1400</v>
      </c>
      <c r="O21" s="377">
        <f t="shared" si="2"/>
        <v>56.000000000000007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15000</v>
      </c>
      <c r="J23" s="397">
        <v>15000</v>
      </c>
      <c r="K23" s="737">
        <v>4617</v>
      </c>
      <c r="L23" s="571">
        <v>12000</v>
      </c>
      <c r="M23" s="397">
        <v>0</v>
      </c>
      <c r="N23" s="719">
        <f t="shared" si="5"/>
        <v>12000</v>
      </c>
      <c r="O23" s="377">
        <f t="shared" si="2"/>
        <v>80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76">
        <v>27240</v>
      </c>
      <c r="J25" s="391">
        <v>27240</v>
      </c>
      <c r="K25" s="776">
        <v>24186</v>
      </c>
      <c r="L25" s="571">
        <v>33500</v>
      </c>
      <c r="M25" s="391">
        <v>0</v>
      </c>
      <c r="N25" s="719">
        <f t="shared" si="5"/>
        <v>33500</v>
      </c>
      <c r="O25" s="377">
        <f t="shared" si="2"/>
        <v>122.98091042584434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5000</v>
      </c>
      <c r="J28" s="325">
        <f t="shared" si="6"/>
        <v>5000</v>
      </c>
      <c r="K28" s="739">
        <f t="shared" si="6"/>
        <v>4953</v>
      </c>
      <c r="L28" s="588">
        <f t="shared" si="6"/>
        <v>4960</v>
      </c>
      <c r="M28" s="325">
        <f t="shared" si="6"/>
        <v>0</v>
      </c>
      <c r="N28" s="721">
        <f t="shared" si="6"/>
        <v>4960</v>
      </c>
      <c r="O28" s="376">
        <f t="shared" si="2"/>
        <v>99.2</v>
      </c>
    </row>
    <row r="29" spans="1:16" ht="12.95" customHeight="1">
      <c r="B29" s="10"/>
      <c r="C29" s="11"/>
      <c r="D29" s="11"/>
      <c r="E29" s="316"/>
      <c r="F29" s="339">
        <v>821200</v>
      </c>
      <c r="G29" s="365"/>
      <c r="H29" s="14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37">
        <v>4953</v>
      </c>
      <c r="L30" s="622">
        <v>4960</v>
      </c>
      <c r="M30" s="326">
        <v>0</v>
      </c>
      <c r="N30" s="719">
        <f t="shared" si="7"/>
        <v>4960</v>
      </c>
      <c r="O30" s="377">
        <f t="shared" si="2"/>
        <v>99.2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38" t="s">
        <v>888</v>
      </c>
      <c r="J32" s="327" t="s">
        <v>888</v>
      </c>
      <c r="K32" s="741" t="s">
        <v>918</v>
      </c>
      <c r="L32" s="584" t="s">
        <v>942</v>
      </c>
      <c r="M32" s="308"/>
      <c r="N32" s="722" t="s">
        <v>942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 t="shared" ref="I33:N33" si="8">I8+I13+I16+I28</f>
        <v>1048290</v>
      </c>
      <c r="J33" s="318">
        <f t="shared" si="8"/>
        <v>1048290</v>
      </c>
      <c r="K33" s="575">
        <f t="shared" si="8"/>
        <v>749697</v>
      </c>
      <c r="L33" s="582">
        <f t="shared" si="8"/>
        <v>1052590</v>
      </c>
      <c r="M33" s="318">
        <f t="shared" si="8"/>
        <v>0</v>
      </c>
      <c r="N33" s="721">
        <f t="shared" si="8"/>
        <v>1052590</v>
      </c>
      <c r="O33" s="376">
        <f>IF(J33=0,"",N33/J33*100)</f>
        <v>100.41019183622852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I33+'22'!I33+'21'!I33</f>
        <v>3673640</v>
      </c>
      <c r="J34" s="318">
        <f>J33+'22'!J33+'21'!J33</f>
        <v>3680949</v>
      </c>
      <c r="K34" s="575">
        <f>K33+'22'!K33+'21'!K33</f>
        <v>2594019</v>
      </c>
      <c r="L34" s="582">
        <f>L33+'22'!L33+'21'!L33</f>
        <v>3667420</v>
      </c>
      <c r="M34" s="318">
        <f>M33+'22'!M33+'21'!M33</f>
        <v>12750</v>
      </c>
      <c r="N34" s="721">
        <f>N33+'22'!N33+'21'!N33</f>
        <v>3680170</v>
      </c>
      <c r="O34" s="376">
        <f t="shared" si="2"/>
        <v>99.97883697926811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8"/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7.100000000000001" customHeight="1">
      <c r="F59" s="338"/>
      <c r="G59" s="364"/>
      <c r="N59" s="423"/>
    </row>
    <row r="60" spans="6:14" ht="14.25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C302"/>
  <sheetViews>
    <sheetView zoomScaleNormal="100" workbookViewId="0">
      <selection activeCell="J7" sqref="J7"/>
    </sheetView>
  </sheetViews>
  <sheetFormatPr defaultRowHeight="15" customHeight="1"/>
  <cols>
    <col min="2" max="2" width="70.28515625" customWidth="1"/>
    <col min="3" max="3" width="13.140625" customWidth="1"/>
    <col min="4" max="5" width="18.7109375" customWidth="1"/>
    <col min="6" max="6" width="20.7109375" customWidth="1"/>
    <col min="7" max="7" width="9.28515625" customWidth="1"/>
    <col min="8" max="8" width="6.42578125" customWidth="1"/>
    <col min="10" max="11" width="15.7109375" customWidth="1"/>
    <col min="12" max="12" width="8.7109375" customWidth="1"/>
  </cols>
  <sheetData>
    <row r="1" spans="2:29" ht="15" customHeight="1">
      <c r="B1" s="869" t="s">
        <v>948</v>
      </c>
      <c r="C1" s="870"/>
      <c r="D1" s="870"/>
      <c r="E1" s="870"/>
      <c r="F1" s="870"/>
      <c r="G1" s="870"/>
      <c r="H1" s="683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2:29" ht="15" customHeight="1">
      <c r="B2" s="870"/>
      <c r="C2" s="870"/>
      <c r="D2" s="870"/>
      <c r="E2" s="870"/>
      <c r="F2" s="870"/>
      <c r="G2" s="870"/>
      <c r="H2" s="68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2:29" ht="12" customHeight="1">
      <c r="B3" s="870"/>
      <c r="C3" s="870"/>
      <c r="D3" s="870"/>
      <c r="E3" s="870"/>
      <c r="F3" s="870"/>
      <c r="G3" s="870"/>
      <c r="H3" s="68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2:29" ht="5.45" customHeight="1">
      <c r="B4" s="683"/>
      <c r="C4" s="683"/>
      <c r="D4" s="683"/>
      <c r="E4" s="683"/>
      <c r="F4" s="683"/>
      <c r="G4" s="683"/>
      <c r="H4" s="68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29" ht="18.75" customHeight="1">
      <c r="B5" s="871" t="s">
        <v>936</v>
      </c>
      <c r="C5" s="871"/>
      <c r="D5" s="871"/>
      <c r="E5" s="871"/>
      <c r="F5" s="871"/>
      <c r="G5" s="871"/>
      <c r="H5" s="871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5" customHeight="1">
      <c r="B6" s="872" t="s">
        <v>693</v>
      </c>
      <c r="C6" s="872"/>
      <c r="D6" s="872"/>
      <c r="E6" s="872"/>
      <c r="F6" s="872"/>
      <c r="G6" s="872"/>
      <c r="H6" s="872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2:29" ht="15" customHeight="1">
      <c r="B7" s="148" t="s">
        <v>169</v>
      </c>
      <c r="C7" s="148"/>
      <c r="D7" s="45"/>
      <c r="E7" s="45"/>
      <c r="F7" s="45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6.75" customHeight="1">
      <c r="B8" s="37"/>
      <c r="C8" s="3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29" ht="15" customHeight="1">
      <c r="B9" s="37" t="s">
        <v>170</v>
      </c>
      <c r="C9" s="3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2:29" ht="17.25" customHeight="1">
      <c r="B10" s="868" t="s">
        <v>908</v>
      </c>
      <c r="C10" s="873"/>
      <c r="D10" s="873"/>
      <c r="E10" s="873"/>
      <c r="F10" s="873"/>
      <c r="G10" s="873"/>
      <c r="H10" s="84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2:29" ht="17.25" customHeight="1">
      <c r="B11" s="686" t="s">
        <v>854</v>
      </c>
      <c r="C11" s="47"/>
      <c r="D11" s="47"/>
      <c r="E11" s="47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2:29" s="470" customFormat="1" ht="40.5" customHeight="1">
      <c r="B12" s="471" t="s">
        <v>217</v>
      </c>
      <c r="C12" s="472" t="s">
        <v>607</v>
      </c>
      <c r="D12" s="472" t="s">
        <v>905</v>
      </c>
      <c r="E12" s="472" t="s">
        <v>851</v>
      </c>
      <c r="F12" s="513" t="s">
        <v>927</v>
      </c>
      <c r="G12" s="472" t="s">
        <v>533</v>
      </c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</row>
    <row r="13" spans="2:29" s="521" customFormat="1" ht="11.25" customHeight="1">
      <c r="B13" s="522">
        <v>1</v>
      </c>
      <c r="C13" s="522"/>
      <c r="D13" s="523">
        <v>2</v>
      </c>
      <c r="E13" s="523">
        <v>3</v>
      </c>
      <c r="F13" s="523">
        <v>4</v>
      </c>
      <c r="G13" s="522">
        <v>5</v>
      </c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</row>
    <row r="14" spans="2:29" s="470" customFormat="1" ht="14.1" customHeight="1">
      <c r="B14" s="474" t="s">
        <v>620</v>
      </c>
      <c r="C14" s="474"/>
      <c r="D14" s="475">
        <f>D15+D16+D17+D18+D19</f>
        <v>43581080</v>
      </c>
      <c r="E14" s="475">
        <f>E15+E16+E17+E18+E19</f>
        <v>43601555</v>
      </c>
      <c r="F14" s="514">
        <f>F15+F16+F17+F18+F19</f>
        <v>43704550</v>
      </c>
      <c r="G14" s="476">
        <f>IF(E14=0,,F14/E14*100)</f>
        <v>100.23621863944989</v>
      </c>
      <c r="H14" s="170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</row>
    <row r="15" spans="2:29" s="470" customFormat="1" ht="12.95" customHeight="1">
      <c r="B15" s="477" t="s">
        <v>608</v>
      </c>
      <c r="C15" s="478">
        <v>710</v>
      </c>
      <c r="D15" s="479">
        <f>Prihodi!D5</f>
        <v>31336530</v>
      </c>
      <c r="E15" s="479">
        <f>Prihodi!E5</f>
        <v>31336530</v>
      </c>
      <c r="F15" s="467">
        <f>Prihodi!G5</f>
        <v>32350710</v>
      </c>
      <c r="G15" s="480">
        <f t="shared" ref="G15:G42" si="0">IF(E15=0,,F15/E15*100)</f>
        <v>103.23641449771242</v>
      </c>
      <c r="H15" s="170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</row>
    <row r="16" spans="2:29" s="470" customFormat="1" ht="12.95" customHeight="1">
      <c r="B16" s="477" t="s">
        <v>609</v>
      </c>
      <c r="C16" s="478">
        <v>720</v>
      </c>
      <c r="D16" s="479">
        <f>Prihodi!D62</f>
        <v>2642220</v>
      </c>
      <c r="E16" s="479">
        <f>Prihodi!E62</f>
        <v>2642220</v>
      </c>
      <c r="F16" s="467">
        <f>Prihodi!G62</f>
        <v>2731240</v>
      </c>
      <c r="G16" s="480">
        <f t="shared" si="0"/>
        <v>103.36913655940837</v>
      </c>
      <c r="H16" s="170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</row>
    <row r="17" spans="2:29" s="470" customFormat="1" ht="12.95" customHeight="1">
      <c r="B17" s="477" t="s">
        <v>610</v>
      </c>
      <c r="C17" s="478">
        <v>730</v>
      </c>
      <c r="D17" s="479">
        <f>Prihodi!D165</f>
        <v>9251620</v>
      </c>
      <c r="E17" s="479">
        <f>Prihodi!E165</f>
        <v>9260249</v>
      </c>
      <c r="F17" s="467">
        <f>Prihodi!G165</f>
        <v>8254570</v>
      </c>
      <c r="G17" s="480">
        <f t="shared" si="0"/>
        <v>89.139827665541176</v>
      </c>
      <c r="H17" s="170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</row>
    <row r="18" spans="2:29" s="470" customFormat="1" ht="12.95" customHeight="1">
      <c r="B18" s="477" t="s">
        <v>611</v>
      </c>
      <c r="C18" s="478">
        <v>740</v>
      </c>
      <c r="D18" s="479">
        <f>Prihodi!D194</f>
        <v>350410</v>
      </c>
      <c r="E18" s="479">
        <f>Prihodi!E194</f>
        <v>362256</v>
      </c>
      <c r="F18" s="467">
        <f>Prihodi!G194</f>
        <v>367700</v>
      </c>
      <c r="G18" s="480">
        <f t="shared" si="0"/>
        <v>101.50280464643788</v>
      </c>
      <c r="H18" s="170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</row>
    <row r="19" spans="2:29" s="470" customFormat="1" ht="12.95" customHeight="1">
      <c r="B19" s="477" t="s">
        <v>612</v>
      </c>
      <c r="C19" s="478">
        <v>770</v>
      </c>
      <c r="D19" s="479">
        <f>Prihodi!D227</f>
        <v>300</v>
      </c>
      <c r="E19" s="479">
        <f>Prihodi!E227</f>
        <v>300</v>
      </c>
      <c r="F19" s="467">
        <f>Prihodi!G227</f>
        <v>330</v>
      </c>
      <c r="G19" s="480">
        <f t="shared" si="0"/>
        <v>110.00000000000001</v>
      </c>
      <c r="H19" s="170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</row>
    <row r="20" spans="2:29" s="470" customFormat="1" ht="14.1" customHeight="1">
      <c r="B20" s="485" t="s">
        <v>621</v>
      </c>
      <c r="C20" s="486"/>
      <c r="D20" s="487">
        <f>SUM(D21:D27)</f>
        <v>41102250</v>
      </c>
      <c r="E20" s="487">
        <f>SUM(E21:E27)</f>
        <v>41060879</v>
      </c>
      <c r="F20" s="515">
        <f>SUM(F21:F27)</f>
        <v>41112850</v>
      </c>
      <c r="G20" s="488">
        <f t="shared" si="0"/>
        <v>100.1265705977702</v>
      </c>
      <c r="H20" s="170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</row>
    <row r="21" spans="2:29" s="489" customFormat="1" ht="12.95" customHeight="1">
      <c r="B21" s="481" t="s">
        <v>613</v>
      </c>
      <c r="C21" s="482">
        <v>600</v>
      </c>
      <c r="D21" s="479">
        <f>Rashodi!F9</f>
        <v>498000</v>
      </c>
      <c r="E21" s="479">
        <f>Rashodi!G9</f>
        <v>498000</v>
      </c>
      <c r="F21" s="467">
        <f>Rashodi!K9</f>
        <v>548000</v>
      </c>
      <c r="G21" s="484">
        <f t="shared" si="0"/>
        <v>110.04016064257027</v>
      </c>
      <c r="H21" s="490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</row>
    <row r="22" spans="2:29" s="489" customFormat="1" ht="12.95" customHeight="1">
      <c r="B22" s="481" t="s">
        <v>614</v>
      </c>
      <c r="C22" s="482">
        <v>611</v>
      </c>
      <c r="D22" s="479">
        <f>Rashodi!F15</f>
        <v>21757980</v>
      </c>
      <c r="E22" s="479">
        <f>Rashodi!G15</f>
        <v>21757980</v>
      </c>
      <c r="F22" s="467">
        <f>Rashodi!K15</f>
        <v>21853470</v>
      </c>
      <c r="G22" s="484">
        <f t="shared" si="0"/>
        <v>100.43887346159892</v>
      </c>
      <c r="H22" s="490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</row>
    <row r="23" spans="2:29" s="470" customFormat="1" ht="12.95" customHeight="1">
      <c r="B23" s="481" t="s">
        <v>615</v>
      </c>
      <c r="C23" s="482">
        <v>612</v>
      </c>
      <c r="D23" s="483">
        <f>Rashodi!F21</f>
        <v>2141380</v>
      </c>
      <c r="E23" s="483">
        <f>Rashodi!G21</f>
        <v>2141380</v>
      </c>
      <c r="F23" s="468">
        <f>Rashodi!K21</f>
        <v>2163210</v>
      </c>
      <c r="G23" s="484">
        <f t="shared" si="0"/>
        <v>101.01943606459388</v>
      </c>
      <c r="H23" s="170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</row>
    <row r="24" spans="2:29" s="470" customFormat="1" ht="12.95" customHeight="1">
      <c r="B24" s="481" t="s">
        <v>616</v>
      </c>
      <c r="C24" s="482">
        <v>613</v>
      </c>
      <c r="D24" s="483">
        <f>Rashodi!F24</f>
        <v>3913180</v>
      </c>
      <c r="E24" s="483">
        <f>Rashodi!G24</f>
        <v>3921809</v>
      </c>
      <c r="F24" s="468">
        <f>Rashodi!K24</f>
        <v>4006650</v>
      </c>
      <c r="G24" s="484">
        <f>IF(E24=0,,F24/E24*100)</f>
        <v>102.16331289973581</v>
      </c>
      <c r="H24" s="170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</row>
    <row r="25" spans="2:29" s="470" customFormat="1" ht="12.95" customHeight="1">
      <c r="B25" s="481" t="s">
        <v>617</v>
      </c>
      <c r="C25" s="482">
        <v>614</v>
      </c>
      <c r="D25" s="483">
        <f>Rashodi!F47</f>
        <v>12417000</v>
      </c>
      <c r="E25" s="483">
        <f>Rashodi!G47</f>
        <v>12197000</v>
      </c>
      <c r="F25" s="468">
        <f>Rashodi!K47</f>
        <v>11854800</v>
      </c>
      <c r="G25" s="484">
        <f t="shared" si="0"/>
        <v>97.194392063622203</v>
      </c>
      <c r="H25" s="170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</row>
    <row r="26" spans="2:29" s="470" customFormat="1" ht="12.95" customHeight="1">
      <c r="B26" s="481" t="s">
        <v>618</v>
      </c>
      <c r="C26" s="482">
        <v>615</v>
      </c>
      <c r="D26" s="483">
        <f>Rashodi!F93</f>
        <v>330000</v>
      </c>
      <c r="E26" s="483">
        <f>Rashodi!G93</f>
        <v>500000</v>
      </c>
      <c r="F26" s="468">
        <f>Rashodi!K93</f>
        <v>645000</v>
      </c>
      <c r="G26" s="484">
        <f>IF(E26=0,,F26/E26*100)</f>
        <v>129</v>
      </c>
      <c r="H26" s="170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</row>
    <row r="27" spans="2:29" s="470" customFormat="1" ht="12.95" customHeight="1" thickBot="1">
      <c r="B27" s="492" t="s">
        <v>619</v>
      </c>
      <c r="C27" s="493">
        <v>616</v>
      </c>
      <c r="D27" s="494">
        <f>Rashodi!F99</f>
        <v>44710</v>
      </c>
      <c r="E27" s="494">
        <f>Rashodi!G99</f>
        <v>44710</v>
      </c>
      <c r="F27" s="469">
        <f>Rashodi!K99</f>
        <v>41720</v>
      </c>
      <c r="G27" s="495">
        <f t="shared" si="0"/>
        <v>93.312458063073137</v>
      </c>
      <c r="H27" s="170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</row>
    <row r="28" spans="2:29" s="470" customFormat="1" ht="14.1" customHeight="1" thickTop="1" thickBot="1">
      <c r="B28" s="496" t="s">
        <v>622</v>
      </c>
      <c r="C28" s="497"/>
      <c r="D28" s="498">
        <f>D14-D20</f>
        <v>2478830</v>
      </c>
      <c r="E28" s="498">
        <f>E14-E20</f>
        <v>2540676</v>
      </c>
      <c r="F28" s="516">
        <f>F14-F20</f>
        <v>2591700</v>
      </c>
      <c r="G28" s="499">
        <f t="shared" si="0"/>
        <v>102.00828440934617</v>
      </c>
      <c r="H28" s="170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</row>
    <row r="29" spans="2:29" s="470" customFormat="1" ht="14.1" customHeight="1" thickTop="1">
      <c r="B29" s="485" t="s">
        <v>623</v>
      </c>
      <c r="C29" s="486">
        <v>811</v>
      </c>
      <c r="D29" s="487">
        <f>Prihodi!D233</f>
        <v>5770</v>
      </c>
      <c r="E29" s="487">
        <f>Prihodi!E233</f>
        <v>5770</v>
      </c>
      <c r="F29" s="515">
        <f>Prihodi!G233</f>
        <v>11580</v>
      </c>
      <c r="G29" s="488">
        <f t="shared" si="0"/>
        <v>200.69324090121316</v>
      </c>
      <c r="H29" s="170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</row>
    <row r="30" spans="2:29" s="470" customFormat="1" ht="14.1" customHeight="1">
      <c r="B30" s="485" t="s">
        <v>624</v>
      </c>
      <c r="C30" s="486">
        <v>821</v>
      </c>
      <c r="D30" s="487">
        <f>D31</f>
        <v>1959310</v>
      </c>
      <c r="E30" s="487">
        <f>E31</f>
        <v>2021156</v>
      </c>
      <c r="F30" s="515">
        <f>F31</f>
        <v>2087010</v>
      </c>
      <c r="G30" s="488">
        <f t="shared" si="0"/>
        <v>103.25823439655326</v>
      </c>
      <c r="H30" s="170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</row>
    <row r="31" spans="2:29" s="470" customFormat="1" ht="12.95" customHeight="1" thickBot="1">
      <c r="B31" s="481" t="s">
        <v>461</v>
      </c>
      <c r="C31" s="482">
        <v>821</v>
      </c>
      <c r="D31" s="483">
        <f>Rashodi!F106</f>
        <v>1959310</v>
      </c>
      <c r="E31" s="483">
        <f>Rashodi!G106</f>
        <v>2021156</v>
      </c>
      <c r="F31" s="468">
        <f>Rashodi!K106</f>
        <v>2087010</v>
      </c>
      <c r="G31" s="484">
        <f>IF(E31=0,,F31/E31*100)</f>
        <v>103.25823439655326</v>
      </c>
      <c r="H31" s="170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</row>
    <row r="32" spans="2:29" s="470" customFormat="1" ht="14.1" customHeight="1" thickTop="1" thickBot="1">
      <c r="B32" s="500" t="s">
        <v>625</v>
      </c>
      <c r="C32" s="501"/>
      <c r="D32" s="502">
        <f>D29-D30</f>
        <v>-1953540</v>
      </c>
      <c r="E32" s="502">
        <f>E29-E30</f>
        <v>-2015386</v>
      </c>
      <c r="F32" s="517">
        <f>F29-F30</f>
        <v>-2075430</v>
      </c>
      <c r="G32" s="503">
        <f t="shared" si="0"/>
        <v>102.97928039591424</v>
      </c>
      <c r="H32" s="170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</row>
    <row r="33" spans="2:29" s="470" customFormat="1" ht="19.5" customHeight="1" thickTop="1" thickBot="1">
      <c r="B33" s="496" t="s">
        <v>626</v>
      </c>
      <c r="C33" s="497"/>
      <c r="D33" s="504">
        <f>D28+D32</f>
        <v>525290</v>
      </c>
      <c r="E33" s="504">
        <f>E28+E32</f>
        <v>525290</v>
      </c>
      <c r="F33" s="518">
        <f>F28+F32</f>
        <v>516270</v>
      </c>
      <c r="G33" s="499">
        <f t="shared" si="0"/>
        <v>98.282853281044751</v>
      </c>
      <c r="H33" s="170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</row>
    <row r="34" spans="2:29" s="470" customFormat="1" ht="14.1" customHeight="1" thickTop="1">
      <c r="B34" s="485" t="s">
        <v>627</v>
      </c>
      <c r="C34" s="486" t="s">
        <v>606</v>
      </c>
      <c r="D34" s="487">
        <f>0</f>
        <v>0</v>
      </c>
      <c r="E34" s="487">
        <f>0</f>
        <v>0</v>
      </c>
      <c r="F34" s="515">
        <f>0</f>
        <v>0</v>
      </c>
      <c r="G34" s="488">
        <f t="shared" si="0"/>
        <v>0</v>
      </c>
      <c r="H34" s="170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</row>
    <row r="35" spans="2:29" s="470" customFormat="1" ht="14.1" customHeight="1">
      <c r="B35" s="505" t="s">
        <v>628</v>
      </c>
      <c r="C35" s="506" t="s">
        <v>605</v>
      </c>
      <c r="D35" s="507">
        <f>D36</f>
        <v>518280</v>
      </c>
      <c r="E35" s="507">
        <f>E36</f>
        <v>518280</v>
      </c>
      <c r="F35" s="519">
        <f>F36</f>
        <v>515000</v>
      </c>
      <c r="G35" s="488">
        <f t="shared" si="0"/>
        <v>99.367137454657723</v>
      </c>
      <c r="H35" s="170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</row>
    <row r="36" spans="2:29" s="470" customFormat="1" ht="12.95" customHeight="1" thickBot="1">
      <c r="B36" s="481" t="s">
        <v>333</v>
      </c>
      <c r="C36" s="482">
        <v>823</v>
      </c>
      <c r="D36" s="483">
        <f>Rashodi!F114</f>
        <v>518280</v>
      </c>
      <c r="E36" s="483">
        <f>Rashodi!G114</f>
        <v>518280</v>
      </c>
      <c r="F36" s="468">
        <f>Rashodi!K114</f>
        <v>515000</v>
      </c>
      <c r="G36" s="484">
        <f t="shared" si="0"/>
        <v>99.367137454657723</v>
      </c>
      <c r="H36" s="170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</row>
    <row r="37" spans="2:29" s="470" customFormat="1" ht="14.1" customHeight="1" thickTop="1" thickBot="1">
      <c r="B37" s="500" t="s">
        <v>629</v>
      </c>
      <c r="C37" s="501"/>
      <c r="D37" s="502">
        <f>D34-D35</f>
        <v>-518280</v>
      </c>
      <c r="E37" s="502">
        <f>E34-E35</f>
        <v>-518280</v>
      </c>
      <c r="F37" s="517">
        <f>F34-F35</f>
        <v>-515000</v>
      </c>
      <c r="G37" s="503">
        <f t="shared" si="0"/>
        <v>99.367137454657723</v>
      </c>
      <c r="H37" s="170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</row>
    <row r="38" spans="2:29" s="470" customFormat="1" ht="14.1" customHeight="1" thickTop="1" thickBot="1">
      <c r="B38" s="500" t="s">
        <v>630</v>
      </c>
      <c r="C38" s="501"/>
      <c r="D38" s="502">
        <f>D33+D37</f>
        <v>7010</v>
      </c>
      <c r="E38" s="502">
        <f>E33+E37</f>
        <v>7010</v>
      </c>
      <c r="F38" s="517">
        <f>F33+F37</f>
        <v>1270</v>
      </c>
      <c r="G38" s="503">
        <f t="shared" si="0"/>
        <v>18.116975748930102</v>
      </c>
      <c r="H38" s="170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</row>
    <row r="39" spans="2:29" s="470" customFormat="1" ht="9" customHeight="1" thickTop="1">
      <c r="B39" s="508"/>
      <c r="C39" s="509"/>
      <c r="D39" s="510"/>
      <c r="E39" s="510"/>
      <c r="F39" s="520"/>
      <c r="G39" s="511"/>
      <c r="H39" s="170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</row>
    <row r="40" spans="2:29" s="470" customFormat="1" ht="14.1" customHeight="1">
      <c r="B40" s="485" t="s">
        <v>631</v>
      </c>
      <c r="C40" s="486"/>
      <c r="D40" s="487">
        <f>D14+D29+D34</f>
        <v>43586850</v>
      </c>
      <c r="E40" s="487">
        <f>E14+E29+E34</f>
        <v>43607325</v>
      </c>
      <c r="F40" s="515">
        <f>F14+F29+F34</f>
        <v>43716130</v>
      </c>
      <c r="G40" s="488">
        <f t="shared" si="0"/>
        <v>100.24951083332903</v>
      </c>
      <c r="H40" s="170"/>
      <c r="I40" s="512"/>
      <c r="J40" s="512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</row>
    <row r="41" spans="2:29" s="470" customFormat="1" ht="14.1" customHeight="1">
      <c r="B41" s="485" t="s">
        <v>632</v>
      </c>
      <c r="C41" s="486"/>
      <c r="D41" s="487">
        <f>D20+D30+D35</f>
        <v>43579840</v>
      </c>
      <c r="E41" s="487">
        <f>E20+E30+E35</f>
        <v>43600315</v>
      </c>
      <c r="F41" s="515">
        <f>F20+F30+F35</f>
        <v>43714860</v>
      </c>
      <c r="G41" s="488">
        <f t="shared" si="0"/>
        <v>100.26271599184547</v>
      </c>
      <c r="H41" s="170"/>
      <c r="I41" s="473"/>
      <c r="J41" s="512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</row>
    <row r="42" spans="2:29" s="470" customFormat="1" ht="14.1" customHeight="1">
      <c r="B42" s="485" t="s">
        <v>633</v>
      </c>
      <c r="C42" s="486"/>
      <c r="D42" s="487">
        <f>D40-D41</f>
        <v>7010</v>
      </c>
      <c r="E42" s="487">
        <f>E40-E41</f>
        <v>7010</v>
      </c>
      <c r="F42" s="515">
        <f>F40-F41</f>
        <v>1270</v>
      </c>
      <c r="G42" s="488">
        <f t="shared" si="0"/>
        <v>18.116975748930102</v>
      </c>
      <c r="I42" s="473"/>
      <c r="J42" s="512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</row>
    <row r="43" spans="2:29" ht="6" customHeight="1">
      <c r="B43" s="149"/>
      <c r="C43" s="149"/>
      <c r="D43" s="211"/>
      <c r="E43" s="211"/>
      <c r="F43" s="211"/>
      <c r="G43" s="212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2:29" ht="15" customHeight="1">
      <c r="B44" s="37" t="s">
        <v>191</v>
      </c>
      <c r="C44" s="37"/>
      <c r="E44" s="545"/>
      <c r="F44" s="74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2:29" ht="15" customHeight="1">
      <c r="B45" s="684" t="s">
        <v>852</v>
      </c>
      <c r="C45" s="684"/>
      <c r="D45" s="684"/>
      <c r="E45" s="684"/>
      <c r="F45" s="821"/>
      <c r="G45" s="684"/>
      <c r="H45" s="68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2:29" ht="15.75" customHeight="1">
      <c r="B46" s="868" t="s">
        <v>853</v>
      </c>
      <c r="C46" s="868"/>
      <c r="D46" s="868"/>
      <c r="E46" s="868"/>
      <c r="F46" s="868"/>
      <c r="G46" s="868"/>
      <c r="H46" s="86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2:29" ht="15" customHeight="1">
      <c r="B47" s="60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2:29" ht="1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2:29" ht="1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2:29" ht="1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2:29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2:29" ht="1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2:29" ht="1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2:29" ht="1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2:29" ht="1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2:29" ht="1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2:29" ht="1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2:29" ht="1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2:29" ht="1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2:29" ht="1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2:29" ht="1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2:29" ht="1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2:29" ht="1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2:29" ht="1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2:29" ht="1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2:29" ht="1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2:29" ht="15" customHeight="1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2:29" ht="15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2:29" ht="1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2:29" ht="15" customHeight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2:29" ht="1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2:29" ht="1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2:29" ht="15" customHeight="1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2:29" ht="15" customHeigh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2:29" ht="15" customHeigh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2:29" ht="15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2:29" ht="15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2:29" ht="15" customHeigh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2:29" ht="15" customHeigh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2:29" ht="15" customHeigh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ht="15" customHeigh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ht="15" customHeigh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ht="15" customHeigh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ht="15" customHeigh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ht="1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ht="1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ht="15" customHeigh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ht="15" customHeigh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ht="1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ht="15" customHeigh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ht="15" customHeigh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ht="15" customHeigh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ht="1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ht="1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ht="15" customHeigh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ht="1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ht="1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ht="15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ht="1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ht="1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ht="1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ht="1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ht="1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ht="1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ht="1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ht="15" customHeigh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ht="15" customHeigh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ht="15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ht="1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ht="1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ht="1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ht="1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ht="15" customHeigh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ht="15" customHeigh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ht="15" customHeigh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ht="15" customHeigh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ht="15" customHeigh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ht="15" customHeigh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ht="15" customHeigh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ht="15" customHeigh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ht="15" customHeigh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ht="1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ht="15" customHeigh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ht="15" customHeigh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ht="1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ht="1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ht="1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ht="1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ht="1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ht="1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ht="1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ht="1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ht="1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ht="1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ht="1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ht="1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ht="1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ht="1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ht="1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ht="15" customHeigh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ht="15" customHeigh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ht="15" customHeigh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ht="15" customHeigh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ht="15" customHeigh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ht="15" customHeigh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ht="15" customHeigh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ht="15" customHeigh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ht="15" customHeigh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ht="15" customHeigh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ht="15" customHeigh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ht="15" customHeigh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ht="15" customHeigh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ht="15" customHeigh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ht="15" customHeigh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ht="15" customHeigh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ht="15" customHeigh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ht="15" customHeigh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ht="15" customHeigh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ht="15" customHeigh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ht="15" customHeigh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ht="15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ht="15" customHeigh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ht="15" customHeigh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ht="15" customHeigh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ht="15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ht="15" customHeight="1"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ht="15" customHeight="1"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ht="15" customHeight="1"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ht="15" customHeight="1"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ht="15" customHeight="1"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ht="15" customHeight="1"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ht="15" customHeight="1"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ht="15" customHeight="1"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ht="15" customHeight="1"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ht="15" customHeight="1"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ht="15" customHeight="1"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9:29" ht="15" customHeight="1"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9:29" ht="15" customHeight="1"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9:29" ht="15" customHeight="1"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9:29" ht="15" customHeight="1"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9:29" ht="15" customHeight="1"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9:29" ht="15" customHeight="1"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9:29" ht="15" customHeight="1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9:29" ht="15" customHeight="1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9:29" ht="15" customHeight="1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9:29" ht="15" customHeight="1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9:29" ht="15" customHeight="1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9:29" ht="15" customHeight="1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9:29" ht="15" customHeight="1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9:29" ht="15" customHeight="1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9:29" ht="15" customHeight="1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9:29" ht="15" customHeight="1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9:29" ht="15" customHeight="1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9:29" ht="15" customHeight="1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9:29" ht="15" customHeight="1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9:29" ht="15" customHeight="1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9:29" ht="15" customHeight="1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9:29" ht="15" customHeight="1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9:29" ht="15" customHeight="1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9:29" ht="15" customHeight="1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9:29" ht="15" customHeight="1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9:29" ht="15" customHeight="1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9:29" ht="15" customHeight="1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9:29" ht="15" customHeight="1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9:29" ht="15" customHeight="1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9:29" ht="15" customHeight="1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9:29" ht="15" customHeight="1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9:29" ht="15" customHeight="1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9:29" ht="15" customHeight="1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9:29" ht="15" customHeight="1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9:29" ht="15" customHeight="1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9:29" ht="15" customHeight="1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9:29" ht="15" customHeight="1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9:29" ht="15" customHeight="1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9:29" ht="15" customHeight="1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9:29" ht="15" customHeight="1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9:29" ht="15" customHeight="1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9:29" ht="15" customHeight="1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9:29" ht="15" customHeight="1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9:29" ht="15" customHeight="1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9:29" ht="15" customHeight="1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9:29" ht="15" customHeight="1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9:29" ht="15" customHeight="1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9:29" ht="15" customHeight="1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9:29" ht="15" customHeight="1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9:29" ht="15" customHeight="1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9:29" ht="15" customHeight="1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9:29" ht="15" customHeight="1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9:29" ht="15" customHeight="1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9:29" ht="15" customHeight="1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9:29" ht="15" customHeight="1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9:29" ht="15" customHeight="1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9:29" ht="15" customHeight="1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9:29" ht="15" customHeight="1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9:29" ht="15" customHeight="1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9:29" ht="15" customHeight="1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9:29" ht="15" customHeight="1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9:29" ht="15" customHeight="1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9:29" ht="15" customHeight="1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9:29" ht="15" customHeight="1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9:29" ht="15" customHeight="1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9:29" ht="15" customHeight="1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9:29" ht="15" customHeight="1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9:29" ht="15" customHeight="1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9:29" ht="15" customHeight="1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9:29" ht="15" customHeight="1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9:29" ht="15" customHeight="1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9:29" ht="15" customHeight="1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9:29" ht="15" customHeight="1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9:29" ht="15" customHeight="1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9:29" ht="15" customHeight="1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9:29" ht="15" customHeight="1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9:29" ht="15" customHeight="1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9:29" ht="15" customHeight="1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9:29" ht="15" customHeight="1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9:29" ht="15" customHeight="1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9:29" ht="15" customHeight="1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9:29" ht="15" customHeight="1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9:29" ht="15" customHeight="1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9:29" ht="15" customHeight="1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9:29" ht="15" customHeight="1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9:29" ht="15" customHeight="1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9:29" ht="15" customHeight="1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9:29" ht="15" customHeight="1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9:29" ht="15" customHeight="1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9:29" ht="15" customHeight="1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9:29" ht="15" customHeight="1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9:29" ht="15" customHeight="1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9:29" ht="15" customHeight="1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9:29" ht="15" customHeight="1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9:29" ht="15" customHeight="1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9:29" ht="15" customHeight="1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9:29" ht="15" customHeight="1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9:29" ht="15" customHeight="1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9:29" ht="15" customHeight="1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9:29" ht="15" customHeight="1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9:29" ht="15" customHeight="1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9:29" ht="15" customHeight="1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9:29" ht="15" customHeight="1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9:29" ht="15" customHeight="1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9:29" ht="15" customHeight="1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9:29" ht="15" customHeight="1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9:29" ht="15" customHeight="1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9:29" ht="15" customHeight="1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9:29" ht="15" customHeight="1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9:29" ht="15" customHeight="1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9:29" ht="15" customHeight="1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9:29" ht="15" customHeight="1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9:29" ht="15" customHeight="1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9:29" ht="15" customHeight="1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9:29" ht="15" customHeight="1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9:29" ht="15" customHeight="1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9:29" ht="15" customHeight="1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9:29" ht="15" customHeight="1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9:29" ht="15" customHeight="1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9:29" ht="15" customHeight="1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9:29" ht="15" customHeight="1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9:29" ht="15" customHeight="1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9:29" ht="15" customHeight="1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9:29" ht="15" customHeight="1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9:29" ht="15" customHeight="1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9:29" ht="15" customHeight="1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</sheetData>
  <mergeCells count="5">
    <mergeCell ref="B46:H46"/>
    <mergeCell ref="B1:G3"/>
    <mergeCell ref="B5:H5"/>
    <mergeCell ref="B6:H6"/>
    <mergeCell ref="B10:H10"/>
  </mergeCells>
  <phoneticPr fontId="0" type="noConversion"/>
  <pageMargins left="0.7" right="0.31496062992125984" top="0.35433070866141736" bottom="0.51181102362204722" header="0.39370078740157483" footer="0.31496062992125984"/>
  <pageSetup paperSize="9" scale="85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Q96"/>
  <sheetViews>
    <sheetView zoomScaleNormal="100" zoomScaleSheetLayoutView="100" workbookViewId="0">
      <selection activeCell="Q38" sqref="Q3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766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81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1074320</v>
      </c>
      <c r="J8" s="236">
        <f t="shared" si="0"/>
        <v>1074320</v>
      </c>
      <c r="K8" s="739">
        <f t="shared" si="0"/>
        <v>786219</v>
      </c>
      <c r="L8" s="578">
        <f t="shared" si="0"/>
        <v>1077850</v>
      </c>
      <c r="M8" s="236">
        <f t="shared" si="0"/>
        <v>0</v>
      </c>
      <c r="N8" s="718">
        <f t="shared" si="0"/>
        <v>1077850</v>
      </c>
      <c r="O8" s="376">
        <f>IF(J8=0,"",N8/J8*100)</f>
        <v>100.32857993893811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890070</v>
      </c>
      <c r="J9" s="238">
        <v>890070</v>
      </c>
      <c r="K9" s="737">
        <v>661856</v>
      </c>
      <c r="L9" s="626">
        <f>902810+2000</f>
        <v>904810</v>
      </c>
      <c r="M9" s="238">
        <v>0</v>
      </c>
      <c r="N9" s="719">
        <f>SUM(L9:M9)</f>
        <v>904810</v>
      </c>
      <c r="O9" s="377">
        <f>IF(J9=0,"",N9/J9*100)</f>
        <v>101.65604952419474</v>
      </c>
      <c r="P9" s="77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184250</v>
      </c>
      <c r="J10" s="238">
        <v>184250</v>
      </c>
      <c r="K10" s="737">
        <v>124363</v>
      </c>
      <c r="L10" s="626">
        <f>164740+1500+5300+1500</f>
        <v>173040</v>
      </c>
      <c r="M10" s="238">
        <v>0</v>
      </c>
      <c r="N10" s="719">
        <f t="shared" ref="N10:N11" si="1">SUM(L10:M10)</f>
        <v>173040</v>
      </c>
      <c r="O10" s="377">
        <f t="shared" ref="O10:O35" si="2">IF(J10=0,"",N10/J10*100)</f>
        <v>93.915875169606508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238"/>
      <c r="K12" s="737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94660</v>
      </c>
      <c r="J13" s="236">
        <f t="shared" si="3"/>
        <v>94660</v>
      </c>
      <c r="K13" s="739">
        <f t="shared" si="3"/>
        <v>70004</v>
      </c>
      <c r="L13" s="578">
        <f t="shared" si="3"/>
        <v>96510</v>
      </c>
      <c r="M13" s="236">
        <f t="shared" si="3"/>
        <v>0</v>
      </c>
      <c r="N13" s="718">
        <f t="shared" si="3"/>
        <v>96510</v>
      </c>
      <c r="O13" s="376">
        <f t="shared" si="2"/>
        <v>101.95436298330868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94660</v>
      </c>
      <c r="J14" s="238">
        <v>94660</v>
      </c>
      <c r="K14" s="737">
        <v>70004</v>
      </c>
      <c r="L14" s="626">
        <f>95540+800+170</f>
        <v>96510</v>
      </c>
      <c r="M14" s="238">
        <v>0</v>
      </c>
      <c r="N14" s="719">
        <f>SUM(L14:M14)</f>
        <v>96510</v>
      </c>
      <c r="O14" s="377">
        <f t="shared" si="2"/>
        <v>101.95436298330868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74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83440</v>
      </c>
      <c r="J16" s="323">
        <f t="shared" si="4"/>
        <v>84725</v>
      </c>
      <c r="K16" s="778">
        <f t="shared" si="4"/>
        <v>58305</v>
      </c>
      <c r="L16" s="581">
        <f t="shared" si="4"/>
        <v>87250</v>
      </c>
      <c r="M16" s="323">
        <f t="shared" si="4"/>
        <v>1290</v>
      </c>
      <c r="N16" s="721">
        <f t="shared" si="4"/>
        <v>88540</v>
      </c>
      <c r="O16" s="376">
        <f t="shared" si="2"/>
        <v>104.50280318678075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7">
        <v>3000</v>
      </c>
      <c r="J17" s="397">
        <v>3000</v>
      </c>
      <c r="K17" s="737">
        <v>13</v>
      </c>
      <c r="L17" s="571">
        <v>50</v>
      </c>
      <c r="M17" s="397">
        <v>0</v>
      </c>
      <c r="N17" s="719">
        <f t="shared" ref="N17:N26" si="5">SUM(L17:M17)</f>
        <v>50</v>
      </c>
      <c r="O17" s="377">
        <f t="shared" si="2"/>
        <v>1.6666666666666667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37">
        <v>30000</v>
      </c>
      <c r="J18" s="397">
        <v>30000</v>
      </c>
      <c r="K18" s="737">
        <v>24487</v>
      </c>
      <c r="L18" s="571">
        <v>36000</v>
      </c>
      <c r="M18" s="397">
        <v>0</v>
      </c>
      <c r="N18" s="719">
        <f t="shared" si="5"/>
        <v>36000</v>
      </c>
      <c r="O18" s="377">
        <f t="shared" si="2"/>
        <v>120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7">
        <v>5500</v>
      </c>
      <c r="J19" s="397">
        <v>5500</v>
      </c>
      <c r="K19" s="737">
        <v>5066</v>
      </c>
      <c r="L19" s="571">
        <v>6800</v>
      </c>
      <c r="M19" s="397">
        <v>0</v>
      </c>
      <c r="N19" s="719">
        <f t="shared" si="5"/>
        <v>6800</v>
      </c>
      <c r="O19" s="377">
        <f t="shared" si="2"/>
        <v>123.63636363636363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9000</v>
      </c>
      <c r="J20" s="397">
        <f>9000+1285</f>
        <v>10285</v>
      </c>
      <c r="K20" s="737">
        <v>8675</v>
      </c>
      <c r="L20" s="571">
        <f>13290-1290</f>
        <v>12000</v>
      </c>
      <c r="M20" s="397">
        <v>1290</v>
      </c>
      <c r="N20" s="719">
        <f t="shared" si="5"/>
        <v>13290</v>
      </c>
      <c r="O20" s="377">
        <f t="shared" si="2"/>
        <v>129.21730675741372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200</v>
      </c>
      <c r="J21" s="397">
        <v>200</v>
      </c>
      <c r="K21" s="737">
        <v>114</v>
      </c>
      <c r="L21" s="571">
        <v>200</v>
      </c>
      <c r="M21" s="397">
        <v>0</v>
      </c>
      <c r="N21" s="719">
        <f t="shared" si="5"/>
        <v>200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8000</v>
      </c>
      <c r="J23" s="397">
        <v>8000</v>
      </c>
      <c r="K23" s="737">
        <v>4469</v>
      </c>
      <c r="L23" s="571">
        <v>6700</v>
      </c>
      <c r="M23" s="397">
        <v>0</v>
      </c>
      <c r="N23" s="719">
        <f t="shared" si="5"/>
        <v>6700</v>
      </c>
      <c r="O23" s="377">
        <f t="shared" si="2"/>
        <v>83.75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27740</v>
      </c>
      <c r="J25" s="397">
        <v>27740</v>
      </c>
      <c r="K25" s="737">
        <v>15481</v>
      </c>
      <c r="L25" s="571">
        <v>25500</v>
      </c>
      <c r="M25" s="397">
        <v>0</v>
      </c>
      <c r="N25" s="719">
        <f t="shared" si="5"/>
        <v>25500</v>
      </c>
      <c r="O25" s="377">
        <f t="shared" si="2"/>
        <v>91.925018024513335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37"/>
      <c r="J27" s="397"/>
      <c r="K27" s="737"/>
      <c r="L27" s="571"/>
      <c r="M27" s="397"/>
      <c r="N27" s="799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5000</v>
      </c>
      <c r="J28" s="325">
        <f t="shared" si="6"/>
        <v>5000</v>
      </c>
      <c r="K28" s="739">
        <f t="shared" si="6"/>
        <v>1492</v>
      </c>
      <c r="L28" s="588">
        <f t="shared" si="6"/>
        <v>5000</v>
      </c>
      <c r="M28" s="325">
        <f t="shared" si="6"/>
        <v>0</v>
      </c>
      <c r="N28" s="721">
        <f t="shared" si="6"/>
        <v>5000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37">
        <v>1492</v>
      </c>
      <c r="L30" s="622">
        <v>5000</v>
      </c>
      <c r="M30" s="326">
        <v>0</v>
      </c>
      <c r="N30" s="719">
        <f t="shared" si="7"/>
        <v>5000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37"/>
      <c r="L31" s="622"/>
      <c r="M31" s="326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38" t="s">
        <v>863</v>
      </c>
      <c r="J32" s="327" t="s">
        <v>863</v>
      </c>
      <c r="K32" s="741" t="s">
        <v>863</v>
      </c>
      <c r="L32" s="584" t="s">
        <v>941</v>
      </c>
      <c r="M32" s="308"/>
      <c r="N32" s="722" t="s">
        <v>941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1257420</v>
      </c>
      <c r="J33" s="318">
        <f>J8+J13+J16+J28</f>
        <v>1258705</v>
      </c>
      <c r="K33" s="575">
        <f t="shared" ref="K33" si="8">K8+K13+K16+K28</f>
        <v>916020</v>
      </c>
      <c r="L33" s="582">
        <f>L8+L13+L16+L28</f>
        <v>1266610</v>
      </c>
      <c r="M33" s="318">
        <f>M8+M13+M16+M28</f>
        <v>1290</v>
      </c>
      <c r="N33" s="721">
        <f>N8+N13+N16+N28</f>
        <v>1267900</v>
      </c>
      <c r="O33" s="376">
        <f t="shared" si="2"/>
        <v>100.73051270949109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M38" s="832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Q96"/>
  <sheetViews>
    <sheetView zoomScaleNormal="100" workbookViewId="0">
      <selection activeCell="L32" sqref="L32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790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113</v>
      </c>
      <c r="E7" s="667" t="s">
        <v>834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2263300</v>
      </c>
      <c r="J8" s="236">
        <f t="shared" si="0"/>
        <v>2263300</v>
      </c>
      <c r="K8" s="739">
        <f t="shared" si="0"/>
        <v>1648772</v>
      </c>
      <c r="L8" s="578">
        <f t="shared" si="0"/>
        <v>2309800</v>
      </c>
      <c r="M8" s="236">
        <f t="shared" si="0"/>
        <v>0</v>
      </c>
      <c r="N8" s="718">
        <f t="shared" si="0"/>
        <v>2309800</v>
      </c>
      <c r="O8" s="376">
        <f>IF(J8=0,"",N8/J8*100)</f>
        <v>102.05452215791102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1846030</v>
      </c>
      <c r="J9" s="235">
        <v>1846030</v>
      </c>
      <c r="K9" s="736">
        <v>1367722</v>
      </c>
      <c r="L9" s="579">
        <f>1903120+4000+760</f>
        <v>1907880</v>
      </c>
      <c r="M9" s="235">
        <v>0</v>
      </c>
      <c r="N9" s="719">
        <f>SUM(L9:M9)</f>
        <v>1907880</v>
      </c>
      <c r="O9" s="377">
        <f>IF(J9=0,"",N9/J9*100)</f>
        <v>103.35043309155323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4">
        <v>417270</v>
      </c>
      <c r="J10" s="235">
        <v>417270</v>
      </c>
      <c r="K10" s="736">
        <v>281050</v>
      </c>
      <c r="L10" s="579">
        <f>380540+3000+1680+2800+10900+3000</f>
        <v>401920</v>
      </c>
      <c r="M10" s="235">
        <v>0</v>
      </c>
      <c r="N10" s="719">
        <f t="shared" ref="N10:N11" si="1">SUM(L10:M10)</f>
        <v>401920</v>
      </c>
      <c r="O10" s="377">
        <f t="shared" ref="O10:O35" si="2">IF(J10=0,"",N10/J10*100)</f>
        <v>96.32132671891101</v>
      </c>
      <c r="Q10" s="63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4"/>
      <c r="J12" s="235"/>
      <c r="K12" s="736"/>
      <c r="L12" s="579"/>
      <c r="M12" s="235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199530</v>
      </c>
      <c r="J13" s="236">
        <f t="shared" si="3"/>
        <v>199530</v>
      </c>
      <c r="K13" s="739">
        <f t="shared" si="3"/>
        <v>146402</v>
      </c>
      <c r="L13" s="578">
        <f t="shared" si="3"/>
        <v>205910</v>
      </c>
      <c r="M13" s="236">
        <f t="shared" si="3"/>
        <v>0</v>
      </c>
      <c r="N13" s="718">
        <f t="shared" si="3"/>
        <v>205910</v>
      </c>
      <c r="O13" s="376">
        <f t="shared" si="2"/>
        <v>103.19751415827194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199530</v>
      </c>
      <c r="J14" s="235">
        <v>199530</v>
      </c>
      <c r="K14" s="736">
        <v>146402</v>
      </c>
      <c r="L14" s="579">
        <f>203800+1700+80+330</f>
        <v>205910</v>
      </c>
      <c r="M14" s="235">
        <v>0</v>
      </c>
      <c r="N14" s="719">
        <f>SUM(L14:M14)</f>
        <v>205910</v>
      </c>
      <c r="O14" s="377">
        <f t="shared" si="2"/>
        <v>103.19751415827194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35"/>
      <c r="J15" s="310"/>
      <c r="K15" s="736"/>
      <c r="L15" s="583"/>
      <c r="M15" s="310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185240</v>
      </c>
      <c r="J16" s="323">
        <f t="shared" si="4"/>
        <v>185240</v>
      </c>
      <c r="K16" s="778">
        <f t="shared" si="4"/>
        <v>100700</v>
      </c>
      <c r="L16" s="581">
        <f t="shared" si="4"/>
        <v>176900</v>
      </c>
      <c r="M16" s="323">
        <f t="shared" si="4"/>
        <v>0</v>
      </c>
      <c r="N16" s="721">
        <f t="shared" si="4"/>
        <v>176900</v>
      </c>
      <c r="O16" s="376">
        <f t="shared" si="2"/>
        <v>95.497732671129341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86">
        <v>7500</v>
      </c>
      <c r="J17" s="393">
        <v>7500</v>
      </c>
      <c r="K17" s="786">
        <v>992</v>
      </c>
      <c r="L17" s="568">
        <v>2200</v>
      </c>
      <c r="M17" s="393">
        <v>0</v>
      </c>
      <c r="N17" s="719">
        <f t="shared" ref="N17:N26" si="5">SUM(L17:M17)</f>
        <v>2200</v>
      </c>
      <c r="O17" s="377">
        <f t="shared" si="2"/>
        <v>29.333333333333332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86">
        <v>74000</v>
      </c>
      <c r="J18" s="393">
        <v>74000</v>
      </c>
      <c r="K18" s="786">
        <v>39456</v>
      </c>
      <c r="L18" s="568">
        <v>80000</v>
      </c>
      <c r="M18" s="393">
        <v>0</v>
      </c>
      <c r="N18" s="719">
        <f t="shared" si="5"/>
        <v>80000</v>
      </c>
      <c r="O18" s="377">
        <f t="shared" si="2"/>
        <v>108.10810810810811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86">
        <v>9200</v>
      </c>
      <c r="J19" s="393">
        <v>9200</v>
      </c>
      <c r="K19" s="786">
        <v>6045</v>
      </c>
      <c r="L19" s="568">
        <v>9200</v>
      </c>
      <c r="M19" s="393">
        <v>0</v>
      </c>
      <c r="N19" s="719">
        <f t="shared" si="5"/>
        <v>9200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6">
        <v>16500</v>
      </c>
      <c r="J20" s="396">
        <v>16500</v>
      </c>
      <c r="K20" s="736">
        <v>9835</v>
      </c>
      <c r="L20" s="568">
        <v>16500</v>
      </c>
      <c r="M20" s="396">
        <v>0</v>
      </c>
      <c r="N20" s="719">
        <f t="shared" si="5"/>
        <v>16500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6">
        <v>1500</v>
      </c>
      <c r="J21" s="396">
        <v>1500</v>
      </c>
      <c r="K21" s="736">
        <v>779</v>
      </c>
      <c r="L21" s="568">
        <v>1500</v>
      </c>
      <c r="M21" s="396">
        <v>0</v>
      </c>
      <c r="N21" s="719">
        <f t="shared" si="5"/>
        <v>1500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6">
        <v>0</v>
      </c>
      <c r="J22" s="396">
        <v>0</v>
      </c>
      <c r="K22" s="736">
        <v>0</v>
      </c>
      <c r="L22" s="568">
        <v>0</v>
      </c>
      <c r="M22" s="396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22000</v>
      </c>
      <c r="J23" s="396">
        <v>22000</v>
      </c>
      <c r="K23" s="736">
        <v>12567</v>
      </c>
      <c r="L23" s="568">
        <v>22000</v>
      </c>
      <c r="M23" s="396">
        <v>0</v>
      </c>
      <c r="N23" s="719">
        <f t="shared" si="5"/>
        <v>22000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0</v>
      </c>
      <c r="J24" s="396">
        <v>0</v>
      </c>
      <c r="K24" s="736">
        <v>0</v>
      </c>
      <c r="L24" s="568">
        <v>0</v>
      </c>
      <c r="M24" s="396">
        <v>0</v>
      </c>
      <c r="N24" s="719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6">
        <v>54540</v>
      </c>
      <c r="J25" s="396">
        <v>54540</v>
      </c>
      <c r="K25" s="736">
        <v>31026</v>
      </c>
      <c r="L25" s="568">
        <v>45500</v>
      </c>
      <c r="M25" s="396">
        <v>0</v>
      </c>
      <c r="N25" s="719">
        <f t="shared" si="5"/>
        <v>45500</v>
      </c>
      <c r="O25" s="377">
        <f t="shared" si="2"/>
        <v>83.425009167583426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35"/>
      <c r="J27" s="310"/>
      <c r="K27" s="736"/>
      <c r="L27" s="583"/>
      <c r="M27" s="310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SUM(I29:I31)</f>
        <v>7000</v>
      </c>
      <c r="J28" s="325">
        <f t="shared" si="6"/>
        <v>7000</v>
      </c>
      <c r="K28" s="739">
        <f t="shared" si="6"/>
        <v>0</v>
      </c>
      <c r="L28" s="588">
        <f t="shared" si="6"/>
        <v>7000</v>
      </c>
      <c r="M28" s="325">
        <f t="shared" si="6"/>
        <v>0</v>
      </c>
      <c r="N28" s="721">
        <f t="shared" si="6"/>
        <v>7000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35">
        <v>2000</v>
      </c>
      <c r="J29" s="310">
        <v>2000</v>
      </c>
      <c r="K29" s="736">
        <v>0</v>
      </c>
      <c r="L29" s="583">
        <v>2000</v>
      </c>
      <c r="M29" s="310">
        <v>0</v>
      </c>
      <c r="N29" s="719">
        <f t="shared" ref="N29:N30" si="7">SUM(L29:M29)</f>
        <v>2000</v>
      </c>
      <c r="O29" s="377">
        <f t="shared" si="2"/>
        <v>100</v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35">
        <v>5000</v>
      </c>
      <c r="J30" s="310">
        <v>5000</v>
      </c>
      <c r="K30" s="736">
        <v>0</v>
      </c>
      <c r="L30" s="583">
        <v>5000</v>
      </c>
      <c r="M30" s="310">
        <v>0</v>
      </c>
      <c r="N30" s="719">
        <f t="shared" si="7"/>
        <v>5000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20"/>
      <c r="I31" s="735"/>
      <c r="J31" s="310"/>
      <c r="K31" s="736"/>
      <c r="L31" s="583"/>
      <c r="M31" s="310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0" t="s">
        <v>864</v>
      </c>
      <c r="J32" s="308" t="s">
        <v>864</v>
      </c>
      <c r="K32" s="785" t="s">
        <v>919</v>
      </c>
      <c r="L32" s="627" t="s">
        <v>919</v>
      </c>
      <c r="M32" s="308"/>
      <c r="N32" s="722" t="s">
        <v>919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2655070</v>
      </c>
      <c r="J33" s="318">
        <f>J8+J13+J16+J28</f>
        <v>2655070</v>
      </c>
      <c r="K33" s="575">
        <f t="shared" ref="K33" si="8">K8+K13+K16+K28</f>
        <v>1895874</v>
      </c>
      <c r="L33" s="582">
        <f>L8+L13+L16+L28</f>
        <v>2699610</v>
      </c>
      <c r="M33" s="318">
        <f>M8+M13+M16+M28</f>
        <v>0</v>
      </c>
      <c r="N33" s="721">
        <f>N8+N13+N16+N28</f>
        <v>2699610</v>
      </c>
      <c r="O33" s="376">
        <f t="shared" si="2"/>
        <v>101.67754522479633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F38" s="338"/>
      <c r="G38" s="364"/>
      <c r="L38" s="80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B44" s="55"/>
      <c r="F44" s="338"/>
      <c r="G44" s="364"/>
      <c r="N44" s="423"/>
    </row>
    <row r="45" spans="1:15" ht="12.95" customHeight="1">
      <c r="B45" s="55"/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Q96"/>
  <sheetViews>
    <sheetView zoomScaleNormal="100" workbookViewId="0">
      <selection activeCell="Q29" sqref="Q29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792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118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616370</v>
      </c>
      <c r="J8" s="236">
        <f t="shared" si="0"/>
        <v>616370</v>
      </c>
      <c r="K8" s="739">
        <f t="shared" si="0"/>
        <v>443179</v>
      </c>
      <c r="L8" s="578">
        <f t="shared" si="0"/>
        <v>616340</v>
      </c>
      <c r="M8" s="236">
        <f t="shared" si="0"/>
        <v>0</v>
      </c>
      <c r="N8" s="718">
        <f t="shared" si="0"/>
        <v>616340</v>
      </c>
      <c r="O8" s="376">
        <f>IF(J8=0,"",N8/J8*100)</f>
        <v>99.995132793614232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511510</v>
      </c>
      <c r="J9" s="238">
        <v>511510</v>
      </c>
      <c r="K9" s="737">
        <v>378430</v>
      </c>
      <c r="L9" s="626">
        <f>515050+1200+3000+1000</f>
        <v>520250</v>
      </c>
      <c r="M9" s="238">
        <v>0</v>
      </c>
      <c r="N9" s="719">
        <f>SUM(L9:M9)</f>
        <v>520250</v>
      </c>
      <c r="O9" s="377">
        <f>IF(J9=0,"",N9/J9*100)</f>
        <v>101.70866649723369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104860</v>
      </c>
      <c r="J10" s="238">
        <v>104860</v>
      </c>
      <c r="K10" s="737">
        <v>64749</v>
      </c>
      <c r="L10" s="626">
        <f>87390+1000+3800+2900+1000</f>
        <v>96090</v>
      </c>
      <c r="M10" s="238">
        <v>0</v>
      </c>
      <c r="N10" s="719">
        <f t="shared" ref="N10:N11" si="1">SUM(L10:M10)</f>
        <v>96090</v>
      </c>
      <c r="O10" s="377">
        <f t="shared" ref="O10:O35" si="2">IF(J10=0,"",N10/J10*100)</f>
        <v>91.636467671180625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79"/>
      <c r="J12" s="238"/>
      <c r="K12" s="737"/>
      <c r="L12" s="626"/>
      <c r="M12" s="238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54300</v>
      </c>
      <c r="J13" s="236">
        <f t="shared" si="3"/>
        <v>54300</v>
      </c>
      <c r="K13" s="739">
        <f t="shared" si="3"/>
        <v>40158</v>
      </c>
      <c r="L13" s="578">
        <f t="shared" si="3"/>
        <v>55210</v>
      </c>
      <c r="M13" s="236">
        <f t="shared" si="3"/>
        <v>0</v>
      </c>
      <c r="N13" s="718">
        <f t="shared" si="3"/>
        <v>55210</v>
      </c>
      <c r="O13" s="376">
        <f t="shared" si="2"/>
        <v>101.67587476979743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54300</v>
      </c>
      <c r="J14" s="238">
        <v>54300</v>
      </c>
      <c r="K14" s="737">
        <v>40158</v>
      </c>
      <c r="L14" s="626">
        <f>54600+500+110</f>
        <v>55210</v>
      </c>
      <c r="M14" s="238">
        <v>0</v>
      </c>
      <c r="N14" s="719">
        <f>SUM(L14:M14)</f>
        <v>55210</v>
      </c>
      <c r="O14" s="377">
        <f t="shared" si="2"/>
        <v>101.67587476979743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74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49740</v>
      </c>
      <c r="J16" s="323">
        <f t="shared" si="4"/>
        <v>49740</v>
      </c>
      <c r="K16" s="778">
        <f t="shared" si="4"/>
        <v>30498</v>
      </c>
      <c r="L16" s="581">
        <f t="shared" si="4"/>
        <v>56000</v>
      </c>
      <c r="M16" s="323">
        <f t="shared" si="4"/>
        <v>0</v>
      </c>
      <c r="N16" s="721">
        <f t="shared" si="4"/>
        <v>56000</v>
      </c>
      <c r="O16" s="376">
        <f t="shared" si="2"/>
        <v>112.58544431041415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2000</v>
      </c>
      <c r="J17" s="395">
        <v>2000</v>
      </c>
      <c r="K17" s="774">
        <v>466</v>
      </c>
      <c r="L17" s="571">
        <v>1000</v>
      </c>
      <c r="M17" s="395">
        <v>0</v>
      </c>
      <c r="N17" s="719">
        <f t="shared" ref="N17:N26" si="5">SUM(L17:M17)</f>
        <v>1000</v>
      </c>
      <c r="O17" s="377">
        <f t="shared" si="2"/>
        <v>50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18700</v>
      </c>
      <c r="J18" s="395">
        <v>18700</v>
      </c>
      <c r="K18" s="774">
        <v>6971</v>
      </c>
      <c r="L18" s="571">
        <v>18700</v>
      </c>
      <c r="M18" s="395">
        <v>0</v>
      </c>
      <c r="N18" s="719">
        <f t="shared" si="5"/>
        <v>18700</v>
      </c>
      <c r="O18" s="377">
        <f t="shared" si="2"/>
        <v>100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2500</v>
      </c>
      <c r="J19" s="395">
        <v>2500</v>
      </c>
      <c r="K19" s="774">
        <v>1793</v>
      </c>
      <c r="L19" s="571">
        <v>2500</v>
      </c>
      <c r="M19" s="395">
        <v>0</v>
      </c>
      <c r="N19" s="719">
        <f t="shared" si="5"/>
        <v>2500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8000</v>
      </c>
      <c r="J20" s="395">
        <v>8000</v>
      </c>
      <c r="K20" s="774">
        <v>6532</v>
      </c>
      <c r="L20" s="571">
        <v>9500</v>
      </c>
      <c r="M20" s="395">
        <v>0</v>
      </c>
      <c r="N20" s="719">
        <f t="shared" si="5"/>
        <v>9500</v>
      </c>
      <c r="O20" s="377">
        <f t="shared" si="2"/>
        <v>118.75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300</v>
      </c>
      <c r="J21" s="395">
        <v>300</v>
      </c>
      <c r="K21" s="774">
        <v>200</v>
      </c>
      <c r="L21" s="571">
        <v>300</v>
      </c>
      <c r="M21" s="395">
        <v>0</v>
      </c>
      <c r="N21" s="719">
        <f t="shared" si="5"/>
        <v>300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395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9500</v>
      </c>
      <c r="J23" s="397">
        <v>9500</v>
      </c>
      <c r="K23" s="737">
        <v>6527</v>
      </c>
      <c r="L23" s="571">
        <v>9500</v>
      </c>
      <c r="M23" s="397">
        <v>0</v>
      </c>
      <c r="N23" s="719">
        <f t="shared" si="5"/>
        <v>9500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8740</v>
      </c>
      <c r="J25" s="397">
        <v>8740</v>
      </c>
      <c r="K25" s="737">
        <v>8009</v>
      </c>
      <c r="L25" s="571">
        <v>14500</v>
      </c>
      <c r="M25" s="397">
        <v>0</v>
      </c>
      <c r="N25" s="719">
        <f t="shared" si="5"/>
        <v>14500</v>
      </c>
      <c r="O25" s="377">
        <f t="shared" si="2"/>
        <v>165.90389016018307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19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4000</v>
      </c>
      <c r="J28" s="325">
        <f t="shared" si="6"/>
        <v>4000</v>
      </c>
      <c r="K28" s="739">
        <f t="shared" si="6"/>
        <v>363</v>
      </c>
      <c r="L28" s="588">
        <f t="shared" si="6"/>
        <v>4000</v>
      </c>
      <c r="M28" s="325">
        <f t="shared" si="6"/>
        <v>0</v>
      </c>
      <c r="N28" s="721">
        <f t="shared" si="6"/>
        <v>4000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4000</v>
      </c>
      <c r="J30" s="326">
        <v>4000</v>
      </c>
      <c r="K30" s="737">
        <v>363</v>
      </c>
      <c r="L30" s="622">
        <v>4000</v>
      </c>
      <c r="M30" s="326">
        <v>0</v>
      </c>
      <c r="N30" s="719">
        <f t="shared" si="7"/>
        <v>4000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0" t="s">
        <v>836</v>
      </c>
      <c r="J32" s="308" t="s">
        <v>836</v>
      </c>
      <c r="K32" s="785" t="s">
        <v>920</v>
      </c>
      <c r="L32" s="627" t="s">
        <v>940</v>
      </c>
      <c r="M32" s="308"/>
      <c r="N32" s="722" t="s">
        <v>940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724410</v>
      </c>
      <c r="J33" s="318">
        <f>J8+J13+J16+J28</f>
        <v>724410</v>
      </c>
      <c r="K33" s="575">
        <f t="shared" ref="K33" si="8">K8+K13+K16+K28</f>
        <v>514198</v>
      </c>
      <c r="L33" s="582">
        <f>L8+L13+L16+L28</f>
        <v>731550</v>
      </c>
      <c r="M33" s="318">
        <f>M8+M13+M16+M28</f>
        <v>0</v>
      </c>
      <c r="N33" s="721">
        <f>N8+N13+N16+N28</f>
        <v>731550</v>
      </c>
      <c r="O33" s="376">
        <f t="shared" si="2"/>
        <v>100.98562968484698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B46" s="55"/>
      <c r="F46" s="338"/>
      <c r="G46" s="364"/>
      <c r="N46" s="425"/>
    </row>
    <row r="47" spans="1:15" ht="12.95" customHeight="1">
      <c r="B47" s="55"/>
      <c r="F47" s="338"/>
      <c r="G47" s="364"/>
      <c r="N47" s="425"/>
    </row>
    <row r="48" spans="1:15" ht="12.95" customHeight="1">
      <c r="B48" s="55"/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Q96"/>
  <sheetViews>
    <sheetView zoomScaleNormal="100" workbookViewId="0">
      <selection activeCell="L32" sqref="L32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804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119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746770</v>
      </c>
      <c r="J8" s="236">
        <f t="shared" si="0"/>
        <v>746770</v>
      </c>
      <c r="K8" s="739">
        <f t="shared" si="0"/>
        <v>532121</v>
      </c>
      <c r="L8" s="578">
        <f t="shared" si="0"/>
        <v>735210</v>
      </c>
      <c r="M8" s="236">
        <f t="shared" si="0"/>
        <v>0</v>
      </c>
      <c r="N8" s="718">
        <f t="shared" si="0"/>
        <v>735210</v>
      </c>
      <c r="O8" s="376">
        <f>IF(J8=0,"",N8/J8*100)</f>
        <v>98.45199994643599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620920</v>
      </c>
      <c r="J9" s="238">
        <v>620920</v>
      </c>
      <c r="K9" s="737">
        <v>451771</v>
      </c>
      <c r="L9" s="626">
        <f>613460+1700+2*2*1600</f>
        <v>621560</v>
      </c>
      <c r="M9" s="238">
        <v>0</v>
      </c>
      <c r="N9" s="719">
        <f>SUM(L9:M9)</f>
        <v>621560</v>
      </c>
      <c r="O9" s="377">
        <f>IF(J9=0,"",N9/J9*100)</f>
        <v>100.10307285962764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125850</v>
      </c>
      <c r="J10" s="238">
        <v>125850</v>
      </c>
      <c r="K10" s="737">
        <v>80350</v>
      </c>
      <c r="L10" s="626">
        <f>107010+1000+2*420+3800+1000</f>
        <v>113650</v>
      </c>
      <c r="M10" s="238">
        <v>0</v>
      </c>
      <c r="N10" s="719">
        <f t="shared" ref="N10:N11" si="1">SUM(L10:M10)</f>
        <v>113650</v>
      </c>
      <c r="O10" s="377">
        <f t="shared" ref="O10:O35" si="2">IF(J10=0,"",N10/J10*100)</f>
        <v>90.305919745729042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66090</v>
      </c>
      <c r="J13" s="236">
        <f t="shared" si="3"/>
        <v>66090</v>
      </c>
      <c r="K13" s="739">
        <f t="shared" si="3"/>
        <v>48277</v>
      </c>
      <c r="L13" s="578">
        <f t="shared" si="3"/>
        <v>66860</v>
      </c>
      <c r="M13" s="236">
        <f t="shared" si="3"/>
        <v>0</v>
      </c>
      <c r="N13" s="718">
        <f t="shared" si="3"/>
        <v>66860</v>
      </c>
      <c r="O13" s="376">
        <f t="shared" si="2"/>
        <v>101.16507792404296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66090</v>
      </c>
      <c r="J14" s="238">
        <v>66090</v>
      </c>
      <c r="K14" s="737">
        <v>48277</v>
      </c>
      <c r="L14" s="626">
        <f>65370+700+2*2*170+110</f>
        <v>66860</v>
      </c>
      <c r="M14" s="238">
        <v>0</v>
      </c>
      <c r="N14" s="719">
        <f>SUM(L14:M14)</f>
        <v>66860</v>
      </c>
      <c r="O14" s="377">
        <f t="shared" si="2"/>
        <v>101.16507792404296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0"/>
      <c r="L15" s="582"/>
      <c r="M15" s="318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57040</v>
      </c>
      <c r="J16" s="323">
        <f t="shared" si="4"/>
        <v>57040</v>
      </c>
      <c r="K16" s="778">
        <f t="shared" si="4"/>
        <v>46623</v>
      </c>
      <c r="L16" s="581">
        <f t="shared" si="4"/>
        <v>69600</v>
      </c>
      <c r="M16" s="323">
        <f t="shared" si="4"/>
        <v>0</v>
      </c>
      <c r="N16" s="721">
        <f t="shared" si="4"/>
        <v>69600</v>
      </c>
      <c r="O16" s="376">
        <f t="shared" si="2"/>
        <v>122.0196353436185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2700</v>
      </c>
      <c r="J17" s="395">
        <v>2700</v>
      </c>
      <c r="K17" s="774">
        <v>435</v>
      </c>
      <c r="L17" s="571">
        <v>1000</v>
      </c>
      <c r="M17" s="395">
        <v>0</v>
      </c>
      <c r="N17" s="719">
        <f t="shared" ref="N17:N26" si="5">SUM(L17:M17)</f>
        <v>1000</v>
      </c>
      <c r="O17" s="377">
        <f t="shared" si="2"/>
        <v>37.037037037037038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28000</v>
      </c>
      <c r="J18" s="395">
        <v>28000</v>
      </c>
      <c r="K18" s="774">
        <v>25998</v>
      </c>
      <c r="L18" s="571">
        <v>35000</v>
      </c>
      <c r="M18" s="395">
        <v>0</v>
      </c>
      <c r="N18" s="719">
        <f t="shared" si="5"/>
        <v>35000</v>
      </c>
      <c r="O18" s="377">
        <f t="shared" si="2"/>
        <v>125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7">
        <v>2600</v>
      </c>
      <c r="J19" s="397">
        <v>2600</v>
      </c>
      <c r="K19" s="737">
        <v>1445</v>
      </c>
      <c r="L19" s="571">
        <v>2600</v>
      </c>
      <c r="M19" s="397">
        <v>0</v>
      </c>
      <c r="N19" s="719">
        <f t="shared" si="5"/>
        <v>2600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7000</v>
      </c>
      <c r="J20" s="397">
        <v>5500</v>
      </c>
      <c r="K20" s="737">
        <v>4264</v>
      </c>
      <c r="L20" s="571">
        <v>5500</v>
      </c>
      <c r="M20" s="397">
        <v>0</v>
      </c>
      <c r="N20" s="719">
        <f t="shared" si="5"/>
        <v>5500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0</v>
      </c>
      <c r="J21" s="397">
        <v>0</v>
      </c>
      <c r="K21" s="737">
        <v>0</v>
      </c>
      <c r="L21" s="571">
        <v>0</v>
      </c>
      <c r="M21" s="397">
        <v>0</v>
      </c>
      <c r="N21" s="719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8000</v>
      </c>
      <c r="J23" s="397">
        <v>7500</v>
      </c>
      <c r="K23" s="737">
        <v>4868</v>
      </c>
      <c r="L23" s="571">
        <v>9500</v>
      </c>
      <c r="M23" s="397">
        <v>0</v>
      </c>
      <c r="N23" s="719">
        <f t="shared" si="5"/>
        <v>9500</v>
      </c>
      <c r="O23" s="377">
        <f t="shared" si="2"/>
        <v>126.66666666666666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8740</v>
      </c>
      <c r="J25" s="397">
        <v>10740</v>
      </c>
      <c r="K25" s="737">
        <v>9613</v>
      </c>
      <c r="L25" s="571">
        <v>16000</v>
      </c>
      <c r="M25" s="397">
        <v>0</v>
      </c>
      <c r="N25" s="719">
        <f t="shared" si="5"/>
        <v>16000</v>
      </c>
      <c r="O25" s="377">
        <f t="shared" si="2"/>
        <v>148.975791433892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15000</v>
      </c>
      <c r="J28" s="325">
        <f t="shared" si="6"/>
        <v>15000</v>
      </c>
      <c r="K28" s="739">
        <f t="shared" si="6"/>
        <v>14168</v>
      </c>
      <c r="L28" s="588">
        <f t="shared" si="6"/>
        <v>14170</v>
      </c>
      <c r="M28" s="325">
        <f t="shared" si="6"/>
        <v>0</v>
      </c>
      <c r="N28" s="721">
        <f t="shared" si="6"/>
        <v>14170</v>
      </c>
      <c r="O28" s="376">
        <f t="shared" si="2"/>
        <v>94.466666666666669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15000</v>
      </c>
      <c r="J30" s="326">
        <v>15000</v>
      </c>
      <c r="K30" s="737">
        <v>14168</v>
      </c>
      <c r="L30" s="622">
        <v>14170</v>
      </c>
      <c r="M30" s="326">
        <v>0</v>
      </c>
      <c r="N30" s="719">
        <f t="shared" si="7"/>
        <v>14170</v>
      </c>
      <c r="O30" s="377">
        <f t="shared" si="2"/>
        <v>94.466666666666669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38" t="s">
        <v>865</v>
      </c>
      <c r="J32" s="327" t="s">
        <v>865</v>
      </c>
      <c r="K32" s="741" t="s">
        <v>921</v>
      </c>
      <c r="L32" s="584" t="s">
        <v>865</v>
      </c>
      <c r="M32" s="308"/>
      <c r="N32" s="722" t="s">
        <v>865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884900</v>
      </c>
      <c r="J33" s="318">
        <f>J8+J13+J16+J28</f>
        <v>884900</v>
      </c>
      <c r="K33" s="575">
        <f t="shared" ref="K33" si="8">K8+K13+K16+K28</f>
        <v>641189</v>
      </c>
      <c r="L33" s="582">
        <f>L8+L13+L16+L28</f>
        <v>885840</v>
      </c>
      <c r="M33" s="318">
        <f>M8+M13+M16+M28</f>
        <v>0</v>
      </c>
      <c r="N33" s="721">
        <f>N8+N13+N16+N28</f>
        <v>885840</v>
      </c>
      <c r="O33" s="376">
        <f t="shared" si="2"/>
        <v>100.10622669228162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86"/>
      <c r="J35" s="309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Q96"/>
  <sheetViews>
    <sheetView zoomScaleNormal="100" workbookViewId="0">
      <selection activeCell="L32" sqref="L32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791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133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887890</v>
      </c>
      <c r="J8" s="236">
        <f t="shared" si="0"/>
        <v>887890</v>
      </c>
      <c r="K8" s="739">
        <f t="shared" si="0"/>
        <v>650154</v>
      </c>
      <c r="L8" s="578">
        <f t="shared" si="0"/>
        <v>884920</v>
      </c>
      <c r="M8" s="236">
        <f t="shared" si="0"/>
        <v>0</v>
      </c>
      <c r="N8" s="718">
        <f t="shared" si="0"/>
        <v>884920</v>
      </c>
      <c r="O8" s="376">
        <f>IF(J8=0,"",N8/J8*100)</f>
        <v>99.665499104618817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732290</v>
      </c>
      <c r="J9" s="238">
        <v>732290</v>
      </c>
      <c r="K9" s="737">
        <v>540161</v>
      </c>
      <c r="L9" s="626">
        <f>730210+1900</f>
        <v>732110</v>
      </c>
      <c r="M9" s="238">
        <v>0</v>
      </c>
      <c r="N9" s="719">
        <f>SUM(L9:M9)</f>
        <v>732110</v>
      </c>
      <c r="O9" s="377">
        <f>IF(J9=0,"",N9/J9*100)</f>
        <v>99.975419574212395</v>
      </c>
      <c r="P9" s="55"/>
      <c r="Q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155600</v>
      </c>
      <c r="J10" s="238">
        <v>155600</v>
      </c>
      <c r="K10" s="737">
        <v>109993</v>
      </c>
      <c r="L10" s="626">
        <f>146410+1200+4200+1000</f>
        <v>152810</v>
      </c>
      <c r="M10" s="238">
        <v>0</v>
      </c>
      <c r="N10" s="719">
        <f t="shared" ref="N10:N11" si="1">SUM(L10:M10)</f>
        <v>152810</v>
      </c>
      <c r="O10" s="377">
        <f t="shared" ref="O10:O35" si="2">IF(J10=0,"",N10/J10*100)</f>
        <v>98.206940874035979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78060</v>
      </c>
      <c r="J13" s="236">
        <f t="shared" si="3"/>
        <v>78060</v>
      </c>
      <c r="K13" s="739">
        <f t="shared" si="3"/>
        <v>57358</v>
      </c>
      <c r="L13" s="578">
        <f t="shared" si="3"/>
        <v>78380</v>
      </c>
      <c r="M13" s="236">
        <f t="shared" si="3"/>
        <v>0</v>
      </c>
      <c r="N13" s="718">
        <f t="shared" si="3"/>
        <v>78380</v>
      </c>
      <c r="O13" s="376">
        <f t="shared" si="2"/>
        <v>100.40994107097106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78060</v>
      </c>
      <c r="J14" s="238">
        <v>78060</v>
      </c>
      <c r="K14" s="737">
        <v>57358</v>
      </c>
      <c r="L14" s="626">
        <f>77520+750+110</f>
        <v>78380</v>
      </c>
      <c r="M14" s="238">
        <v>0</v>
      </c>
      <c r="N14" s="719">
        <f>SUM(L14:M14)</f>
        <v>78380</v>
      </c>
      <c r="O14" s="377">
        <f t="shared" si="2"/>
        <v>100.40994107097106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0"/>
      <c r="L15" s="582"/>
      <c r="M15" s="318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68490</v>
      </c>
      <c r="J16" s="323">
        <f t="shared" si="4"/>
        <v>68490</v>
      </c>
      <c r="K16" s="778">
        <f t="shared" si="4"/>
        <v>43760</v>
      </c>
      <c r="L16" s="581">
        <f t="shared" si="4"/>
        <v>70240</v>
      </c>
      <c r="M16" s="323">
        <f t="shared" si="4"/>
        <v>0</v>
      </c>
      <c r="N16" s="721">
        <f t="shared" si="4"/>
        <v>70240</v>
      </c>
      <c r="O16" s="376">
        <f t="shared" si="2"/>
        <v>102.55511753540662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2800</v>
      </c>
      <c r="J17" s="395">
        <v>800</v>
      </c>
      <c r="K17" s="774">
        <v>297</v>
      </c>
      <c r="L17" s="571">
        <v>800</v>
      </c>
      <c r="M17" s="395">
        <v>0</v>
      </c>
      <c r="N17" s="719">
        <f t="shared" ref="N17:N26" si="5">SUM(L17:M17)</f>
        <v>800</v>
      </c>
      <c r="O17" s="377">
        <f t="shared" si="2"/>
        <v>100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30000</v>
      </c>
      <c r="J18" s="395">
        <v>27000</v>
      </c>
      <c r="K18" s="774">
        <v>5401</v>
      </c>
      <c r="L18" s="571">
        <v>22000</v>
      </c>
      <c r="M18" s="395">
        <v>0</v>
      </c>
      <c r="N18" s="719">
        <f t="shared" si="5"/>
        <v>22000</v>
      </c>
      <c r="O18" s="377">
        <f t="shared" si="2"/>
        <v>81.481481481481481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3900</v>
      </c>
      <c r="J19" s="395">
        <v>3900</v>
      </c>
      <c r="K19" s="774">
        <v>3670</v>
      </c>
      <c r="L19" s="571">
        <v>5000</v>
      </c>
      <c r="M19" s="395">
        <v>0</v>
      </c>
      <c r="N19" s="719">
        <f t="shared" si="5"/>
        <v>5000</v>
      </c>
      <c r="O19" s="377">
        <f t="shared" si="2"/>
        <v>128.2051282051282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9000</v>
      </c>
      <c r="J20" s="395">
        <v>8000</v>
      </c>
      <c r="K20" s="774">
        <v>7704</v>
      </c>
      <c r="L20" s="571">
        <v>10000</v>
      </c>
      <c r="M20" s="395">
        <v>0</v>
      </c>
      <c r="N20" s="719">
        <f t="shared" si="5"/>
        <v>10000</v>
      </c>
      <c r="O20" s="377">
        <f t="shared" si="2"/>
        <v>125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1000</v>
      </c>
      <c r="J21" s="397">
        <v>1000</v>
      </c>
      <c r="K21" s="737">
        <v>815</v>
      </c>
      <c r="L21" s="571">
        <v>1000</v>
      </c>
      <c r="M21" s="397">
        <v>0</v>
      </c>
      <c r="N21" s="719">
        <f t="shared" si="5"/>
        <v>1000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12000</v>
      </c>
      <c r="J23" s="397">
        <v>12000</v>
      </c>
      <c r="K23" s="737">
        <v>11425</v>
      </c>
      <c r="L23" s="571">
        <v>14150</v>
      </c>
      <c r="M23" s="397">
        <v>0</v>
      </c>
      <c r="N23" s="719">
        <f t="shared" si="5"/>
        <v>14150</v>
      </c>
      <c r="O23" s="377">
        <f t="shared" si="2"/>
        <v>117.91666666666667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1050</v>
      </c>
      <c r="J24" s="397">
        <v>1050</v>
      </c>
      <c r="K24" s="737">
        <v>1050</v>
      </c>
      <c r="L24" s="571">
        <v>1050</v>
      </c>
      <c r="M24" s="397">
        <v>0</v>
      </c>
      <c r="N24" s="719">
        <f t="shared" si="5"/>
        <v>1050</v>
      </c>
      <c r="O24" s="377">
        <f t="shared" si="2"/>
        <v>100</v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8740</v>
      </c>
      <c r="J25" s="397">
        <v>14740</v>
      </c>
      <c r="K25" s="737">
        <v>13398</v>
      </c>
      <c r="L25" s="571">
        <v>16240</v>
      </c>
      <c r="M25" s="397">
        <v>0</v>
      </c>
      <c r="N25" s="719">
        <f t="shared" si="5"/>
        <v>16240</v>
      </c>
      <c r="O25" s="377">
        <f t="shared" si="2"/>
        <v>110.17639077340571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19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18000</v>
      </c>
      <c r="J28" s="325">
        <f t="shared" si="6"/>
        <v>22537</v>
      </c>
      <c r="K28" s="739">
        <f t="shared" si="6"/>
        <v>17106</v>
      </c>
      <c r="L28" s="588">
        <f t="shared" si="6"/>
        <v>18000</v>
      </c>
      <c r="M28" s="325">
        <f t="shared" si="6"/>
        <v>4540</v>
      </c>
      <c r="N28" s="721">
        <f t="shared" si="6"/>
        <v>22540</v>
      </c>
      <c r="O28" s="376">
        <f t="shared" si="2"/>
        <v>100.01331144340418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3000</v>
      </c>
      <c r="J29" s="326">
        <v>3000</v>
      </c>
      <c r="K29" s="737">
        <v>2938</v>
      </c>
      <c r="L29" s="622">
        <v>3000</v>
      </c>
      <c r="M29" s="326">
        <v>0</v>
      </c>
      <c r="N29" s="719">
        <f t="shared" ref="N29:N30" si="7">SUM(L29:M29)</f>
        <v>3000</v>
      </c>
      <c r="O29" s="377">
        <f t="shared" si="2"/>
        <v>100</v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15000</v>
      </c>
      <c r="J30" s="326">
        <f>15000+4537</f>
        <v>19537</v>
      </c>
      <c r="K30" s="737">
        <v>14168</v>
      </c>
      <c r="L30" s="622">
        <v>15000</v>
      </c>
      <c r="M30" s="326">
        <v>4540</v>
      </c>
      <c r="N30" s="719">
        <f t="shared" si="7"/>
        <v>19540</v>
      </c>
      <c r="O30" s="377">
        <f t="shared" si="2"/>
        <v>100.01535547934688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38" t="s">
        <v>866</v>
      </c>
      <c r="J32" s="327" t="s">
        <v>866</v>
      </c>
      <c r="K32" s="741" t="s">
        <v>922</v>
      </c>
      <c r="L32" s="584" t="s">
        <v>939</v>
      </c>
      <c r="M32" s="327"/>
      <c r="N32" s="722" t="s">
        <v>939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1052440</v>
      </c>
      <c r="J33" s="318">
        <f>J8+J13+J16+J28</f>
        <v>1056977</v>
      </c>
      <c r="K33" s="575">
        <f t="shared" ref="K33" si="8">K8+K13+K16+K28</f>
        <v>768378</v>
      </c>
      <c r="L33" s="582">
        <f>L8+L13+L16+L28</f>
        <v>1051540</v>
      </c>
      <c r="M33" s="318">
        <f>M8+M13+M16+M28</f>
        <v>4540</v>
      </c>
      <c r="N33" s="721">
        <f>N8+N13+N16+N28</f>
        <v>1056080</v>
      </c>
      <c r="O33" s="376">
        <f t="shared" si="2"/>
        <v>99.915135334070655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Q96"/>
  <sheetViews>
    <sheetView zoomScaleNormal="100" workbookViewId="0">
      <selection activeCell="M39" sqref="M39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793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134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337470</v>
      </c>
      <c r="J8" s="236">
        <f t="shared" si="0"/>
        <v>337470</v>
      </c>
      <c r="K8" s="739">
        <f t="shared" si="0"/>
        <v>245341</v>
      </c>
      <c r="L8" s="578">
        <f t="shared" si="0"/>
        <v>354740</v>
      </c>
      <c r="M8" s="236">
        <f t="shared" si="0"/>
        <v>0</v>
      </c>
      <c r="N8" s="718">
        <f t="shared" si="0"/>
        <v>354740</v>
      </c>
      <c r="O8" s="376">
        <f>IF(J8=0,"",N8/J8*100)</f>
        <v>105.11749192520816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267000</v>
      </c>
      <c r="J9" s="238">
        <v>267000</v>
      </c>
      <c r="K9" s="737">
        <v>199798</v>
      </c>
      <c r="L9" s="626">
        <f>283090+2000+2*1350</f>
        <v>287790</v>
      </c>
      <c r="M9" s="238">
        <v>0</v>
      </c>
      <c r="N9" s="719">
        <f>SUM(L9:M9)</f>
        <v>287790</v>
      </c>
      <c r="O9" s="377">
        <f>IF(J9=0,"",N9/J9*100)</f>
        <v>107.7865168539326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70470</v>
      </c>
      <c r="J10" s="238">
        <v>70470</v>
      </c>
      <c r="K10" s="737">
        <v>45543</v>
      </c>
      <c r="L10" s="626">
        <f>62530+1500+420+2000+500</f>
        <v>66950</v>
      </c>
      <c r="M10" s="238">
        <v>0</v>
      </c>
      <c r="N10" s="719">
        <f t="shared" ref="N10:N11" si="1">SUM(L10:M10)</f>
        <v>66950</v>
      </c>
      <c r="O10" s="377">
        <f t="shared" ref="O10:O35" si="2">IF(J10=0,"",N10/J10*100)</f>
        <v>95.004966652476227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28520</v>
      </c>
      <c r="J13" s="236">
        <f t="shared" si="3"/>
        <v>28520</v>
      </c>
      <c r="K13" s="739">
        <f t="shared" si="3"/>
        <v>21639</v>
      </c>
      <c r="L13" s="578">
        <f t="shared" si="3"/>
        <v>31610</v>
      </c>
      <c r="M13" s="236">
        <f t="shared" si="3"/>
        <v>0</v>
      </c>
      <c r="N13" s="718">
        <f t="shared" si="3"/>
        <v>31610</v>
      </c>
      <c r="O13" s="376">
        <f t="shared" si="2"/>
        <v>110.83450210378683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28520</v>
      </c>
      <c r="J14" s="238">
        <v>28520</v>
      </c>
      <c r="K14" s="737">
        <v>21639</v>
      </c>
      <c r="L14" s="626">
        <f>30450+800+2*150+60</f>
        <v>31610</v>
      </c>
      <c r="M14" s="238">
        <v>0</v>
      </c>
      <c r="N14" s="719">
        <f>SUM(L14:M14)</f>
        <v>31610</v>
      </c>
      <c r="O14" s="377">
        <f t="shared" si="2"/>
        <v>110.83450210378683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0"/>
      <c r="L15" s="582"/>
      <c r="M15" s="318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38600</v>
      </c>
      <c r="J16" s="323">
        <f t="shared" si="4"/>
        <v>38600</v>
      </c>
      <c r="K16" s="778">
        <f t="shared" si="4"/>
        <v>25818</v>
      </c>
      <c r="L16" s="581">
        <f t="shared" si="4"/>
        <v>39150</v>
      </c>
      <c r="M16" s="323">
        <f t="shared" si="4"/>
        <v>0</v>
      </c>
      <c r="N16" s="721">
        <f t="shared" si="4"/>
        <v>39150</v>
      </c>
      <c r="O16" s="376">
        <f t="shared" si="2"/>
        <v>101.42487046632125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2500</v>
      </c>
      <c r="J17" s="395">
        <v>2500</v>
      </c>
      <c r="K17" s="774">
        <v>860</v>
      </c>
      <c r="L17" s="571">
        <v>1550</v>
      </c>
      <c r="M17" s="395">
        <v>0</v>
      </c>
      <c r="N17" s="719">
        <f t="shared" ref="N17:N26" si="5">SUM(L17:M17)</f>
        <v>1550</v>
      </c>
      <c r="O17" s="377">
        <f t="shared" si="2"/>
        <v>62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14200</v>
      </c>
      <c r="J18" s="395">
        <v>14200</v>
      </c>
      <c r="K18" s="774">
        <v>8792</v>
      </c>
      <c r="L18" s="571">
        <v>15200</v>
      </c>
      <c r="M18" s="395">
        <v>0</v>
      </c>
      <c r="N18" s="719">
        <f t="shared" si="5"/>
        <v>15200</v>
      </c>
      <c r="O18" s="377">
        <f t="shared" si="2"/>
        <v>107.04225352112675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2500</v>
      </c>
      <c r="J19" s="395">
        <v>2500</v>
      </c>
      <c r="K19" s="774">
        <v>1663</v>
      </c>
      <c r="L19" s="571">
        <v>2500</v>
      </c>
      <c r="M19" s="395">
        <v>0</v>
      </c>
      <c r="N19" s="719">
        <f t="shared" si="5"/>
        <v>2500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7000</v>
      </c>
      <c r="J20" s="395">
        <v>7000</v>
      </c>
      <c r="K20" s="774">
        <v>4629</v>
      </c>
      <c r="L20" s="571">
        <v>7000</v>
      </c>
      <c r="M20" s="395">
        <v>0</v>
      </c>
      <c r="N20" s="719">
        <f t="shared" si="5"/>
        <v>7000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600</v>
      </c>
      <c r="J21" s="395">
        <v>600</v>
      </c>
      <c r="K21" s="774">
        <v>364</v>
      </c>
      <c r="L21" s="571">
        <v>600</v>
      </c>
      <c r="M21" s="395">
        <v>0</v>
      </c>
      <c r="N21" s="719">
        <f t="shared" si="5"/>
        <v>600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395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4">
        <v>5000</v>
      </c>
      <c r="J23" s="395">
        <v>5000</v>
      </c>
      <c r="K23" s="774">
        <v>3996</v>
      </c>
      <c r="L23" s="571">
        <v>5000</v>
      </c>
      <c r="M23" s="395">
        <v>0</v>
      </c>
      <c r="N23" s="719">
        <f t="shared" si="5"/>
        <v>5000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6800</v>
      </c>
      <c r="J25" s="397">
        <v>6800</v>
      </c>
      <c r="K25" s="737">
        <v>5514</v>
      </c>
      <c r="L25" s="571">
        <v>7300</v>
      </c>
      <c r="M25" s="397">
        <v>0</v>
      </c>
      <c r="N25" s="719">
        <f t="shared" si="5"/>
        <v>7300</v>
      </c>
      <c r="O25" s="377">
        <f t="shared" si="2"/>
        <v>107.35294117647058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5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39"/>
      <c r="L27" s="588"/>
      <c r="M27" s="325"/>
      <c r="N27" s="721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</v>
      </c>
      <c r="J28" s="325">
        <f t="shared" si="6"/>
        <v>2000</v>
      </c>
      <c r="K28" s="739">
        <f t="shared" si="6"/>
        <v>0</v>
      </c>
      <c r="L28" s="588">
        <f t="shared" si="6"/>
        <v>2000</v>
      </c>
      <c r="M28" s="325">
        <f t="shared" si="6"/>
        <v>0</v>
      </c>
      <c r="N28" s="721">
        <f t="shared" si="6"/>
        <v>2000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2000</v>
      </c>
      <c r="J30" s="326">
        <v>2000</v>
      </c>
      <c r="K30" s="737">
        <v>0</v>
      </c>
      <c r="L30" s="622">
        <v>2000</v>
      </c>
      <c r="M30" s="326">
        <v>0</v>
      </c>
      <c r="N30" s="719">
        <f t="shared" si="7"/>
        <v>2000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0" t="s">
        <v>867</v>
      </c>
      <c r="J32" s="308" t="s">
        <v>867</v>
      </c>
      <c r="K32" s="785" t="s">
        <v>923</v>
      </c>
      <c r="L32" s="627" t="s">
        <v>938</v>
      </c>
      <c r="M32" s="308"/>
      <c r="N32" s="722" t="s">
        <v>938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406590</v>
      </c>
      <c r="J33" s="318">
        <f>J8+J13+J16+J28</f>
        <v>406590</v>
      </c>
      <c r="K33" s="575">
        <f t="shared" ref="K33" si="8">K8+K13+K16+K28</f>
        <v>292798</v>
      </c>
      <c r="L33" s="582">
        <f>L8+L13+L16+L28</f>
        <v>427500</v>
      </c>
      <c r="M33" s="318">
        <f>M8+M13+M16+M28</f>
        <v>0</v>
      </c>
      <c r="N33" s="721">
        <f>N8+N13+N16+N28</f>
        <v>427500</v>
      </c>
      <c r="O33" s="376">
        <f t="shared" si="2"/>
        <v>105.14277281782631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1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0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Q96"/>
  <sheetViews>
    <sheetView zoomScaleNormal="100" workbookViewId="0">
      <selection activeCell="M39" sqref="M39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794</v>
      </c>
      <c r="C2" s="898"/>
      <c r="D2" s="898"/>
      <c r="E2" s="898"/>
      <c r="F2" s="898"/>
      <c r="G2" s="898"/>
      <c r="H2" s="898"/>
      <c r="I2" s="898"/>
      <c r="J2" s="931"/>
      <c r="K2" s="931"/>
      <c r="L2" s="931"/>
      <c r="M2" s="931"/>
      <c r="N2" s="931"/>
      <c r="O2" s="93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34"/>
      <c r="O4" s="933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415" t="s">
        <v>349</v>
      </c>
      <c r="O5" s="925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541" t="s">
        <v>817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135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42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539750</v>
      </c>
      <c r="J8" s="236">
        <f t="shared" si="0"/>
        <v>539750</v>
      </c>
      <c r="K8" s="739">
        <f t="shared" si="0"/>
        <v>386083</v>
      </c>
      <c r="L8" s="578">
        <f t="shared" si="0"/>
        <v>537600</v>
      </c>
      <c r="M8" s="236">
        <f t="shared" si="0"/>
        <v>0</v>
      </c>
      <c r="N8" s="416">
        <f t="shared" si="0"/>
        <v>537600</v>
      </c>
      <c r="O8" s="376">
        <f>IF(J8=0,"",N8/J8*100)</f>
        <v>99.601667438628994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436210</v>
      </c>
      <c r="J9" s="238">
        <v>436210</v>
      </c>
      <c r="K9" s="737">
        <v>316711</v>
      </c>
      <c r="L9" s="626">
        <f>436850+1700+1600</f>
        <v>440150</v>
      </c>
      <c r="M9" s="238">
        <v>0</v>
      </c>
      <c r="N9" s="417">
        <f>SUM(L9:M9)</f>
        <v>440150</v>
      </c>
      <c r="O9" s="377">
        <f>IF(J9=0,"",N9/J9*100)</f>
        <v>100.90323468054379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103540</v>
      </c>
      <c r="J10" s="238">
        <v>103540</v>
      </c>
      <c r="K10" s="737">
        <v>69372</v>
      </c>
      <c r="L10" s="626">
        <f>92440+1000+210+2800+1000</f>
        <v>97450</v>
      </c>
      <c r="M10" s="238">
        <v>0</v>
      </c>
      <c r="N10" s="417">
        <f t="shared" ref="N10:N11" si="1">SUM(L10:M10)</f>
        <v>97450</v>
      </c>
      <c r="O10" s="377">
        <f t="shared" ref="O10:O35" si="2">IF(J10=0,"",N10/J10*100)</f>
        <v>94.118215182538151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417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416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46450</v>
      </c>
      <c r="J13" s="236">
        <f t="shared" si="3"/>
        <v>46450</v>
      </c>
      <c r="K13" s="739">
        <f t="shared" si="3"/>
        <v>33771</v>
      </c>
      <c r="L13" s="578">
        <f t="shared" si="3"/>
        <v>47460</v>
      </c>
      <c r="M13" s="236">
        <f t="shared" si="3"/>
        <v>0</v>
      </c>
      <c r="N13" s="416">
        <f t="shared" si="3"/>
        <v>47460</v>
      </c>
      <c r="O13" s="376">
        <f t="shared" si="2"/>
        <v>102.17438105489774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46450</v>
      </c>
      <c r="J14" s="238">
        <v>46450</v>
      </c>
      <c r="K14" s="737">
        <v>33771</v>
      </c>
      <c r="L14" s="626">
        <f>46480+700+170+110</f>
        <v>47460</v>
      </c>
      <c r="M14" s="238">
        <v>0</v>
      </c>
      <c r="N14" s="417">
        <f>SUM(L14:M14)</f>
        <v>47460</v>
      </c>
      <c r="O14" s="377">
        <f t="shared" si="2"/>
        <v>102.17438105489774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0"/>
      <c r="L15" s="582"/>
      <c r="M15" s="318"/>
      <c r="N15" s="419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55240</v>
      </c>
      <c r="J16" s="323">
        <f t="shared" si="4"/>
        <v>55240</v>
      </c>
      <c r="K16" s="778">
        <f t="shared" si="4"/>
        <v>36323</v>
      </c>
      <c r="L16" s="581">
        <f t="shared" si="4"/>
        <v>55440</v>
      </c>
      <c r="M16" s="323">
        <f t="shared" si="4"/>
        <v>0</v>
      </c>
      <c r="N16" s="419">
        <f t="shared" si="4"/>
        <v>55440</v>
      </c>
      <c r="O16" s="376">
        <f t="shared" si="2"/>
        <v>100.36205648081101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3000</v>
      </c>
      <c r="J17" s="395">
        <v>3000</v>
      </c>
      <c r="K17" s="774">
        <v>1443</v>
      </c>
      <c r="L17" s="571">
        <v>2300</v>
      </c>
      <c r="M17" s="395">
        <v>0</v>
      </c>
      <c r="N17" s="417">
        <f t="shared" ref="N17:N26" si="5">SUM(L17:M17)</f>
        <v>2300</v>
      </c>
      <c r="O17" s="377">
        <f t="shared" si="2"/>
        <v>76.666666666666671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25500</v>
      </c>
      <c r="J18" s="395">
        <v>25500</v>
      </c>
      <c r="K18" s="774">
        <v>16957</v>
      </c>
      <c r="L18" s="571">
        <v>25500</v>
      </c>
      <c r="M18" s="395">
        <v>0</v>
      </c>
      <c r="N18" s="417">
        <f t="shared" si="5"/>
        <v>25500</v>
      </c>
      <c r="O18" s="377">
        <f t="shared" si="2"/>
        <v>100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2400</v>
      </c>
      <c r="J19" s="395">
        <v>2400</v>
      </c>
      <c r="K19" s="774">
        <v>1434</v>
      </c>
      <c r="L19" s="571">
        <v>2200</v>
      </c>
      <c r="M19" s="395">
        <v>0</v>
      </c>
      <c r="N19" s="417">
        <f t="shared" si="5"/>
        <v>2200</v>
      </c>
      <c r="O19" s="377">
        <f t="shared" si="2"/>
        <v>91.666666666666657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7500</v>
      </c>
      <c r="J20" s="397">
        <v>7500</v>
      </c>
      <c r="K20" s="737">
        <v>6101</v>
      </c>
      <c r="L20" s="571">
        <v>7500</v>
      </c>
      <c r="M20" s="397">
        <v>0</v>
      </c>
      <c r="N20" s="417">
        <f t="shared" si="5"/>
        <v>7500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600</v>
      </c>
      <c r="J21" s="397">
        <v>600</v>
      </c>
      <c r="K21" s="737">
        <v>512</v>
      </c>
      <c r="L21" s="571">
        <v>600</v>
      </c>
      <c r="M21" s="397">
        <v>0</v>
      </c>
      <c r="N21" s="417">
        <f t="shared" si="5"/>
        <v>600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417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9000</v>
      </c>
      <c r="J23" s="397">
        <v>9000</v>
      </c>
      <c r="K23" s="737">
        <v>4738</v>
      </c>
      <c r="L23" s="571">
        <v>9000</v>
      </c>
      <c r="M23" s="397">
        <v>0</v>
      </c>
      <c r="N23" s="417">
        <f t="shared" si="5"/>
        <v>9000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417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7240</v>
      </c>
      <c r="J25" s="397">
        <v>7240</v>
      </c>
      <c r="K25" s="737">
        <v>5138</v>
      </c>
      <c r="L25" s="571">
        <v>8340</v>
      </c>
      <c r="M25" s="397">
        <v>0</v>
      </c>
      <c r="N25" s="417">
        <f t="shared" si="5"/>
        <v>8340</v>
      </c>
      <c r="O25" s="377">
        <f t="shared" si="2"/>
        <v>115.19337016574585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417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418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SUM(I29:I31)</f>
        <v>3000</v>
      </c>
      <c r="J28" s="325">
        <f t="shared" si="6"/>
        <v>3000</v>
      </c>
      <c r="K28" s="739">
        <f t="shared" si="6"/>
        <v>973</v>
      </c>
      <c r="L28" s="588">
        <f t="shared" si="6"/>
        <v>3000</v>
      </c>
      <c r="M28" s="325">
        <f t="shared" si="6"/>
        <v>0</v>
      </c>
      <c r="N28" s="419">
        <f t="shared" si="6"/>
        <v>3000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417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3000</v>
      </c>
      <c r="J30" s="326">
        <v>3000</v>
      </c>
      <c r="K30" s="737">
        <v>973</v>
      </c>
      <c r="L30" s="622">
        <v>3000</v>
      </c>
      <c r="M30" s="326">
        <v>0</v>
      </c>
      <c r="N30" s="417">
        <f t="shared" si="7"/>
        <v>3000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20"/>
      <c r="I31" s="631"/>
      <c r="J31" s="326"/>
      <c r="K31" s="737"/>
      <c r="L31" s="622"/>
      <c r="M31" s="326"/>
      <c r="N31" s="418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0" t="s">
        <v>518</v>
      </c>
      <c r="J32" s="308" t="s">
        <v>518</v>
      </c>
      <c r="K32" s="785" t="s">
        <v>924</v>
      </c>
      <c r="L32" s="584" t="s">
        <v>937</v>
      </c>
      <c r="M32" s="308"/>
      <c r="N32" s="421" t="s">
        <v>937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644440</v>
      </c>
      <c r="J33" s="318">
        <f>J8+J13+J16+J28</f>
        <v>644440</v>
      </c>
      <c r="K33" s="575">
        <f t="shared" ref="K33" si="8">K8+K13+K16+K28</f>
        <v>457150</v>
      </c>
      <c r="L33" s="582">
        <f>L8+L13+L16+L28</f>
        <v>643500</v>
      </c>
      <c r="M33" s="318">
        <f>M8+M13+M16+M28</f>
        <v>0</v>
      </c>
      <c r="N33" s="419">
        <f>N8+N13+N16+N28</f>
        <v>643500</v>
      </c>
      <c r="O33" s="376">
        <f t="shared" si="2"/>
        <v>99.854136925082244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I33+'29'!I33+'28'!I33+'27'!I33+'26'!I33+'25'!I33+'24'!I33</f>
        <v>7625270</v>
      </c>
      <c r="J34" s="318">
        <f>J33+'29'!J33+'28'!J33+'27'!J33+'26'!J33+'25'!J33+'24'!J33</f>
        <v>7631092</v>
      </c>
      <c r="K34" s="575">
        <f>K33+'29'!K33+'28'!K33+'27'!K33+'26'!K33+'25'!K33+'24'!K33</f>
        <v>5485607</v>
      </c>
      <c r="L34" s="582">
        <f>L33+'29'!L33+'28'!L33+'27'!L33+'26'!L33+'25'!L33+'24'!L33</f>
        <v>7706150</v>
      </c>
      <c r="M34" s="318">
        <f>M33+'29'!M33+'28'!M33+'27'!M33+'26'!M33+'25'!M33+'24'!M33</f>
        <v>5830</v>
      </c>
      <c r="N34" s="419">
        <f>N33+'29'!N33+'28'!N33+'27'!N33+'26'!N33+'25'!N33+'24'!N33</f>
        <v>7711980</v>
      </c>
      <c r="O34" s="376">
        <f>IF(J34=0,"",N34/J34*100)</f>
        <v>101.05997935813119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I34+'23'!I34+'20'!I53</f>
        <v>13391920</v>
      </c>
      <c r="J35" s="15">
        <f>J34+'23'!J34+'20'!J53</f>
        <v>13412395</v>
      </c>
      <c r="K35" s="575">
        <f>K34+'23'!K34+'20'!K53</f>
        <v>9455350</v>
      </c>
      <c r="L35" s="582">
        <f>L34+'23'!L34+'20'!L53</f>
        <v>13110330</v>
      </c>
      <c r="M35" s="318">
        <f>M34+'23'!M34+'20'!M53</f>
        <v>377160</v>
      </c>
      <c r="N35" s="419">
        <f>N34+'23'!N34+'20'!N53</f>
        <v>13487490</v>
      </c>
      <c r="O35" s="376">
        <f t="shared" si="2"/>
        <v>100.55989254715507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422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Q96"/>
  <sheetViews>
    <sheetView zoomScaleNormal="100" workbookViewId="0">
      <selection activeCell="L35" sqref="L35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752</v>
      </c>
      <c r="C2" s="898"/>
      <c r="D2" s="898"/>
      <c r="E2" s="898"/>
      <c r="F2" s="898"/>
      <c r="G2" s="898"/>
      <c r="H2" s="898"/>
      <c r="I2" s="89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136</v>
      </c>
      <c r="C7" s="7" t="s">
        <v>80</v>
      </c>
      <c r="D7" s="7" t="s">
        <v>81</v>
      </c>
      <c r="E7" s="667" t="s">
        <v>824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231740</v>
      </c>
      <c r="J8" s="236">
        <f t="shared" si="0"/>
        <v>231740</v>
      </c>
      <c r="K8" s="739">
        <f t="shared" si="0"/>
        <v>168960</v>
      </c>
      <c r="L8" s="578">
        <f t="shared" si="0"/>
        <v>233320</v>
      </c>
      <c r="M8" s="236">
        <f t="shared" si="0"/>
        <v>0</v>
      </c>
      <c r="N8" s="718">
        <f t="shared" si="0"/>
        <v>233320</v>
      </c>
      <c r="O8" s="376">
        <f>IF(J8=0,"",N8/J8*100)</f>
        <v>100.68179856735998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185510</v>
      </c>
      <c r="J9" s="238">
        <v>185510</v>
      </c>
      <c r="K9" s="737">
        <v>135608</v>
      </c>
      <c r="L9" s="626">
        <f>186560+400</f>
        <v>186960</v>
      </c>
      <c r="M9" s="238">
        <v>0</v>
      </c>
      <c r="N9" s="719">
        <f>SUM(L9:M9)</f>
        <v>186960</v>
      </c>
      <c r="O9" s="377">
        <f>IF(J9=0,"",N9/J9*100)</f>
        <v>100.78162902269419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46230</v>
      </c>
      <c r="J10" s="238">
        <v>46230</v>
      </c>
      <c r="K10" s="737">
        <v>33352</v>
      </c>
      <c r="L10" s="626">
        <f>45260+1100</f>
        <v>46360</v>
      </c>
      <c r="M10" s="238">
        <v>0</v>
      </c>
      <c r="N10" s="719">
        <f t="shared" ref="N10:N11" si="1">SUM(L10:M10)</f>
        <v>46360</v>
      </c>
      <c r="O10" s="377">
        <f t="shared" ref="O10:O38" si="2">IF(J10=0,"",N10/J10*100)</f>
        <v>100.28120268224097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19950</v>
      </c>
      <c r="J13" s="236">
        <f t="shared" si="3"/>
        <v>19950</v>
      </c>
      <c r="K13" s="739">
        <f t="shared" si="3"/>
        <v>14330</v>
      </c>
      <c r="L13" s="578">
        <f t="shared" si="3"/>
        <v>19920</v>
      </c>
      <c r="M13" s="236">
        <f t="shared" si="3"/>
        <v>0</v>
      </c>
      <c r="N13" s="718">
        <f t="shared" si="3"/>
        <v>19920</v>
      </c>
      <c r="O13" s="376">
        <f t="shared" si="2"/>
        <v>99.849624060150376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19950</v>
      </c>
      <c r="J14" s="238">
        <v>19950</v>
      </c>
      <c r="K14" s="737">
        <v>14330</v>
      </c>
      <c r="L14" s="626">
        <f>19720+200</f>
        <v>19920</v>
      </c>
      <c r="M14" s="238">
        <v>0</v>
      </c>
      <c r="N14" s="719">
        <f>SUM(L14:M14)</f>
        <v>19920</v>
      </c>
      <c r="O14" s="377">
        <f t="shared" si="2"/>
        <v>99.849624060150376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632"/>
      <c r="J15" s="325"/>
      <c r="K15" s="739"/>
      <c r="L15" s="588"/>
      <c r="M15" s="325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:J16" si="4">SUM(I17:I26)</f>
        <v>44100</v>
      </c>
      <c r="J16" s="389">
        <f t="shared" si="4"/>
        <v>44100</v>
      </c>
      <c r="K16" s="556">
        <f t="shared" ref="K16:L16" si="5">SUM(K17:K26)</f>
        <v>29735</v>
      </c>
      <c r="L16" s="573">
        <f t="shared" si="5"/>
        <v>42800</v>
      </c>
      <c r="M16" s="325">
        <f>SUM(M17:M26)</f>
        <v>0</v>
      </c>
      <c r="N16" s="721">
        <f>SUM(N17:N26)</f>
        <v>42800</v>
      </c>
      <c r="O16" s="376">
        <f t="shared" si="2"/>
        <v>97.05215419501134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37">
        <v>2800</v>
      </c>
      <c r="J17" s="397">
        <v>2800</v>
      </c>
      <c r="K17" s="737">
        <v>558</v>
      </c>
      <c r="L17" s="571">
        <v>1500</v>
      </c>
      <c r="M17" s="397">
        <v>0</v>
      </c>
      <c r="N17" s="719">
        <f t="shared" ref="N17:N26" si="6">SUM(L17:M17)</f>
        <v>1500</v>
      </c>
      <c r="O17" s="377">
        <f t="shared" si="2"/>
        <v>53.571428571428569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37">
        <v>0</v>
      </c>
      <c r="J18" s="397">
        <v>0</v>
      </c>
      <c r="K18" s="737">
        <v>0</v>
      </c>
      <c r="L18" s="571">
        <v>0</v>
      </c>
      <c r="M18" s="397">
        <v>0</v>
      </c>
      <c r="N18" s="719">
        <f t="shared" si="6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7">
        <v>3300</v>
      </c>
      <c r="J19" s="397">
        <v>3300</v>
      </c>
      <c r="K19" s="737">
        <v>2206</v>
      </c>
      <c r="L19" s="571">
        <v>3300</v>
      </c>
      <c r="M19" s="397">
        <v>0</v>
      </c>
      <c r="N19" s="719">
        <f t="shared" si="6"/>
        <v>3300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7">
        <v>1500</v>
      </c>
      <c r="J20" s="397">
        <v>1500</v>
      </c>
      <c r="K20" s="737">
        <v>384</v>
      </c>
      <c r="L20" s="571">
        <v>1000</v>
      </c>
      <c r="M20" s="397">
        <v>0</v>
      </c>
      <c r="N20" s="719">
        <f t="shared" si="6"/>
        <v>1000</v>
      </c>
      <c r="O20" s="377">
        <f t="shared" si="2"/>
        <v>66.666666666666657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0</v>
      </c>
      <c r="J21" s="397">
        <v>0</v>
      </c>
      <c r="K21" s="737">
        <v>0</v>
      </c>
      <c r="L21" s="571">
        <v>0</v>
      </c>
      <c r="M21" s="397">
        <v>0</v>
      </c>
      <c r="N21" s="719">
        <f t="shared" si="6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6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2500</v>
      </c>
      <c r="J23" s="397">
        <v>2500</v>
      </c>
      <c r="K23" s="737">
        <v>0</v>
      </c>
      <c r="L23" s="571">
        <v>0</v>
      </c>
      <c r="M23" s="397">
        <v>0</v>
      </c>
      <c r="N23" s="719">
        <f t="shared" si="6"/>
        <v>0</v>
      </c>
      <c r="O23" s="377">
        <f t="shared" si="2"/>
        <v>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0</v>
      </c>
      <c r="J24" s="397">
        <v>0</v>
      </c>
      <c r="K24" s="737">
        <v>0</v>
      </c>
      <c r="L24" s="571">
        <v>0</v>
      </c>
      <c r="M24" s="397">
        <v>0</v>
      </c>
      <c r="N24" s="719">
        <f t="shared" si="6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34000</v>
      </c>
      <c r="J25" s="397">
        <v>34000</v>
      </c>
      <c r="K25" s="737">
        <v>26587</v>
      </c>
      <c r="L25" s="571">
        <v>37000</v>
      </c>
      <c r="M25" s="397">
        <v>0</v>
      </c>
      <c r="N25" s="719">
        <f t="shared" si="6"/>
        <v>37000</v>
      </c>
      <c r="O25" s="377">
        <f t="shared" si="2"/>
        <v>108.8235294117647</v>
      </c>
      <c r="P25" s="77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6"/>
        <v>0</v>
      </c>
      <c r="O26" s="377" t="str">
        <f t="shared" si="2"/>
        <v/>
      </c>
    </row>
    <row r="27" spans="1:16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39"/>
      <c r="L27" s="588"/>
      <c r="M27" s="325"/>
      <c r="N27" s="721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N28" si="7">SUM(I29:I29)</f>
        <v>1100000</v>
      </c>
      <c r="J28" s="325">
        <f t="shared" si="7"/>
        <v>1100000</v>
      </c>
      <c r="K28" s="739">
        <f t="shared" si="7"/>
        <v>637164</v>
      </c>
      <c r="L28" s="635">
        <f t="shared" si="7"/>
        <v>1100000</v>
      </c>
      <c r="M28" s="325">
        <f t="shared" si="7"/>
        <v>0</v>
      </c>
      <c r="N28" s="721">
        <f t="shared" si="7"/>
        <v>1100000</v>
      </c>
      <c r="O28" s="376">
        <f t="shared" si="2"/>
        <v>100</v>
      </c>
    </row>
    <row r="29" spans="1:16" s="314" customFormat="1" ht="12.95" customHeight="1">
      <c r="B29" s="315"/>
      <c r="C29" s="316"/>
      <c r="D29" s="316"/>
      <c r="E29" s="316"/>
      <c r="F29" s="336">
        <v>614200</v>
      </c>
      <c r="G29" s="362" t="s">
        <v>592</v>
      </c>
      <c r="H29" s="23" t="s">
        <v>718</v>
      </c>
      <c r="I29" s="631">
        <v>1100000</v>
      </c>
      <c r="J29" s="326">
        <v>1100000</v>
      </c>
      <c r="K29" s="737">
        <v>637164</v>
      </c>
      <c r="L29" s="622">
        <v>1100000</v>
      </c>
      <c r="M29" s="326">
        <v>0</v>
      </c>
      <c r="N29" s="719">
        <f>SUM(L29:M29)</f>
        <v>1100000</v>
      </c>
      <c r="O29" s="377">
        <f t="shared" si="2"/>
        <v>100</v>
      </c>
    </row>
    <row r="30" spans="1:16" ht="12.95" customHeight="1">
      <c r="B30" s="10"/>
      <c r="C30" s="11"/>
      <c r="D30" s="11"/>
      <c r="E30" s="316"/>
      <c r="F30" s="336"/>
      <c r="G30" s="362"/>
      <c r="H30" s="11"/>
      <c r="I30" s="631"/>
      <c r="J30" s="326"/>
      <c r="K30" s="737"/>
      <c r="L30" s="622"/>
      <c r="M30" s="326"/>
      <c r="N30" s="720"/>
      <c r="O30" s="377" t="str">
        <f t="shared" si="2"/>
        <v/>
      </c>
    </row>
    <row r="31" spans="1:16" s="1" customFormat="1" ht="12.95" customHeight="1">
      <c r="A31" s="311"/>
      <c r="B31" s="12"/>
      <c r="C31" s="8"/>
      <c r="D31" s="8"/>
      <c r="E31" s="8"/>
      <c r="F31" s="335">
        <v>821000</v>
      </c>
      <c r="G31" s="361"/>
      <c r="H31" s="8" t="s">
        <v>89</v>
      </c>
      <c r="I31" s="632">
        <f t="shared" ref="I31:J31" si="8">SUM(I32:I33)</f>
        <v>3000</v>
      </c>
      <c r="J31" s="325">
        <f t="shared" si="8"/>
        <v>3000</v>
      </c>
      <c r="K31" s="739">
        <f t="shared" ref="K31:L31" si="9">SUM(K32:K33)</f>
        <v>1658</v>
      </c>
      <c r="L31" s="588">
        <f t="shared" si="9"/>
        <v>3000</v>
      </c>
      <c r="M31" s="325">
        <f>SUM(M32:M33)</f>
        <v>0</v>
      </c>
      <c r="N31" s="721">
        <f>SUM(N32:N33)</f>
        <v>3000</v>
      </c>
      <c r="O31" s="377">
        <f t="shared" si="2"/>
        <v>100</v>
      </c>
    </row>
    <row r="32" spans="1:16" ht="12.95" customHeight="1">
      <c r="B32" s="10"/>
      <c r="C32" s="11"/>
      <c r="D32" s="11"/>
      <c r="E32" s="316"/>
      <c r="F32" s="336">
        <v>821200</v>
      </c>
      <c r="G32" s="362"/>
      <c r="H32" s="11" t="s">
        <v>90</v>
      </c>
      <c r="I32" s="631">
        <v>0</v>
      </c>
      <c r="J32" s="326">
        <v>0</v>
      </c>
      <c r="K32" s="737">
        <v>0</v>
      </c>
      <c r="L32" s="622">
        <v>0</v>
      </c>
      <c r="M32" s="326">
        <v>0</v>
      </c>
      <c r="N32" s="719">
        <f t="shared" ref="N32:N33" si="10">SUM(L32:M32)</f>
        <v>0</v>
      </c>
      <c r="O32" s="377" t="str">
        <f t="shared" si="2"/>
        <v/>
      </c>
    </row>
    <row r="33" spans="1:15" ht="12.95" customHeight="1">
      <c r="B33" s="10"/>
      <c r="C33" s="11"/>
      <c r="D33" s="11"/>
      <c r="E33" s="316"/>
      <c r="F33" s="336">
        <v>821300</v>
      </c>
      <c r="G33" s="362"/>
      <c r="H33" s="11" t="s">
        <v>91</v>
      </c>
      <c r="I33" s="326">
        <v>3000</v>
      </c>
      <c r="J33" s="326">
        <v>3000</v>
      </c>
      <c r="K33" s="737">
        <v>1658</v>
      </c>
      <c r="L33" s="622">
        <v>3000</v>
      </c>
      <c r="M33" s="326">
        <v>0</v>
      </c>
      <c r="N33" s="719">
        <f t="shared" si="10"/>
        <v>3000</v>
      </c>
      <c r="O33" s="377">
        <f t="shared" si="2"/>
        <v>100</v>
      </c>
    </row>
    <row r="34" spans="1:15" ht="12.95" customHeight="1">
      <c r="B34" s="10"/>
      <c r="C34" s="11"/>
      <c r="D34" s="11"/>
      <c r="E34" s="316"/>
      <c r="F34" s="336"/>
      <c r="G34" s="362"/>
      <c r="H34" s="11"/>
      <c r="I34" s="326"/>
      <c r="J34" s="326"/>
      <c r="K34" s="737"/>
      <c r="L34" s="622"/>
      <c r="M34" s="326"/>
      <c r="N34" s="720"/>
      <c r="O34" s="377" t="str">
        <f t="shared" si="2"/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92</v>
      </c>
      <c r="I35" s="308" t="s">
        <v>900</v>
      </c>
      <c r="J35" s="308" t="s">
        <v>900</v>
      </c>
      <c r="K35" s="785">
        <v>11</v>
      </c>
      <c r="L35" s="627">
        <v>11</v>
      </c>
      <c r="M35" s="318"/>
      <c r="N35" s="722">
        <v>11</v>
      </c>
      <c r="O35" s="377"/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110</v>
      </c>
      <c r="I36" s="15">
        <f t="shared" ref="I36:N36" si="11">I8+I13+I16+I28+I31</f>
        <v>1398790</v>
      </c>
      <c r="J36" s="15">
        <f t="shared" si="11"/>
        <v>1398790</v>
      </c>
      <c r="K36" s="575">
        <f t="shared" si="11"/>
        <v>851847</v>
      </c>
      <c r="L36" s="582">
        <f t="shared" si="11"/>
        <v>1399040</v>
      </c>
      <c r="M36" s="318">
        <f t="shared" si="11"/>
        <v>0</v>
      </c>
      <c r="N36" s="721">
        <f t="shared" si="11"/>
        <v>1399040</v>
      </c>
      <c r="O36" s="376">
        <f t="shared" si="2"/>
        <v>100.01787258988126</v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93</v>
      </c>
      <c r="I37" s="15">
        <f>I36</f>
        <v>1398790</v>
      </c>
      <c r="J37" s="15">
        <f>J36</f>
        <v>1398790</v>
      </c>
      <c r="K37" s="575">
        <f t="shared" ref="K37" si="12">K36</f>
        <v>851847</v>
      </c>
      <c r="L37" s="582">
        <f t="shared" ref="L37:N38" si="13">L36</f>
        <v>1399040</v>
      </c>
      <c r="M37" s="318">
        <f t="shared" si="13"/>
        <v>0</v>
      </c>
      <c r="N37" s="721">
        <f t="shared" si="13"/>
        <v>1399040</v>
      </c>
      <c r="O37" s="376">
        <f t="shared" si="2"/>
        <v>100.01787258988126</v>
      </c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94</v>
      </c>
      <c r="I38" s="15">
        <f>I37</f>
        <v>1398790</v>
      </c>
      <c r="J38" s="15">
        <f>J37</f>
        <v>1398790</v>
      </c>
      <c r="K38" s="575">
        <f t="shared" ref="K38" si="14">K37</f>
        <v>851847</v>
      </c>
      <c r="L38" s="582">
        <f t="shared" si="13"/>
        <v>1399040</v>
      </c>
      <c r="M38" s="318">
        <f t="shared" si="13"/>
        <v>0</v>
      </c>
      <c r="N38" s="721">
        <f t="shared" si="13"/>
        <v>1399040</v>
      </c>
      <c r="O38" s="376">
        <f t="shared" si="2"/>
        <v>100.01787258988126</v>
      </c>
    </row>
    <row r="39" spans="1:15" ht="12.95" customHeight="1" thickBot="1">
      <c r="B39" s="16"/>
      <c r="C39" s="17"/>
      <c r="D39" s="17"/>
      <c r="E39" s="17"/>
      <c r="F39" s="337"/>
      <c r="G39" s="363"/>
      <c r="H39" s="17"/>
      <c r="I39" s="32"/>
      <c r="J39" s="32"/>
      <c r="K39" s="576"/>
      <c r="L39" s="585"/>
      <c r="M39" s="32"/>
      <c r="N39" s="723"/>
      <c r="O39" s="379"/>
    </row>
    <row r="40" spans="1:15" ht="12.95" customHeight="1">
      <c r="F40" s="338"/>
      <c r="G40" s="364"/>
      <c r="I40" s="67"/>
      <c r="J40" s="67"/>
      <c r="K40" s="67"/>
      <c r="L40" s="67"/>
      <c r="M40" s="67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Q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767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137</v>
      </c>
      <c r="C7" s="7" t="s">
        <v>80</v>
      </c>
      <c r="D7" s="7" t="s">
        <v>81</v>
      </c>
      <c r="E7" s="667" t="s">
        <v>822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104840</v>
      </c>
      <c r="J8" s="236">
        <f t="shared" si="0"/>
        <v>104840</v>
      </c>
      <c r="K8" s="739">
        <f t="shared" si="0"/>
        <v>73225</v>
      </c>
      <c r="L8" s="578">
        <f t="shared" si="0"/>
        <v>94450</v>
      </c>
      <c r="M8" s="236">
        <f t="shared" si="0"/>
        <v>0</v>
      </c>
      <c r="N8" s="718">
        <f t="shared" si="0"/>
        <v>94450</v>
      </c>
      <c r="O8" s="376">
        <f>IF(J8=0,"",N8/J8*100)</f>
        <v>90.089660434948499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83090</v>
      </c>
      <c r="J9" s="235">
        <v>83090</v>
      </c>
      <c r="K9" s="736">
        <v>57466</v>
      </c>
      <c r="L9" s="579">
        <f>75980+60</f>
        <v>76040</v>
      </c>
      <c r="M9" s="235">
        <v>0</v>
      </c>
      <c r="N9" s="719">
        <f>SUM(L9:M9)</f>
        <v>76040</v>
      </c>
      <c r="O9" s="377">
        <f>IF(J9=0,"",N9/J9*100)</f>
        <v>91.515224455409793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4">
        <v>21750</v>
      </c>
      <c r="J10" s="235">
        <v>21750</v>
      </c>
      <c r="K10" s="736">
        <v>15759</v>
      </c>
      <c r="L10" s="579">
        <f>18110+300</f>
        <v>18410</v>
      </c>
      <c r="M10" s="235">
        <v>0</v>
      </c>
      <c r="N10" s="719">
        <f t="shared" ref="N10:N11" si="1">SUM(L10:M10)</f>
        <v>18410</v>
      </c>
      <c r="O10" s="377">
        <f t="shared" ref="O10:O35" si="2">IF(J10=0,"",N10/J10*100)</f>
        <v>84.643678160919549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4"/>
      <c r="J12" s="235"/>
      <c r="K12" s="736"/>
      <c r="L12" s="579"/>
      <c r="M12" s="235"/>
      <c r="N12" s="719"/>
      <c r="O12" s="377" t="str">
        <f t="shared" si="2"/>
        <v/>
      </c>
    </row>
    <row r="13" spans="1:17" ht="12.95" customHeight="1"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8580</v>
      </c>
      <c r="J13" s="236">
        <f t="shared" si="3"/>
        <v>8580</v>
      </c>
      <c r="K13" s="739">
        <f t="shared" si="3"/>
        <v>6025</v>
      </c>
      <c r="L13" s="578">
        <f t="shared" si="3"/>
        <v>8040</v>
      </c>
      <c r="M13" s="236">
        <f t="shared" si="3"/>
        <v>0</v>
      </c>
      <c r="N13" s="718">
        <f t="shared" si="3"/>
        <v>8040</v>
      </c>
      <c r="O13" s="376">
        <f t="shared" si="2"/>
        <v>93.706293706293707</v>
      </c>
    </row>
    <row r="14" spans="1:17" s="1" customFormat="1" ht="12.95" customHeight="1">
      <c r="A14" s="311"/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8580</v>
      </c>
      <c r="J14" s="235">
        <v>8580</v>
      </c>
      <c r="K14" s="736">
        <v>6025</v>
      </c>
      <c r="L14" s="579">
        <f>7990+50</f>
        <v>8040</v>
      </c>
      <c r="M14" s="235">
        <v>0</v>
      </c>
      <c r="N14" s="719">
        <f>SUM(L14:M14)</f>
        <v>8040</v>
      </c>
      <c r="O14" s="377">
        <f t="shared" si="2"/>
        <v>93.706293706293707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309"/>
      <c r="K15" s="786"/>
      <c r="L15" s="580"/>
      <c r="M15" s="309"/>
      <c r="N15" s="720"/>
      <c r="O15" s="377" t="str">
        <f t="shared" si="2"/>
        <v/>
      </c>
    </row>
    <row r="16" spans="1:17" ht="12.95" customHeight="1"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24120</v>
      </c>
      <c r="J16" s="323">
        <f t="shared" si="4"/>
        <v>24120</v>
      </c>
      <c r="K16" s="778">
        <f t="shared" si="4"/>
        <v>11824</v>
      </c>
      <c r="L16" s="581">
        <f t="shared" si="4"/>
        <v>24120</v>
      </c>
      <c r="M16" s="323">
        <f t="shared" si="4"/>
        <v>0</v>
      </c>
      <c r="N16" s="721">
        <f t="shared" si="4"/>
        <v>24120</v>
      </c>
      <c r="O16" s="376">
        <f t="shared" si="2"/>
        <v>100</v>
      </c>
    </row>
    <row r="17" spans="1:15" s="1" customFormat="1" ht="12.95" customHeight="1">
      <c r="A17" s="311"/>
      <c r="B17" s="10"/>
      <c r="C17" s="11"/>
      <c r="D17" s="11"/>
      <c r="E17" s="316"/>
      <c r="F17" s="336">
        <v>613100</v>
      </c>
      <c r="G17" s="362"/>
      <c r="H17" s="11" t="s">
        <v>83</v>
      </c>
      <c r="I17" s="736">
        <v>320</v>
      </c>
      <c r="J17" s="396">
        <v>320</v>
      </c>
      <c r="K17" s="736">
        <v>0</v>
      </c>
      <c r="L17" s="568">
        <v>320</v>
      </c>
      <c r="M17" s="396">
        <v>0</v>
      </c>
      <c r="N17" s="719">
        <f t="shared" ref="N17:N26" si="5">SUM(L17:M17)</f>
        <v>320</v>
      </c>
      <c r="O17" s="377">
        <f t="shared" si="2"/>
        <v>100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36">
        <v>5500</v>
      </c>
      <c r="J18" s="396">
        <v>5500</v>
      </c>
      <c r="K18" s="736">
        <v>791</v>
      </c>
      <c r="L18" s="568">
        <v>5500</v>
      </c>
      <c r="M18" s="396">
        <v>0</v>
      </c>
      <c r="N18" s="719">
        <f t="shared" si="5"/>
        <v>5500</v>
      </c>
      <c r="O18" s="377">
        <f t="shared" si="2"/>
        <v>100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6">
        <v>3300</v>
      </c>
      <c r="J19" s="396">
        <v>3300</v>
      </c>
      <c r="K19" s="736">
        <v>2021</v>
      </c>
      <c r="L19" s="568">
        <v>3300</v>
      </c>
      <c r="M19" s="396">
        <v>0</v>
      </c>
      <c r="N19" s="719">
        <f t="shared" si="5"/>
        <v>3300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6">
        <v>1000</v>
      </c>
      <c r="J20" s="396">
        <v>1000</v>
      </c>
      <c r="K20" s="736">
        <v>637</v>
      </c>
      <c r="L20" s="568">
        <v>1000</v>
      </c>
      <c r="M20" s="396">
        <v>0</v>
      </c>
      <c r="N20" s="719">
        <f t="shared" si="5"/>
        <v>1000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6">
        <v>0</v>
      </c>
      <c r="J21" s="396">
        <v>0</v>
      </c>
      <c r="K21" s="736">
        <v>0</v>
      </c>
      <c r="L21" s="568">
        <v>0</v>
      </c>
      <c r="M21" s="396">
        <v>0</v>
      </c>
      <c r="N21" s="719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6">
        <v>0</v>
      </c>
      <c r="J22" s="396">
        <v>0</v>
      </c>
      <c r="K22" s="736">
        <v>0</v>
      </c>
      <c r="L22" s="568">
        <v>0</v>
      </c>
      <c r="M22" s="396">
        <v>0</v>
      </c>
      <c r="N22" s="719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1000</v>
      </c>
      <c r="J23" s="396">
        <v>1000</v>
      </c>
      <c r="K23" s="736">
        <v>332</v>
      </c>
      <c r="L23" s="568">
        <v>1000</v>
      </c>
      <c r="M23" s="396">
        <v>0</v>
      </c>
      <c r="N23" s="719">
        <f t="shared" si="5"/>
        <v>1000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0</v>
      </c>
      <c r="J24" s="396">
        <v>0</v>
      </c>
      <c r="K24" s="736">
        <v>0</v>
      </c>
      <c r="L24" s="568">
        <v>0</v>
      </c>
      <c r="M24" s="396">
        <v>0</v>
      </c>
      <c r="N24" s="719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6">
        <v>13000</v>
      </c>
      <c r="J25" s="396">
        <v>13000</v>
      </c>
      <c r="K25" s="736">
        <v>8043</v>
      </c>
      <c r="L25" s="568">
        <v>13000</v>
      </c>
      <c r="M25" s="396">
        <v>0</v>
      </c>
      <c r="N25" s="719">
        <f t="shared" si="5"/>
        <v>13000</v>
      </c>
      <c r="O25" s="377">
        <f t="shared" si="2"/>
        <v>100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6">
        <v>0</v>
      </c>
      <c r="J26" s="396">
        <v>0</v>
      </c>
      <c r="K26" s="736">
        <v>0</v>
      </c>
      <c r="L26" s="568">
        <v>0</v>
      </c>
      <c r="M26" s="396">
        <v>0</v>
      </c>
      <c r="N26" s="719">
        <f t="shared" si="5"/>
        <v>0</v>
      </c>
      <c r="O26" s="377" t="str">
        <f t="shared" si="2"/>
        <v/>
      </c>
    </row>
    <row r="27" spans="1:15" ht="12.95" customHeight="1">
      <c r="B27" s="12"/>
      <c r="C27" s="8"/>
      <c r="D27" s="8"/>
      <c r="E27" s="8"/>
      <c r="F27" s="335"/>
      <c r="G27" s="361"/>
      <c r="H27" s="8"/>
      <c r="I27" s="632"/>
      <c r="J27" s="325"/>
      <c r="K27" s="739"/>
      <c r="L27" s="588"/>
      <c r="M27" s="325"/>
      <c r="N27" s="721"/>
      <c r="O27" s="377" t="str">
        <f t="shared" si="2"/>
        <v/>
      </c>
    </row>
    <row r="28" spans="1:15" ht="12.95" customHeight="1"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2500</v>
      </c>
      <c r="J28" s="325">
        <f t="shared" si="6"/>
        <v>2500</v>
      </c>
      <c r="K28" s="739">
        <f t="shared" si="6"/>
        <v>0</v>
      </c>
      <c r="L28" s="588">
        <f t="shared" si="6"/>
        <v>2500</v>
      </c>
      <c r="M28" s="325">
        <f t="shared" si="6"/>
        <v>0</v>
      </c>
      <c r="N28" s="721">
        <f t="shared" si="6"/>
        <v>2500</v>
      </c>
      <c r="O28" s="376">
        <f t="shared" si="2"/>
        <v>100</v>
      </c>
    </row>
    <row r="29" spans="1:15" s="1" customFormat="1" ht="12.95" customHeight="1">
      <c r="A29" s="311"/>
      <c r="B29" s="10"/>
      <c r="C29" s="11"/>
      <c r="D29" s="11"/>
      <c r="E29" s="316"/>
      <c r="F29" s="336">
        <v>821200</v>
      </c>
      <c r="G29" s="362"/>
      <c r="H29" s="11" t="s">
        <v>90</v>
      </c>
      <c r="I29" s="735">
        <v>0</v>
      </c>
      <c r="J29" s="310">
        <v>0</v>
      </c>
      <c r="K29" s="736">
        <v>0</v>
      </c>
      <c r="L29" s="583">
        <v>0</v>
      </c>
      <c r="M29" s="310">
        <v>0</v>
      </c>
      <c r="N29" s="719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35">
        <v>2500</v>
      </c>
      <c r="J30" s="310">
        <v>2500</v>
      </c>
      <c r="K30" s="736">
        <v>0</v>
      </c>
      <c r="L30" s="583">
        <v>2500</v>
      </c>
      <c r="M30" s="310">
        <v>0</v>
      </c>
      <c r="N30" s="719">
        <f t="shared" si="7"/>
        <v>2500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35"/>
      <c r="J31" s="310"/>
      <c r="K31" s="736"/>
      <c r="L31" s="583"/>
      <c r="M31" s="310"/>
      <c r="N31" s="720"/>
      <c r="O31" s="377" t="str">
        <f t="shared" si="2"/>
        <v/>
      </c>
    </row>
    <row r="32" spans="1:15" ht="12.95" customHeight="1">
      <c r="B32" s="12"/>
      <c r="C32" s="8"/>
      <c r="D32" s="8"/>
      <c r="E32" s="8"/>
      <c r="F32" s="335"/>
      <c r="G32" s="361"/>
      <c r="H32" s="8" t="s">
        <v>92</v>
      </c>
      <c r="I32" s="632">
        <v>5</v>
      </c>
      <c r="J32" s="325">
        <v>5</v>
      </c>
      <c r="K32" s="739">
        <v>3</v>
      </c>
      <c r="L32" s="588">
        <v>3</v>
      </c>
      <c r="M32" s="325"/>
      <c r="N32" s="721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140040</v>
      </c>
      <c r="J33" s="318">
        <f>J8+J13+J16+J28</f>
        <v>140040</v>
      </c>
      <c r="K33" s="575">
        <f t="shared" ref="K33" si="8">K8+K13+K16+K28</f>
        <v>91074</v>
      </c>
      <c r="L33" s="582">
        <f>L8+L13+L16+L28</f>
        <v>129110</v>
      </c>
      <c r="M33" s="318">
        <f>M8+M13+M16+M28</f>
        <v>0</v>
      </c>
      <c r="N33" s="721">
        <f>N8+N13+N16+N28</f>
        <v>129110</v>
      </c>
      <c r="O33" s="376">
        <f t="shared" si="2"/>
        <v>92.195087117966295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140040</v>
      </c>
      <c r="J34" s="15">
        <f>J33</f>
        <v>140040</v>
      </c>
      <c r="K34" s="575">
        <f t="shared" ref="K34" si="9">K33</f>
        <v>91074</v>
      </c>
      <c r="L34" s="582">
        <f t="shared" ref="L34:N35" si="10">L33</f>
        <v>129110</v>
      </c>
      <c r="M34" s="318">
        <f t="shared" si="10"/>
        <v>0</v>
      </c>
      <c r="N34" s="721">
        <f t="shared" si="10"/>
        <v>129110</v>
      </c>
      <c r="O34" s="376">
        <f>IF(J34=0,"",N34/J34*100)</f>
        <v>92.195087117966295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140040</v>
      </c>
      <c r="J35" s="15">
        <f>J34</f>
        <v>140040</v>
      </c>
      <c r="K35" s="575">
        <f t="shared" ref="K35" si="11">K34</f>
        <v>91074</v>
      </c>
      <c r="L35" s="582">
        <f t="shared" si="10"/>
        <v>129110</v>
      </c>
      <c r="M35" s="318">
        <f t="shared" si="10"/>
        <v>0</v>
      </c>
      <c r="N35" s="721">
        <f t="shared" si="10"/>
        <v>129110</v>
      </c>
      <c r="O35" s="376">
        <f t="shared" si="2"/>
        <v>92.195087117966295</v>
      </c>
    </row>
    <row r="36" spans="1:15" s="1" customFormat="1" ht="12.95" customHeight="1" thickBot="1">
      <c r="A36" s="311"/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L37" s="638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Q96"/>
  <sheetViews>
    <sheetView zoomScaleNormal="100" workbookViewId="0">
      <selection activeCell="O42" sqref="O42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753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138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SUM(I9:I12)</f>
        <v>253450</v>
      </c>
      <c r="J8" s="236">
        <f t="shared" si="0"/>
        <v>253450</v>
      </c>
      <c r="K8" s="739">
        <f t="shared" si="0"/>
        <v>189152</v>
      </c>
      <c r="L8" s="578">
        <f t="shared" si="0"/>
        <v>261110</v>
      </c>
      <c r="M8" s="236">
        <f t="shared" si="0"/>
        <v>0</v>
      </c>
      <c r="N8" s="718">
        <f t="shared" si="0"/>
        <v>261110</v>
      </c>
      <c r="O8" s="376">
        <f>IF(J8=0,"",N8/J8*100)</f>
        <v>103.02229236535806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207650</v>
      </c>
      <c r="J9" s="235">
        <v>207650</v>
      </c>
      <c r="K9" s="736">
        <v>153991</v>
      </c>
      <c r="L9" s="579">
        <f>210190+600</f>
        <v>210790</v>
      </c>
      <c r="M9" s="235">
        <v>0</v>
      </c>
      <c r="N9" s="719">
        <f>SUM(L9:M9)</f>
        <v>210790</v>
      </c>
      <c r="O9" s="377">
        <f>IF(J9=0,"",N9/J9*100)</f>
        <v>101.51215988442091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4">
        <v>45800</v>
      </c>
      <c r="J10" s="235">
        <v>45800</v>
      </c>
      <c r="K10" s="736">
        <v>35161</v>
      </c>
      <c r="L10" s="579">
        <f>49020+1300</f>
        <v>50320</v>
      </c>
      <c r="M10" s="235">
        <v>0</v>
      </c>
      <c r="N10" s="719">
        <f t="shared" ref="N10:N11" si="1">SUM(L10:M10)</f>
        <v>50320</v>
      </c>
      <c r="O10" s="377">
        <f t="shared" ref="O10:O39" si="2">IF(J10=0,"",N10/J10*100)</f>
        <v>109.86899563318777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4"/>
      <c r="J12" s="235"/>
      <c r="K12" s="736"/>
      <c r="L12" s="579"/>
      <c r="M12" s="235"/>
      <c r="N12" s="719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22040</v>
      </c>
      <c r="J13" s="236">
        <f t="shared" si="3"/>
        <v>22040</v>
      </c>
      <c r="K13" s="739">
        <f t="shared" si="3"/>
        <v>16289</v>
      </c>
      <c r="L13" s="578">
        <f t="shared" si="3"/>
        <v>22340</v>
      </c>
      <c r="M13" s="236">
        <f t="shared" si="3"/>
        <v>0</v>
      </c>
      <c r="N13" s="718">
        <f t="shared" si="3"/>
        <v>22340</v>
      </c>
      <c r="O13" s="376">
        <f t="shared" si="2"/>
        <v>101.3611615245009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22040</v>
      </c>
      <c r="J14" s="235">
        <v>22040</v>
      </c>
      <c r="K14" s="736">
        <v>16289</v>
      </c>
      <c r="L14" s="579">
        <f>22240+100</f>
        <v>22340</v>
      </c>
      <c r="M14" s="235">
        <v>0</v>
      </c>
      <c r="N14" s="719">
        <f>SUM(L14:M14)</f>
        <v>22340</v>
      </c>
      <c r="O14" s="377">
        <f t="shared" si="2"/>
        <v>101.3611615245009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3"/>
      <c r="J15" s="323"/>
      <c r="K15" s="778"/>
      <c r="L15" s="581"/>
      <c r="M15" s="323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45300</v>
      </c>
      <c r="J16" s="323">
        <f t="shared" si="4"/>
        <v>45300</v>
      </c>
      <c r="K16" s="778">
        <f t="shared" si="4"/>
        <v>30816</v>
      </c>
      <c r="L16" s="581">
        <f t="shared" si="4"/>
        <v>45300</v>
      </c>
      <c r="M16" s="323">
        <f t="shared" si="4"/>
        <v>0</v>
      </c>
      <c r="N16" s="721">
        <f t="shared" si="4"/>
        <v>45300</v>
      </c>
      <c r="O16" s="376">
        <f t="shared" si="2"/>
        <v>100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86">
        <v>1200</v>
      </c>
      <c r="J17" s="393">
        <v>1200</v>
      </c>
      <c r="K17" s="786">
        <v>1093</v>
      </c>
      <c r="L17" s="568">
        <v>1200</v>
      </c>
      <c r="M17" s="393">
        <v>0</v>
      </c>
      <c r="N17" s="719">
        <f t="shared" ref="N17:N26" si="5">SUM(L17:M17)</f>
        <v>1200</v>
      </c>
      <c r="O17" s="377">
        <f t="shared" si="2"/>
        <v>100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86">
        <v>8500</v>
      </c>
      <c r="J18" s="393">
        <v>8500</v>
      </c>
      <c r="K18" s="786">
        <v>8470</v>
      </c>
      <c r="L18" s="568">
        <v>10000</v>
      </c>
      <c r="M18" s="393">
        <v>0</v>
      </c>
      <c r="N18" s="719">
        <f t="shared" si="5"/>
        <v>10000</v>
      </c>
      <c r="O18" s="377">
        <f t="shared" si="2"/>
        <v>117.64705882352942</v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6">
        <v>4500</v>
      </c>
      <c r="J19" s="396">
        <v>4500</v>
      </c>
      <c r="K19" s="736">
        <v>3919</v>
      </c>
      <c r="L19" s="568">
        <v>5000</v>
      </c>
      <c r="M19" s="396">
        <v>0</v>
      </c>
      <c r="N19" s="719">
        <f t="shared" si="5"/>
        <v>5000</v>
      </c>
      <c r="O19" s="377">
        <f t="shared" si="2"/>
        <v>111.11111111111111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36">
        <v>1000</v>
      </c>
      <c r="J20" s="396">
        <v>1000</v>
      </c>
      <c r="K20" s="736">
        <v>459</v>
      </c>
      <c r="L20" s="568">
        <v>1000</v>
      </c>
      <c r="M20" s="396">
        <v>0</v>
      </c>
      <c r="N20" s="719">
        <f t="shared" si="5"/>
        <v>1000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6">
        <v>1100</v>
      </c>
      <c r="J21" s="396">
        <v>1100</v>
      </c>
      <c r="K21" s="736">
        <v>36</v>
      </c>
      <c r="L21" s="568">
        <v>550</v>
      </c>
      <c r="M21" s="396">
        <v>0</v>
      </c>
      <c r="N21" s="719">
        <f t="shared" si="5"/>
        <v>550</v>
      </c>
      <c r="O21" s="377">
        <f t="shared" si="2"/>
        <v>50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6">
        <v>0</v>
      </c>
      <c r="J22" s="396">
        <v>0</v>
      </c>
      <c r="K22" s="736">
        <v>0</v>
      </c>
      <c r="L22" s="568">
        <v>0</v>
      </c>
      <c r="M22" s="396">
        <v>0</v>
      </c>
      <c r="N22" s="719">
        <f t="shared" si="5"/>
        <v>0</v>
      </c>
      <c r="O22" s="377" t="str">
        <f t="shared" si="2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4000</v>
      </c>
      <c r="J23" s="396">
        <v>4000</v>
      </c>
      <c r="K23" s="736">
        <v>1649</v>
      </c>
      <c r="L23" s="568">
        <v>3000</v>
      </c>
      <c r="M23" s="396">
        <v>0</v>
      </c>
      <c r="N23" s="719">
        <f t="shared" si="5"/>
        <v>3000</v>
      </c>
      <c r="O23" s="377">
        <f t="shared" si="2"/>
        <v>75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400</v>
      </c>
      <c r="J24" s="396">
        <v>400</v>
      </c>
      <c r="K24" s="736">
        <v>0</v>
      </c>
      <c r="L24" s="568">
        <v>400</v>
      </c>
      <c r="M24" s="396">
        <v>0</v>
      </c>
      <c r="N24" s="719">
        <f t="shared" si="5"/>
        <v>400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6">
        <v>24600</v>
      </c>
      <c r="J25" s="396">
        <v>24600</v>
      </c>
      <c r="K25" s="736">
        <v>15190</v>
      </c>
      <c r="L25" s="568">
        <v>24150</v>
      </c>
      <c r="M25" s="396">
        <v>0</v>
      </c>
      <c r="N25" s="719">
        <f t="shared" si="5"/>
        <v>24150</v>
      </c>
      <c r="O25" s="377">
        <f t="shared" si="2"/>
        <v>98.170731707317074</v>
      </c>
      <c r="P25" s="640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6">
        <v>0</v>
      </c>
      <c r="J26" s="396">
        <v>0</v>
      </c>
      <c r="K26" s="736">
        <v>0</v>
      </c>
      <c r="L26" s="568">
        <v>0</v>
      </c>
      <c r="M26" s="396">
        <v>0</v>
      </c>
      <c r="N26" s="719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39"/>
      <c r="L27" s="588"/>
      <c r="M27" s="325"/>
      <c r="N27" s="721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" si="6">I29+I30</f>
        <v>150000</v>
      </c>
      <c r="J28" s="325">
        <f t="shared" ref="J28:K28" si="7">J29+J30</f>
        <v>150000</v>
      </c>
      <c r="K28" s="739">
        <f t="shared" si="7"/>
        <v>54513</v>
      </c>
      <c r="L28" s="588">
        <f t="shared" ref="L28" si="8">L29+L30</f>
        <v>0</v>
      </c>
      <c r="M28" s="325">
        <f t="shared" ref="M28:N28" si="9">M29+M30</f>
        <v>100000</v>
      </c>
      <c r="N28" s="721">
        <f t="shared" si="9"/>
        <v>100000</v>
      </c>
      <c r="O28" s="376">
        <f t="shared" si="2"/>
        <v>66.666666666666657</v>
      </c>
    </row>
    <row r="29" spans="1:17" ht="12.95" customHeight="1">
      <c r="B29" s="10"/>
      <c r="C29" s="11"/>
      <c r="D29" s="11"/>
      <c r="E29" s="316"/>
      <c r="F29" s="336">
        <v>614200</v>
      </c>
      <c r="G29" s="362" t="s">
        <v>593</v>
      </c>
      <c r="H29" s="20" t="s">
        <v>111</v>
      </c>
      <c r="I29" s="735">
        <v>100000</v>
      </c>
      <c r="J29" s="310">
        <v>100000</v>
      </c>
      <c r="K29" s="736">
        <v>54513</v>
      </c>
      <c r="L29" s="583">
        <v>0</v>
      </c>
      <c r="M29" s="310">
        <v>100000</v>
      </c>
      <c r="N29" s="719">
        <f t="shared" ref="N29:N30" si="10">SUM(L29:M29)</f>
        <v>100000</v>
      </c>
      <c r="O29" s="377">
        <f t="shared" si="2"/>
        <v>100</v>
      </c>
      <c r="P29" s="640"/>
    </row>
    <row r="30" spans="1:17" ht="12.75" customHeight="1">
      <c r="B30" s="10"/>
      <c r="C30" s="11"/>
      <c r="D30" s="11"/>
      <c r="E30" s="316"/>
      <c r="F30" s="336">
        <v>614300</v>
      </c>
      <c r="G30" s="362" t="s">
        <v>594</v>
      </c>
      <c r="H30" s="544" t="s">
        <v>676</v>
      </c>
      <c r="I30" s="735">
        <v>50000</v>
      </c>
      <c r="J30" s="310">
        <v>50000</v>
      </c>
      <c r="K30" s="736">
        <v>0</v>
      </c>
      <c r="L30" s="583">
        <v>0</v>
      </c>
      <c r="M30" s="310">
        <v>0</v>
      </c>
      <c r="N30" s="719">
        <f t="shared" si="10"/>
        <v>0</v>
      </c>
      <c r="O30" s="377">
        <f t="shared" si="2"/>
        <v>0</v>
      </c>
      <c r="Q30" s="63"/>
    </row>
    <row r="31" spans="1:17" ht="12.95" customHeight="1">
      <c r="B31" s="10"/>
      <c r="C31" s="11"/>
      <c r="D31" s="11"/>
      <c r="E31" s="316"/>
      <c r="F31" s="335"/>
      <c r="G31" s="361"/>
      <c r="H31" s="8"/>
      <c r="I31" s="735"/>
      <c r="J31" s="310"/>
      <c r="K31" s="736"/>
      <c r="L31" s="583"/>
      <c r="M31" s="310"/>
      <c r="N31" s="720"/>
      <c r="O31" s="377" t="str">
        <f t="shared" si="2"/>
        <v/>
      </c>
    </row>
    <row r="32" spans="1:17" ht="12.95" customHeight="1">
      <c r="B32" s="12"/>
      <c r="C32" s="8"/>
      <c r="D32" s="8"/>
      <c r="E32" s="8"/>
      <c r="F32" s="335">
        <v>821000</v>
      </c>
      <c r="G32" s="361"/>
      <c r="H32" s="8" t="s">
        <v>89</v>
      </c>
      <c r="I32" s="632">
        <f t="shared" ref="I32:N32" si="11">SUM(I33:I35)</f>
        <v>5000</v>
      </c>
      <c r="J32" s="325">
        <f t="shared" si="11"/>
        <v>5000</v>
      </c>
      <c r="K32" s="739">
        <f t="shared" si="11"/>
        <v>2999</v>
      </c>
      <c r="L32" s="588">
        <f t="shared" si="11"/>
        <v>0</v>
      </c>
      <c r="M32" s="325">
        <f t="shared" si="11"/>
        <v>5000</v>
      </c>
      <c r="N32" s="721">
        <f t="shared" si="11"/>
        <v>5000</v>
      </c>
      <c r="O32" s="376">
        <f t="shared" si="2"/>
        <v>100</v>
      </c>
    </row>
    <row r="33" spans="1:15" ht="12.95" customHeight="1">
      <c r="B33" s="10"/>
      <c r="C33" s="11"/>
      <c r="D33" s="11"/>
      <c r="E33" s="316"/>
      <c r="F33" s="336">
        <v>821200</v>
      </c>
      <c r="G33" s="362"/>
      <c r="H33" s="11" t="s">
        <v>90</v>
      </c>
      <c r="I33" s="631">
        <v>0</v>
      </c>
      <c r="J33" s="326">
        <v>0</v>
      </c>
      <c r="K33" s="737">
        <v>0</v>
      </c>
      <c r="L33" s="622">
        <v>0</v>
      </c>
      <c r="M33" s="326">
        <v>0</v>
      </c>
      <c r="N33" s="719">
        <f t="shared" ref="N33:N34" si="12">SUM(L33:M33)</f>
        <v>0</v>
      </c>
      <c r="O33" s="377" t="str">
        <f t="shared" si="2"/>
        <v/>
      </c>
    </row>
    <row r="34" spans="1:15" s="1" customFormat="1" ht="12.95" customHeight="1">
      <c r="A34" s="311"/>
      <c r="B34" s="10"/>
      <c r="C34" s="11"/>
      <c r="D34" s="11"/>
      <c r="E34" s="316"/>
      <c r="F34" s="336">
        <v>821300</v>
      </c>
      <c r="G34" s="362"/>
      <c r="H34" s="11" t="s">
        <v>91</v>
      </c>
      <c r="I34" s="735">
        <v>5000</v>
      </c>
      <c r="J34" s="310">
        <v>5000</v>
      </c>
      <c r="K34" s="736">
        <v>2999</v>
      </c>
      <c r="L34" s="583">
        <v>0</v>
      </c>
      <c r="M34" s="310">
        <v>5000</v>
      </c>
      <c r="N34" s="719">
        <f t="shared" si="12"/>
        <v>5000</v>
      </c>
      <c r="O34" s="377">
        <f t="shared" si="2"/>
        <v>100</v>
      </c>
    </row>
    <row r="35" spans="1:15" ht="12.95" customHeight="1">
      <c r="B35" s="10"/>
      <c r="C35" s="11"/>
      <c r="D35" s="11"/>
      <c r="E35" s="316"/>
      <c r="F35" s="336"/>
      <c r="G35" s="362"/>
      <c r="H35" s="20"/>
      <c r="I35" s="735"/>
      <c r="J35" s="310"/>
      <c r="K35" s="736"/>
      <c r="L35" s="583"/>
      <c r="M35" s="310"/>
      <c r="N35" s="720"/>
      <c r="O35" s="377" t="str">
        <f t="shared" si="2"/>
        <v/>
      </c>
    </row>
    <row r="36" spans="1:15" ht="12.95" customHeight="1">
      <c r="B36" s="12"/>
      <c r="C36" s="8"/>
      <c r="D36" s="8"/>
      <c r="E36" s="8"/>
      <c r="F36" s="335"/>
      <c r="G36" s="361"/>
      <c r="H36" s="8" t="s">
        <v>92</v>
      </c>
      <c r="I36" s="575">
        <v>13</v>
      </c>
      <c r="J36" s="318">
        <v>13</v>
      </c>
      <c r="K36" s="740">
        <v>13</v>
      </c>
      <c r="L36" s="582">
        <v>13</v>
      </c>
      <c r="M36" s="318"/>
      <c r="N36" s="721">
        <v>13</v>
      </c>
      <c r="O36" s="377"/>
    </row>
    <row r="37" spans="1:15" ht="12.95" customHeight="1">
      <c r="B37" s="12"/>
      <c r="C37" s="8"/>
      <c r="D37" s="8"/>
      <c r="E37" s="8"/>
      <c r="F37" s="335"/>
      <c r="G37" s="361"/>
      <c r="H37" s="8" t="s">
        <v>110</v>
      </c>
      <c r="I37" s="575">
        <f>I8+I13+I16+I28+I32</f>
        <v>475790</v>
      </c>
      <c r="J37" s="318">
        <f>J8+J13+J16+J28+J32</f>
        <v>475790</v>
      </c>
      <c r="K37" s="575">
        <f t="shared" ref="K37" si="13">K8+K13+K16+K28+K32</f>
        <v>293769</v>
      </c>
      <c r="L37" s="582">
        <f>L8+L13+L16+L28+L32</f>
        <v>328750</v>
      </c>
      <c r="M37" s="318">
        <f>M8+M13+M16+M28+M32</f>
        <v>105000</v>
      </c>
      <c r="N37" s="721">
        <f>N8+N13+N16+N28+N32</f>
        <v>433750</v>
      </c>
      <c r="O37" s="376">
        <f t="shared" si="2"/>
        <v>91.16416906618467</v>
      </c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93</v>
      </c>
      <c r="I38" s="575">
        <f>I37</f>
        <v>475790</v>
      </c>
      <c r="J38" s="318">
        <f>J37</f>
        <v>475790</v>
      </c>
      <c r="K38" s="575">
        <f t="shared" ref="K38" si="14">K37</f>
        <v>293769</v>
      </c>
      <c r="L38" s="582">
        <f t="shared" ref="L38:N39" si="15">L37</f>
        <v>328750</v>
      </c>
      <c r="M38" s="318">
        <f t="shared" si="15"/>
        <v>105000</v>
      </c>
      <c r="N38" s="721">
        <f t="shared" si="15"/>
        <v>433750</v>
      </c>
      <c r="O38" s="376">
        <f t="shared" si="2"/>
        <v>91.16416906618467</v>
      </c>
    </row>
    <row r="39" spans="1:15" s="1" customFormat="1" ht="12.95" customHeight="1">
      <c r="A39" s="311"/>
      <c r="B39" s="12"/>
      <c r="C39" s="8"/>
      <c r="D39" s="8"/>
      <c r="E39" s="8"/>
      <c r="F39" s="335"/>
      <c r="G39" s="361"/>
      <c r="H39" s="8" t="s">
        <v>94</v>
      </c>
      <c r="I39" s="15">
        <f>I38</f>
        <v>475790</v>
      </c>
      <c r="J39" s="15">
        <f>J38</f>
        <v>475790</v>
      </c>
      <c r="K39" s="575">
        <f t="shared" ref="K39" si="16">K38</f>
        <v>293769</v>
      </c>
      <c r="L39" s="582">
        <f t="shared" si="15"/>
        <v>328750</v>
      </c>
      <c r="M39" s="318">
        <f t="shared" si="15"/>
        <v>105000</v>
      </c>
      <c r="N39" s="721">
        <f t="shared" si="15"/>
        <v>433750</v>
      </c>
      <c r="O39" s="376">
        <f t="shared" si="2"/>
        <v>91.16416906618467</v>
      </c>
    </row>
    <row r="40" spans="1:15" s="1" customFormat="1" ht="12.95" customHeight="1" thickBot="1">
      <c r="A40" s="311"/>
      <c r="B40" s="16"/>
      <c r="C40" s="17"/>
      <c r="D40" s="17"/>
      <c r="E40" s="17"/>
      <c r="F40" s="337"/>
      <c r="G40" s="363"/>
      <c r="H40" s="17"/>
      <c r="I40" s="103"/>
      <c r="J40" s="103"/>
      <c r="K40" s="633"/>
      <c r="L40" s="634"/>
      <c r="M40" s="103"/>
      <c r="N40" s="800"/>
      <c r="O40" s="381"/>
    </row>
    <row r="41" spans="1:15" s="1" customFormat="1" ht="12.95" customHeight="1">
      <c r="A41" s="311"/>
      <c r="B41" s="9"/>
      <c r="C41" s="9"/>
      <c r="D41" s="9"/>
      <c r="E41" s="314"/>
      <c r="F41" s="338"/>
      <c r="G41" s="364"/>
      <c r="H41" s="9"/>
      <c r="I41" s="61"/>
      <c r="J41" s="61"/>
      <c r="K41" s="61"/>
      <c r="L41" s="61"/>
      <c r="M41" s="61"/>
      <c r="N41" s="427"/>
      <c r="O41" s="382"/>
    </row>
    <row r="42" spans="1:15" ht="12.95" customHeight="1">
      <c r="B42" s="55"/>
      <c r="F42" s="338"/>
      <c r="G42" s="364"/>
      <c r="N42" s="423"/>
      <c r="O42" s="840"/>
    </row>
    <row r="43" spans="1:15" ht="12.95" customHeight="1">
      <c r="B43" s="55"/>
      <c r="F43" s="338"/>
      <c r="G43" s="364"/>
      <c r="N43" s="423"/>
    </row>
    <row r="44" spans="1:15" ht="12.95" customHeight="1">
      <c r="B44" s="55"/>
      <c r="F44" s="338"/>
      <c r="G44" s="364"/>
      <c r="N44" s="423"/>
    </row>
    <row r="45" spans="1:15" ht="12.95" customHeight="1">
      <c r="B45" s="55"/>
      <c r="F45" s="338"/>
      <c r="G45" s="364"/>
      <c r="N45" s="423"/>
    </row>
    <row r="46" spans="1:15" ht="12.95" customHeight="1">
      <c r="B46" s="55"/>
      <c r="F46" s="338"/>
      <c r="G46" s="364"/>
      <c r="N46" s="423"/>
    </row>
    <row r="47" spans="1:15" ht="12.95" customHeight="1">
      <c r="B47" s="55"/>
      <c r="F47" s="338"/>
      <c r="G47" s="364"/>
      <c r="N47" s="423"/>
    </row>
    <row r="48" spans="1:15" ht="12.95" customHeight="1">
      <c r="B48" s="55"/>
      <c r="F48" s="338"/>
      <c r="G48" s="364"/>
      <c r="N48" s="423"/>
    </row>
    <row r="49" spans="2:14" ht="12.95" customHeight="1">
      <c r="B49" s="55"/>
      <c r="F49" s="338"/>
      <c r="G49" s="364"/>
      <c r="N49" s="423"/>
    </row>
    <row r="50" spans="2:14" ht="12.95" customHeight="1">
      <c r="B50" s="55"/>
      <c r="F50" s="338"/>
      <c r="G50" s="364"/>
      <c r="N50" s="423"/>
    </row>
    <row r="51" spans="2:14" ht="12.95" customHeight="1">
      <c r="B51" s="55"/>
      <c r="F51" s="338"/>
      <c r="G51" s="364"/>
      <c r="N51" s="423"/>
    </row>
    <row r="52" spans="2:14" ht="12.95" customHeight="1">
      <c r="F52" s="338"/>
      <c r="G52" s="364"/>
      <c r="N52" s="423"/>
    </row>
    <row r="53" spans="2:14" ht="12.95" customHeight="1">
      <c r="F53" s="338"/>
      <c r="G53" s="364"/>
      <c r="N53" s="423"/>
    </row>
    <row r="54" spans="2:14" ht="12.95" customHeight="1">
      <c r="F54" s="338"/>
      <c r="G54" s="364"/>
      <c r="N54" s="423"/>
    </row>
    <row r="55" spans="2:14" ht="12.95" customHeight="1">
      <c r="F55" s="338"/>
      <c r="G55" s="364"/>
      <c r="N55" s="423"/>
    </row>
    <row r="56" spans="2:14" ht="12.95" customHeight="1">
      <c r="F56" s="338"/>
      <c r="G56" s="364"/>
      <c r="N56" s="423"/>
    </row>
    <row r="57" spans="2:14" ht="12.95" customHeight="1">
      <c r="F57" s="338"/>
      <c r="G57" s="364"/>
      <c r="N57" s="423"/>
    </row>
    <row r="58" spans="2:14" ht="12.95" customHeight="1">
      <c r="F58" s="338"/>
      <c r="G58" s="364"/>
      <c r="N58" s="423"/>
    </row>
    <row r="59" spans="2:14" ht="12.95" customHeight="1">
      <c r="F59" s="338"/>
      <c r="G59" s="364"/>
      <c r="N59" s="423"/>
    </row>
    <row r="60" spans="2:14" ht="17.100000000000001" customHeight="1">
      <c r="F60" s="338"/>
      <c r="G60" s="364"/>
      <c r="N60" s="423"/>
    </row>
    <row r="61" spans="2:14" ht="17.100000000000001" customHeight="1">
      <c r="F61" s="338"/>
      <c r="G61" s="364"/>
      <c r="N61" s="423"/>
    </row>
    <row r="62" spans="2:14" ht="14.25">
      <c r="F62" s="338"/>
      <c r="G62" s="364"/>
      <c r="N62" s="423"/>
    </row>
    <row r="63" spans="2:14" ht="14.25">
      <c r="F63" s="338"/>
      <c r="G63" s="364"/>
      <c r="N63" s="423"/>
    </row>
    <row r="64" spans="2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Q96"/>
  <sheetViews>
    <sheetView zoomScaleNormal="100" workbookViewId="0">
      <selection activeCell="O38" sqref="O3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139</v>
      </c>
      <c r="C2" s="898"/>
      <c r="D2" s="898"/>
      <c r="E2" s="898"/>
      <c r="F2" s="898"/>
      <c r="G2" s="898"/>
      <c r="H2" s="898"/>
      <c r="I2" s="898"/>
      <c r="J2" s="409"/>
      <c r="K2" s="409"/>
      <c r="L2" s="410"/>
      <c r="M2" s="410"/>
      <c r="N2" s="410"/>
      <c r="O2" s="413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140</v>
      </c>
      <c r="C7" s="7" t="s">
        <v>80</v>
      </c>
      <c r="D7" s="7" t="s">
        <v>81</v>
      </c>
      <c r="E7" s="667" t="s">
        <v>821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539380</v>
      </c>
      <c r="J8" s="236">
        <f t="shared" si="0"/>
        <v>539380</v>
      </c>
      <c r="K8" s="739">
        <f t="shared" si="0"/>
        <v>396557</v>
      </c>
      <c r="L8" s="578">
        <f t="shared" si="0"/>
        <v>556230</v>
      </c>
      <c r="M8" s="236">
        <f t="shared" si="0"/>
        <v>0</v>
      </c>
      <c r="N8" s="718">
        <f t="shared" si="0"/>
        <v>556230</v>
      </c>
      <c r="O8" s="376">
        <f>IF(J8=0,"",N8/J8*100)</f>
        <v>103.12395713597094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469140</v>
      </c>
      <c r="J9" s="238">
        <v>469140</v>
      </c>
      <c r="K9" s="737">
        <v>350960</v>
      </c>
      <c r="L9" s="626">
        <f>471380+1200+18830</f>
        <v>491410</v>
      </c>
      <c r="M9" s="238">
        <v>0</v>
      </c>
      <c r="N9" s="719">
        <f>SUM(L9:M9)</f>
        <v>491410</v>
      </c>
      <c r="O9" s="377">
        <f>IF(J9=0,"",N9/J9*100)</f>
        <v>104.74698384277615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70240</v>
      </c>
      <c r="J10" s="238">
        <v>70240</v>
      </c>
      <c r="K10" s="737">
        <v>45597</v>
      </c>
      <c r="L10" s="626">
        <f>63220+1600</f>
        <v>64820</v>
      </c>
      <c r="M10" s="238">
        <v>0</v>
      </c>
      <c r="N10" s="719">
        <f t="shared" ref="N10:N11" si="1">SUM(L10:M10)</f>
        <v>64820</v>
      </c>
      <c r="O10" s="377">
        <f t="shared" ref="O10:O35" si="2">IF(J10=0,"",N10/J10*100)</f>
        <v>92.283599088838258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49670</v>
      </c>
      <c r="J13" s="236">
        <f t="shared" si="3"/>
        <v>49670</v>
      </c>
      <c r="K13" s="739">
        <f t="shared" si="3"/>
        <v>37359</v>
      </c>
      <c r="L13" s="578">
        <f t="shared" si="3"/>
        <v>50660</v>
      </c>
      <c r="M13" s="236">
        <f t="shared" si="3"/>
        <v>0</v>
      </c>
      <c r="N13" s="718">
        <f t="shared" si="3"/>
        <v>50660</v>
      </c>
      <c r="O13" s="376">
        <f t="shared" si="2"/>
        <v>101.99315482182402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49670</v>
      </c>
      <c r="J14" s="238">
        <v>49670</v>
      </c>
      <c r="K14" s="737">
        <v>37359</v>
      </c>
      <c r="L14" s="626">
        <f>50360+300</f>
        <v>50660</v>
      </c>
      <c r="M14" s="238">
        <v>0</v>
      </c>
      <c r="N14" s="719">
        <f>SUM(L14:M14)</f>
        <v>50660</v>
      </c>
      <c r="O14" s="377">
        <f t="shared" si="2"/>
        <v>101.99315482182402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0"/>
      <c r="L15" s="582"/>
      <c r="M15" s="318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95300</v>
      </c>
      <c r="J16" s="323">
        <f t="shared" si="4"/>
        <v>95300</v>
      </c>
      <c r="K16" s="778">
        <f t="shared" si="4"/>
        <v>58364</v>
      </c>
      <c r="L16" s="588">
        <f t="shared" si="4"/>
        <v>118100</v>
      </c>
      <c r="M16" s="323">
        <f t="shared" si="4"/>
        <v>0</v>
      </c>
      <c r="N16" s="721">
        <f t="shared" si="4"/>
        <v>118100</v>
      </c>
      <c r="O16" s="376">
        <f t="shared" si="2"/>
        <v>123.92444910807974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3200</v>
      </c>
      <c r="J17" s="395">
        <v>3200</v>
      </c>
      <c r="K17" s="774">
        <v>402</v>
      </c>
      <c r="L17" s="571">
        <v>1000</v>
      </c>
      <c r="M17" s="395">
        <v>0</v>
      </c>
      <c r="N17" s="719">
        <f t="shared" ref="N17:N26" si="5">SUM(L17:M17)</f>
        <v>1000</v>
      </c>
      <c r="O17" s="377">
        <f t="shared" si="2"/>
        <v>31.25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24000</v>
      </c>
      <c r="J18" s="395">
        <v>24000</v>
      </c>
      <c r="K18" s="774">
        <v>10759</v>
      </c>
      <c r="L18" s="571">
        <v>22000</v>
      </c>
      <c r="M18" s="395">
        <v>0</v>
      </c>
      <c r="N18" s="719">
        <f t="shared" si="5"/>
        <v>22000</v>
      </c>
      <c r="O18" s="377">
        <f t="shared" si="2"/>
        <v>91.666666666666657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12000</v>
      </c>
      <c r="J19" s="395">
        <v>12000</v>
      </c>
      <c r="K19" s="774">
        <v>8007</v>
      </c>
      <c r="L19" s="571">
        <v>11000</v>
      </c>
      <c r="M19" s="395">
        <v>0</v>
      </c>
      <c r="N19" s="719">
        <f t="shared" si="5"/>
        <v>11000</v>
      </c>
      <c r="O19" s="377">
        <f t="shared" si="2"/>
        <v>91.666666666666657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6000</v>
      </c>
      <c r="J20" s="395">
        <v>6000</v>
      </c>
      <c r="K20" s="774">
        <v>5272</v>
      </c>
      <c r="L20" s="571">
        <v>7000</v>
      </c>
      <c r="M20" s="395">
        <v>0</v>
      </c>
      <c r="N20" s="719">
        <f t="shared" si="5"/>
        <v>7000</v>
      </c>
      <c r="O20" s="377">
        <f t="shared" si="2"/>
        <v>116.66666666666667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4000</v>
      </c>
      <c r="J21" s="397">
        <v>4000</v>
      </c>
      <c r="K21" s="737">
        <v>1879</v>
      </c>
      <c r="L21" s="571">
        <v>4000</v>
      </c>
      <c r="M21" s="397">
        <v>0</v>
      </c>
      <c r="N21" s="719">
        <f t="shared" si="5"/>
        <v>4000</v>
      </c>
      <c r="O21" s="377">
        <f t="shared" si="2"/>
        <v>100</v>
      </c>
      <c r="P21" s="55"/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395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5500</v>
      </c>
      <c r="J23" s="397">
        <v>5500</v>
      </c>
      <c r="K23" s="737">
        <v>4472</v>
      </c>
      <c r="L23" s="571">
        <v>6500</v>
      </c>
      <c r="M23" s="397">
        <v>0</v>
      </c>
      <c r="N23" s="719">
        <f t="shared" si="5"/>
        <v>6500</v>
      </c>
      <c r="O23" s="377">
        <f t="shared" si="2"/>
        <v>118.18181818181819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1600</v>
      </c>
      <c r="J24" s="397">
        <v>1600</v>
      </c>
      <c r="K24" s="737">
        <v>0</v>
      </c>
      <c r="L24" s="571">
        <v>1600</v>
      </c>
      <c r="M24" s="397">
        <v>0</v>
      </c>
      <c r="N24" s="719">
        <f t="shared" si="5"/>
        <v>1600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39000</v>
      </c>
      <c r="J25" s="397">
        <v>39000</v>
      </c>
      <c r="K25" s="737">
        <v>27573</v>
      </c>
      <c r="L25" s="571">
        <v>65000</v>
      </c>
      <c r="M25" s="397">
        <v>0</v>
      </c>
      <c r="N25" s="719">
        <f t="shared" si="5"/>
        <v>65000</v>
      </c>
      <c r="O25" s="377">
        <f t="shared" si="2"/>
        <v>166.66666666666669</v>
      </c>
      <c r="P25" s="640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4900</v>
      </c>
      <c r="J28" s="325">
        <f t="shared" si="6"/>
        <v>4900</v>
      </c>
      <c r="K28" s="739">
        <f t="shared" si="6"/>
        <v>2225</v>
      </c>
      <c r="L28" s="588">
        <f t="shared" si="6"/>
        <v>4900</v>
      </c>
      <c r="M28" s="325">
        <f t="shared" si="6"/>
        <v>0</v>
      </c>
      <c r="N28" s="721">
        <f t="shared" si="6"/>
        <v>4900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4900</v>
      </c>
      <c r="J30" s="326">
        <v>4900</v>
      </c>
      <c r="K30" s="737">
        <v>2225</v>
      </c>
      <c r="L30" s="622">
        <v>4900</v>
      </c>
      <c r="M30" s="326">
        <v>0</v>
      </c>
      <c r="N30" s="719">
        <f t="shared" si="7"/>
        <v>4900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17</v>
      </c>
      <c r="J32" s="394">
        <v>17</v>
      </c>
      <c r="K32" s="740">
        <v>16</v>
      </c>
      <c r="L32" s="582">
        <v>16</v>
      </c>
      <c r="M32" s="318"/>
      <c r="N32" s="721">
        <v>16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689250</v>
      </c>
      <c r="J33" s="318">
        <f>J8+J13+J16+J28</f>
        <v>689250</v>
      </c>
      <c r="K33" s="575">
        <f t="shared" ref="K33" si="8">K8+K13+K16+K28</f>
        <v>494505</v>
      </c>
      <c r="L33" s="582">
        <f>L8+L13+L16+L28</f>
        <v>729890</v>
      </c>
      <c r="M33" s="318">
        <f>M8+M13+M16+M28</f>
        <v>0</v>
      </c>
      <c r="N33" s="721">
        <f>N8+N13+N16+N28</f>
        <v>729890</v>
      </c>
      <c r="O33" s="376">
        <f t="shared" si="2"/>
        <v>105.89626405513239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689250</v>
      </c>
      <c r="J34" s="318">
        <f>J33</f>
        <v>689250</v>
      </c>
      <c r="K34" s="575">
        <f t="shared" ref="K34" si="9">K33</f>
        <v>494505</v>
      </c>
      <c r="L34" s="582">
        <f t="shared" ref="L34:N35" si="10">L33</f>
        <v>729890</v>
      </c>
      <c r="M34" s="318">
        <f t="shared" si="10"/>
        <v>0</v>
      </c>
      <c r="N34" s="721">
        <f t="shared" si="10"/>
        <v>729890</v>
      </c>
      <c r="O34" s="376">
        <f>IF(J34=0,"",N34/J34*100)</f>
        <v>105.89626405513239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689250</v>
      </c>
      <c r="J35" s="15">
        <f>J34</f>
        <v>689250</v>
      </c>
      <c r="K35" s="575">
        <f t="shared" ref="K35" si="11">K34</f>
        <v>494505</v>
      </c>
      <c r="L35" s="582">
        <f t="shared" si="10"/>
        <v>729890</v>
      </c>
      <c r="M35" s="318">
        <f t="shared" si="10"/>
        <v>0</v>
      </c>
      <c r="N35" s="721">
        <f t="shared" si="10"/>
        <v>729890</v>
      </c>
      <c r="O35" s="376">
        <f t="shared" si="2"/>
        <v>105.89626405513239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  <c r="O38" s="840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Q96"/>
  <sheetViews>
    <sheetView zoomScaleNormal="100" workbookViewId="0">
      <selection activeCell="L11" sqref="L11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97" t="s">
        <v>197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141</v>
      </c>
      <c r="C7" s="7" t="s">
        <v>80</v>
      </c>
      <c r="D7" s="7" t="s">
        <v>81</v>
      </c>
      <c r="E7" s="667" t="s">
        <v>821</v>
      </c>
      <c r="F7" s="5"/>
      <c r="G7" s="313"/>
      <c r="H7" s="5"/>
      <c r="I7" s="574"/>
      <c r="J7" s="313"/>
      <c r="K7" s="574"/>
      <c r="L7" s="4"/>
      <c r="M7" s="313"/>
      <c r="N7" s="717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67900</v>
      </c>
      <c r="J8" s="236">
        <f t="shared" si="0"/>
        <v>67900</v>
      </c>
      <c r="K8" s="739">
        <f t="shared" si="0"/>
        <v>48843</v>
      </c>
      <c r="L8" s="578">
        <f t="shared" si="0"/>
        <v>63050</v>
      </c>
      <c r="M8" s="236">
        <f t="shared" si="0"/>
        <v>0</v>
      </c>
      <c r="N8" s="718">
        <f t="shared" si="0"/>
        <v>63050</v>
      </c>
      <c r="O8" s="376">
        <f>IF(J8=0,"",N8/J8*100)</f>
        <v>92.857142857142861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4">
        <v>59200</v>
      </c>
      <c r="J9" s="235">
        <v>59200</v>
      </c>
      <c r="K9" s="736">
        <v>43468</v>
      </c>
      <c r="L9" s="579">
        <f>55950+80</f>
        <v>56030</v>
      </c>
      <c r="M9" s="235">
        <v>0</v>
      </c>
      <c r="N9" s="719">
        <f>SUM(L9:M9)</f>
        <v>56030</v>
      </c>
      <c r="O9" s="377">
        <f>IF(J9=0,"",N9/J9*100)</f>
        <v>94.64527027027026</v>
      </c>
      <c r="P9" s="640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4">
        <v>8700</v>
      </c>
      <c r="J10" s="235">
        <v>8700</v>
      </c>
      <c r="K10" s="736">
        <v>5375</v>
      </c>
      <c r="L10" s="579">
        <f>6820+200</f>
        <v>7020</v>
      </c>
      <c r="M10" s="235">
        <v>0</v>
      </c>
      <c r="N10" s="719">
        <f t="shared" ref="N10:N11" si="1">SUM(L10:M10)</f>
        <v>7020</v>
      </c>
      <c r="O10" s="377">
        <f t="shared" ref="O10:O35" si="2">IF(J10=0,"",N10/J10*100)</f>
        <v>80.689655172413794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6320</v>
      </c>
      <c r="J13" s="236">
        <f t="shared" si="3"/>
        <v>6320</v>
      </c>
      <c r="K13" s="739">
        <f t="shared" si="3"/>
        <v>4583</v>
      </c>
      <c r="L13" s="578">
        <f t="shared" si="3"/>
        <v>5940</v>
      </c>
      <c r="M13" s="236">
        <f t="shared" si="3"/>
        <v>0</v>
      </c>
      <c r="N13" s="718">
        <f t="shared" si="3"/>
        <v>5940</v>
      </c>
      <c r="O13" s="376">
        <f t="shared" si="2"/>
        <v>93.987341772151893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4">
        <v>6320</v>
      </c>
      <c r="J14" s="235">
        <v>6320</v>
      </c>
      <c r="K14" s="736">
        <v>4583</v>
      </c>
      <c r="L14" s="579">
        <f>5900+40</f>
        <v>5940</v>
      </c>
      <c r="M14" s="235">
        <v>0</v>
      </c>
      <c r="N14" s="719">
        <f>SUM(L14:M14)</f>
        <v>5940</v>
      </c>
      <c r="O14" s="377">
        <f t="shared" si="2"/>
        <v>93.987341772151893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3"/>
      <c r="J15" s="323"/>
      <c r="K15" s="778"/>
      <c r="L15" s="581"/>
      <c r="M15" s="323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11200</v>
      </c>
      <c r="J16" s="323">
        <f t="shared" si="4"/>
        <v>11200</v>
      </c>
      <c r="K16" s="778">
        <f t="shared" si="4"/>
        <v>5809</v>
      </c>
      <c r="L16" s="581">
        <f t="shared" si="4"/>
        <v>11700</v>
      </c>
      <c r="M16" s="323">
        <f t="shared" si="4"/>
        <v>0</v>
      </c>
      <c r="N16" s="721">
        <f t="shared" si="4"/>
        <v>11700</v>
      </c>
      <c r="O16" s="376">
        <f t="shared" si="2"/>
        <v>104.46428571428572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86">
        <v>700</v>
      </c>
      <c r="J17" s="393">
        <v>700</v>
      </c>
      <c r="K17" s="786">
        <v>99</v>
      </c>
      <c r="L17" s="568">
        <v>300</v>
      </c>
      <c r="M17" s="393">
        <v>0</v>
      </c>
      <c r="N17" s="719">
        <f t="shared" ref="N17:N26" si="5">SUM(L17:M17)</f>
        <v>300</v>
      </c>
      <c r="O17" s="377">
        <f t="shared" si="2"/>
        <v>42.857142857142854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86">
        <v>0</v>
      </c>
      <c r="J18" s="393">
        <v>0</v>
      </c>
      <c r="K18" s="786">
        <v>0</v>
      </c>
      <c r="L18" s="568">
        <v>0</v>
      </c>
      <c r="M18" s="393">
        <v>0</v>
      </c>
      <c r="N18" s="719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6">
        <v>3500</v>
      </c>
      <c r="J19" s="396">
        <v>3500</v>
      </c>
      <c r="K19" s="736">
        <v>1670</v>
      </c>
      <c r="L19" s="568">
        <v>3000</v>
      </c>
      <c r="M19" s="396">
        <v>0</v>
      </c>
      <c r="N19" s="719">
        <f t="shared" si="5"/>
        <v>3000</v>
      </c>
      <c r="O19" s="377">
        <f t="shared" si="2"/>
        <v>85.714285714285708</v>
      </c>
      <c r="P19" s="55"/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86">
        <v>1000</v>
      </c>
      <c r="J20" s="393">
        <v>1000</v>
      </c>
      <c r="K20" s="786">
        <v>468</v>
      </c>
      <c r="L20" s="568">
        <v>900</v>
      </c>
      <c r="M20" s="393">
        <v>0</v>
      </c>
      <c r="N20" s="719">
        <f t="shared" si="5"/>
        <v>900</v>
      </c>
      <c r="O20" s="377">
        <f t="shared" si="2"/>
        <v>90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86">
        <v>0</v>
      </c>
      <c r="J21" s="393">
        <v>0</v>
      </c>
      <c r="K21" s="786">
        <v>0</v>
      </c>
      <c r="L21" s="568">
        <v>0</v>
      </c>
      <c r="M21" s="393">
        <v>0</v>
      </c>
      <c r="N21" s="719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86">
        <v>0</v>
      </c>
      <c r="J22" s="393">
        <v>0</v>
      </c>
      <c r="K22" s="786">
        <v>0</v>
      </c>
      <c r="L22" s="568">
        <v>0</v>
      </c>
      <c r="M22" s="393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6">
        <v>0</v>
      </c>
      <c r="J23" s="396">
        <v>0</v>
      </c>
      <c r="K23" s="736">
        <v>0</v>
      </c>
      <c r="L23" s="568">
        <v>0</v>
      </c>
      <c r="M23" s="396">
        <v>0</v>
      </c>
      <c r="N23" s="719">
        <f t="shared" si="5"/>
        <v>0</v>
      </c>
      <c r="O23" s="377" t="str">
        <f t="shared" si="2"/>
        <v/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6">
        <v>0</v>
      </c>
      <c r="J24" s="396">
        <v>0</v>
      </c>
      <c r="K24" s="736">
        <v>0</v>
      </c>
      <c r="L24" s="568">
        <v>0</v>
      </c>
      <c r="M24" s="396">
        <v>0</v>
      </c>
      <c r="N24" s="719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6">
        <v>6000</v>
      </c>
      <c r="J25" s="396">
        <v>6000</v>
      </c>
      <c r="K25" s="736">
        <v>3572</v>
      </c>
      <c r="L25" s="568">
        <v>7500</v>
      </c>
      <c r="M25" s="396">
        <v>0</v>
      </c>
      <c r="N25" s="719">
        <f t="shared" si="5"/>
        <v>7500</v>
      </c>
      <c r="O25" s="377">
        <f t="shared" si="2"/>
        <v>125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526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6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39"/>
      <c r="L27" s="588"/>
      <c r="M27" s="325"/>
      <c r="N27" s="721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I29+I30</f>
        <v>500</v>
      </c>
      <c r="J28" s="325">
        <f t="shared" si="6"/>
        <v>500</v>
      </c>
      <c r="K28" s="739">
        <f t="shared" si="6"/>
        <v>0</v>
      </c>
      <c r="L28" s="588">
        <f t="shared" si="6"/>
        <v>500</v>
      </c>
      <c r="M28" s="325">
        <f t="shared" si="6"/>
        <v>0</v>
      </c>
      <c r="N28" s="721">
        <f t="shared" si="6"/>
        <v>500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35">
        <v>0</v>
      </c>
      <c r="J29" s="310">
        <v>0</v>
      </c>
      <c r="K29" s="736">
        <v>0</v>
      </c>
      <c r="L29" s="583">
        <v>0</v>
      </c>
      <c r="M29" s="310">
        <v>0</v>
      </c>
      <c r="N29" s="719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35">
        <v>500</v>
      </c>
      <c r="J30" s="310">
        <v>500</v>
      </c>
      <c r="K30" s="736">
        <v>0</v>
      </c>
      <c r="L30" s="583">
        <v>500</v>
      </c>
      <c r="M30" s="310">
        <v>0</v>
      </c>
      <c r="N30" s="719">
        <f t="shared" si="7"/>
        <v>500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575"/>
      <c r="J31" s="318"/>
      <c r="K31" s="740"/>
      <c r="L31" s="582"/>
      <c r="M31" s="318"/>
      <c r="N31" s="721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3</v>
      </c>
      <c r="J32" s="318">
        <v>3</v>
      </c>
      <c r="K32" s="740">
        <v>3</v>
      </c>
      <c r="L32" s="582">
        <v>2</v>
      </c>
      <c r="M32" s="318"/>
      <c r="N32" s="721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85920</v>
      </c>
      <c r="J33" s="318">
        <f>J8+J13+J16+J28</f>
        <v>85920</v>
      </c>
      <c r="K33" s="575">
        <f t="shared" ref="K33" si="8">K8+K13+K16+K28</f>
        <v>59235</v>
      </c>
      <c r="L33" s="582">
        <f>L8+L13+L16+L28</f>
        <v>81190</v>
      </c>
      <c r="M33" s="318">
        <f>M8+M13+M16+M28</f>
        <v>0</v>
      </c>
      <c r="N33" s="721">
        <f>N8+N13+N16+N28</f>
        <v>81190</v>
      </c>
      <c r="O33" s="376">
        <f t="shared" si="2"/>
        <v>94.494878957169462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85920</v>
      </c>
      <c r="J34" s="318">
        <f>J33</f>
        <v>85920</v>
      </c>
      <c r="K34" s="575">
        <f t="shared" ref="K34" si="9">K33</f>
        <v>59235</v>
      </c>
      <c r="L34" s="582">
        <f t="shared" ref="L34:N35" si="10">L33</f>
        <v>81190</v>
      </c>
      <c r="M34" s="318">
        <f t="shared" si="10"/>
        <v>0</v>
      </c>
      <c r="N34" s="721">
        <f t="shared" si="10"/>
        <v>81190</v>
      </c>
      <c r="O34" s="376">
        <f>IF(J34=0,"",N34/J34*100)</f>
        <v>94.494878957169462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85920</v>
      </c>
      <c r="J35" s="15">
        <f>J34</f>
        <v>85920</v>
      </c>
      <c r="K35" s="575">
        <f t="shared" ref="K35" si="11">K34</f>
        <v>59235</v>
      </c>
      <c r="L35" s="582">
        <f t="shared" si="10"/>
        <v>81190</v>
      </c>
      <c r="M35" s="318">
        <f t="shared" si="10"/>
        <v>0</v>
      </c>
      <c r="N35" s="721">
        <f t="shared" si="10"/>
        <v>81190</v>
      </c>
      <c r="O35" s="376">
        <f t="shared" si="2"/>
        <v>94.494878957169462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0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F40" s="338"/>
      <c r="G40" s="364"/>
      <c r="N40" s="423"/>
    </row>
    <row r="41" spans="1:15" ht="12.95" customHeight="1"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Q96"/>
  <sheetViews>
    <sheetView topLeftCell="A4" zoomScaleNormal="100" workbookViewId="0">
      <selection activeCell="C40" sqref="C40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768</v>
      </c>
      <c r="C2" s="898"/>
      <c r="D2" s="898"/>
      <c r="E2" s="898"/>
      <c r="F2" s="898"/>
      <c r="G2" s="898"/>
      <c r="H2" s="898"/>
      <c r="I2" s="89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142</v>
      </c>
      <c r="C7" s="7" t="s">
        <v>80</v>
      </c>
      <c r="D7" s="7" t="s">
        <v>81</v>
      </c>
      <c r="E7" s="667" t="s">
        <v>821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483570</v>
      </c>
      <c r="J8" s="236">
        <f t="shared" si="0"/>
        <v>483570</v>
      </c>
      <c r="K8" s="739">
        <f t="shared" si="0"/>
        <v>349517</v>
      </c>
      <c r="L8" s="578">
        <f t="shared" si="0"/>
        <v>464520</v>
      </c>
      <c r="M8" s="236">
        <f t="shared" si="0"/>
        <v>0</v>
      </c>
      <c r="N8" s="718">
        <f t="shared" si="0"/>
        <v>464520</v>
      </c>
      <c r="O8" s="376">
        <f>IF(J8=0,"",N8/J8*100)</f>
        <v>96.060549661889695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422300</v>
      </c>
      <c r="J9" s="238">
        <v>422300</v>
      </c>
      <c r="K9" s="737">
        <v>306314</v>
      </c>
      <c r="L9" s="626">
        <f>400520+1200+1800</f>
        <v>403520</v>
      </c>
      <c r="M9" s="238">
        <v>0</v>
      </c>
      <c r="N9" s="719">
        <f>SUM(L9:M9)</f>
        <v>403520</v>
      </c>
      <c r="O9" s="377">
        <f>IF(J9=0,"",N9/J9*100)</f>
        <v>95.552924461283453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61270</v>
      </c>
      <c r="J10" s="238">
        <v>61270</v>
      </c>
      <c r="K10" s="737">
        <v>43203</v>
      </c>
      <c r="L10" s="626">
        <f>55710+4090+1200</f>
        <v>61000</v>
      </c>
      <c r="M10" s="238">
        <v>0</v>
      </c>
      <c r="N10" s="719">
        <f t="shared" ref="N10:N11" si="1">SUM(L10:M10)</f>
        <v>61000</v>
      </c>
      <c r="O10" s="377">
        <f t="shared" ref="O10:O35" si="2">IF(J10=0,"",N10/J10*100)</f>
        <v>99.559327566508898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  <c r="Q12" s="55"/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44740</v>
      </c>
      <c r="J13" s="236">
        <f t="shared" si="3"/>
        <v>44740</v>
      </c>
      <c r="K13" s="739">
        <f t="shared" si="3"/>
        <v>33317</v>
      </c>
      <c r="L13" s="578">
        <f t="shared" si="3"/>
        <v>43650</v>
      </c>
      <c r="M13" s="236">
        <f t="shared" si="3"/>
        <v>0</v>
      </c>
      <c r="N13" s="718">
        <f t="shared" si="3"/>
        <v>43650</v>
      </c>
      <c r="O13" s="376">
        <f t="shared" si="2"/>
        <v>97.563701385784526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44740</v>
      </c>
      <c r="J14" s="238">
        <v>44740</v>
      </c>
      <c r="K14" s="737">
        <v>33317</v>
      </c>
      <c r="L14" s="626">
        <f>43250+400</f>
        <v>43650</v>
      </c>
      <c r="M14" s="238">
        <v>0</v>
      </c>
      <c r="N14" s="719">
        <f>SUM(L14:M14)</f>
        <v>43650</v>
      </c>
      <c r="O14" s="377">
        <f t="shared" si="2"/>
        <v>97.563701385784526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0"/>
      <c r="L15" s="582"/>
      <c r="M15" s="318"/>
      <c r="N15" s="721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87810</v>
      </c>
      <c r="J16" s="323">
        <f t="shared" si="4"/>
        <v>87810</v>
      </c>
      <c r="K16" s="778">
        <f t="shared" si="4"/>
        <v>36646</v>
      </c>
      <c r="L16" s="581">
        <f t="shared" si="4"/>
        <v>65050</v>
      </c>
      <c r="M16" s="323">
        <f t="shared" si="4"/>
        <v>0</v>
      </c>
      <c r="N16" s="721">
        <f t="shared" si="4"/>
        <v>65050</v>
      </c>
      <c r="O16" s="376">
        <f t="shared" si="2"/>
        <v>74.080400865505069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2400</v>
      </c>
      <c r="J17" s="395">
        <v>2400</v>
      </c>
      <c r="K17" s="774">
        <v>533</v>
      </c>
      <c r="L17" s="571">
        <v>1000</v>
      </c>
      <c r="M17" s="395">
        <v>0</v>
      </c>
      <c r="N17" s="719">
        <f t="shared" ref="N17:N26" si="5">SUM(L17:M17)</f>
        <v>1000</v>
      </c>
      <c r="O17" s="377">
        <f t="shared" si="2"/>
        <v>41.666666666666671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4500</v>
      </c>
      <c r="J18" s="395">
        <v>4500</v>
      </c>
      <c r="K18" s="774">
        <v>2741</v>
      </c>
      <c r="L18" s="571">
        <v>4000</v>
      </c>
      <c r="M18" s="395">
        <v>0</v>
      </c>
      <c r="N18" s="719">
        <f t="shared" si="5"/>
        <v>4000</v>
      </c>
      <c r="O18" s="377">
        <f t="shared" si="2"/>
        <v>88.888888888888886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37">
        <v>12410</v>
      </c>
      <c r="J19" s="397">
        <v>12410</v>
      </c>
      <c r="K19" s="737">
        <v>5789</v>
      </c>
      <c r="L19" s="571">
        <v>9000</v>
      </c>
      <c r="M19" s="397">
        <v>0</v>
      </c>
      <c r="N19" s="719">
        <f t="shared" si="5"/>
        <v>9000</v>
      </c>
      <c r="O19" s="377">
        <f t="shared" si="2"/>
        <v>72.522159548751006</v>
      </c>
      <c r="P19" s="55"/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12000</v>
      </c>
      <c r="J20" s="395">
        <v>12000</v>
      </c>
      <c r="K20" s="774">
        <v>7987</v>
      </c>
      <c r="L20" s="571">
        <v>11500</v>
      </c>
      <c r="M20" s="395">
        <v>0</v>
      </c>
      <c r="N20" s="719">
        <f t="shared" si="5"/>
        <v>11500</v>
      </c>
      <c r="O20" s="377">
        <f t="shared" si="2"/>
        <v>95.833333333333343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37">
        <v>3000</v>
      </c>
      <c r="J21" s="397">
        <v>3000</v>
      </c>
      <c r="K21" s="737">
        <v>602</v>
      </c>
      <c r="L21" s="571">
        <v>1500</v>
      </c>
      <c r="M21" s="397">
        <v>0</v>
      </c>
      <c r="N21" s="719">
        <f t="shared" si="5"/>
        <v>1500</v>
      </c>
      <c r="O21" s="377">
        <f t="shared" si="2"/>
        <v>50</v>
      </c>
      <c r="P21" s="55"/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4">
        <v>0</v>
      </c>
      <c r="J22" s="395">
        <v>0</v>
      </c>
      <c r="K22" s="774">
        <v>0</v>
      </c>
      <c r="L22" s="571">
        <v>0</v>
      </c>
      <c r="M22" s="395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3000</v>
      </c>
      <c r="J23" s="397">
        <v>3000</v>
      </c>
      <c r="K23" s="737">
        <v>1338</v>
      </c>
      <c r="L23" s="571">
        <v>2400</v>
      </c>
      <c r="M23" s="397">
        <v>0</v>
      </c>
      <c r="N23" s="719">
        <f t="shared" si="5"/>
        <v>2400</v>
      </c>
      <c r="O23" s="377">
        <f t="shared" si="2"/>
        <v>80</v>
      </c>
      <c r="P23" s="55"/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800</v>
      </c>
      <c r="J24" s="397">
        <v>800</v>
      </c>
      <c r="K24" s="737">
        <v>308</v>
      </c>
      <c r="L24" s="571">
        <v>650</v>
      </c>
      <c r="M24" s="397">
        <v>0</v>
      </c>
      <c r="N24" s="719">
        <f t="shared" si="5"/>
        <v>650</v>
      </c>
      <c r="O24" s="377">
        <f t="shared" si="2"/>
        <v>81.25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49700</v>
      </c>
      <c r="J25" s="397">
        <v>49700</v>
      </c>
      <c r="K25" s="737">
        <v>17348</v>
      </c>
      <c r="L25" s="571">
        <v>35000</v>
      </c>
      <c r="M25" s="397">
        <v>0</v>
      </c>
      <c r="N25" s="719">
        <f t="shared" si="5"/>
        <v>35000</v>
      </c>
      <c r="O25" s="377">
        <f t="shared" si="2"/>
        <v>70.422535211267601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527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>I29+I30</f>
        <v>3000</v>
      </c>
      <c r="J28" s="325">
        <f>J29+J30</f>
        <v>3000</v>
      </c>
      <c r="K28" s="739">
        <f>K29+K30</f>
        <v>245</v>
      </c>
      <c r="L28" s="588">
        <f>SUM(L29:L30)</f>
        <v>1000</v>
      </c>
      <c r="M28" s="325">
        <f>M29+M30</f>
        <v>0</v>
      </c>
      <c r="N28" s="721">
        <f>N29+N30</f>
        <v>1000</v>
      </c>
      <c r="O28" s="376">
        <f t="shared" si="2"/>
        <v>33.333333333333329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6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3000</v>
      </c>
      <c r="J30" s="326">
        <v>3000</v>
      </c>
      <c r="K30" s="737">
        <v>245</v>
      </c>
      <c r="L30" s="622">
        <v>1000</v>
      </c>
      <c r="M30" s="326">
        <v>0</v>
      </c>
      <c r="N30" s="719">
        <f t="shared" si="6"/>
        <v>1000</v>
      </c>
      <c r="O30" s="377">
        <f t="shared" si="2"/>
        <v>33.333333333333329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2"/>
      <c r="J31" s="321"/>
      <c r="K31" s="774"/>
      <c r="L31" s="621"/>
      <c r="M31" s="321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13</v>
      </c>
      <c r="J32" s="325">
        <v>13</v>
      </c>
      <c r="K32" s="739">
        <v>12</v>
      </c>
      <c r="L32" s="588">
        <v>12</v>
      </c>
      <c r="M32" s="325"/>
      <c r="N32" s="721">
        <v>12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619120</v>
      </c>
      <c r="J33" s="318">
        <f>J8+J13+J16+J28</f>
        <v>619120</v>
      </c>
      <c r="K33" s="575">
        <f t="shared" ref="K33" si="7">K8+K13+K16+K28</f>
        <v>419725</v>
      </c>
      <c r="L33" s="582">
        <f>L8+L13+L16+L28</f>
        <v>574220</v>
      </c>
      <c r="M33" s="318">
        <f>M8+M13+M16+M28</f>
        <v>0</v>
      </c>
      <c r="N33" s="721">
        <f>N8+N13+N16+N28</f>
        <v>574220</v>
      </c>
      <c r="O33" s="376">
        <f t="shared" si="2"/>
        <v>92.74777102984882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619120</v>
      </c>
      <c r="J34" s="318">
        <f>J33</f>
        <v>619120</v>
      </c>
      <c r="K34" s="575">
        <f t="shared" ref="K34" si="8">K33</f>
        <v>419725</v>
      </c>
      <c r="L34" s="582">
        <f t="shared" ref="L34:N35" si="9">L33</f>
        <v>574220</v>
      </c>
      <c r="M34" s="318">
        <f t="shared" si="9"/>
        <v>0</v>
      </c>
      <c r="N34" s="721">
        <f t="shared" si="9"/>
        <v>574220</v>
      </c>
      <c r="O34" s="376">
        <f>IF(J34=0,"",N34/J34*100)</f>
        <v>92.74777102984882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619120</v>
      </c>
      <c r="J35" s="15">
        <f>J34</f>
        <v>619120</v>
      </c>
      <c r="K35" s="575">
        <f t="shared" ref="K35" si="10">K34</f>
        <v>419725</v>
      </c>
      <c r="L35" s="582">
        <f t="shared" si="9"/>
        <v>574220</v>
      </c>
      <c r="M35" s="318">
        <f t="shared" si="9"/>
        <v>0</v>
      </c>
      <c r="N35" s="721">
        <f t="shared" si="9"/>
        <v>574220</v>
      </c>
      <c r="O35" s="376">
        <f t="shared" si="2"/>
        <v>92.74777102984882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  <c r="O38" s="840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1:Q96"/>
  <sheetViews>
    <sheetView zoomScaleNormal="100" workbookViewId="0">
      <selection activeCell="S4" sqref="S4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155</v>
      </c>
      <c r="C2" s="898"/>
      <c r="D2" s="898"/>
      <c r="E2" s="898"/>
      <c r="F2" s="898"/>
      <c r="G2" s="898"/>
      <c r="H2" s="898"/>
      <c r="I2" s="89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154</v>
      </c>
      <c r="C7" s="7" t="s">
        <v>80</v>
      </c>
      <c r="D7" s="7" t="s">
        <v>81</v>
      </c>
      <c r="E7" s="667" t="s">
        <v>822</v>
      </c>
      <c r="F7" s="5"/>
      <c r="G7" s="313"/>
      <c r="H7" s="5"/>
      <c r="I7" s="592"/>
      <c r="J7" s="100"/>
      <c r="K7" s="592"/>
      <c r="L7" s="619"/>
      <c r="M7" s="100"/>
      <c r="N7" s="768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3">
        <f t="shared" ref="I8:N8" si="0">SUM(I9:I11)</f>
        <v>410060</v>
      </c>
      <c r="J8" s="236">
        <f t="shared" si="0"/>
        <v>410060</v>
      </c>
      <c r="K8" s="739">
        <f t="shared" si="0"/>
        <v>304757</v>
      </c>
      <c r="L8" s="578">
        <f t="shared" si="0"/>
        <v>412640</v>
      </c>
      <c r="M8" s="236">
        <f t="shared" si="0"/>
        <v>0</v>
      </c>
      <c r="N8" s="718">
        <f t="shared" si="0"/>
        <v>412640</v>
      </c>
      <c r="O8" s="376">
        <f>IF(J8=0,"",N8/J8*100)</f>
        <v>100.62917621811442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9">
        <v>352240</v>
      </c>
      <c r="J9" s="238">
        <v>352240</v>
      </c>
      <c r="K9" s="737">
        <v>263726</v>
      </c>
      <c r="L9" s="626">
        <f>356410+800</f>
        <v>357210</v>
      </c>
      <c r="M9" s="238">
        <v>0</v>
      </c>
      <c r="N9" s="719">
        <f>SUM(L9:M9)</f>
        <v>357210</v>
      </c>
      <c r="O9" s="377">
        <f>IF(J9=0,"",N9/J9*100)</f>
        <v>101.41096979332274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9">
        <v>57820</v>
      </c>
      <c r="J10" s="238">
        <v>57820</v>
      </c>
      <c r="K10" s="737">
        <v>41031</v>
      </c>
      <c r="L10" s="626">
        <f>54030+1400</f>
        <v>55430</v>
      </c>
      <c r="M10" s="238">
        <v>0</v>
      </c>
      <c r="N10" s="719">
        <f t="shared" ref="N10:N11" si="1">SUM(L10:M10)</f>
        <v>55430</v>
      </c>
      <c r="O10" s="377">
        <f t="shared" ref="O10:O35" si="2">IF(J10=0,"",N10/J10*100)</f>
        <v>95.866482186094785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4">
        <v>0</v>
      </c>
      <c r="J11" s="235">
        <v>0</v>
      </c>
      <c r="K11" s="736">
        <v>0</v>
      </c>
      <c r="L11" s="579">
        <v>0</v>
      </c>
      <c r="M11" s="235">
        <v>0</v>
      </c>
      <c r="N11" s="719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3"/>
      <c r="J12" s="236"/>
      <c r="K12" s="739"/>
      <c r="L12" s="578"/>
      <c r="M12" s="236"/>
      <c r="N12" s="718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3">
        <f t="shared" ref="I13:N13" si="3">I14</f>
        <v>37650</v>
      </c>
      <c r="J13" s="236">
        <f t="shared" si="3"/>
        <v>37650</v>
      </c>
      <c r="K13" s="739">
        <f t="shared" si="3"/>
        <v>28003</v>
      </c>
      <c r="L13" s="578">
        <f t="shared" si="3"/>
        <v>37980</v>
      </c>
      <c r="M13" s="236">
        <f t="shared" si="3"/>
        <v>0</v>
      </c>
      <c r="N13" s="718">
        <f t="shared" si="3"/>
        <v>37980</v>
      </c>
      <c r="O13" s="376">
        <f t="shared" si="2"/>
        <v>100.87649402390437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9">
        <v>37650</v>
      </c>
      <c r="J14" s="238">
        <v>37650</v>
      </c>
      <c r="K14" s="737">
        <v>28003</v>
      </c>
      <c r="L14" s="626">
        <f>37780+200</f>
        <v>37980</v>
      </c>
      <c r="M14" s="238">
        <v>0</v>
      </c>
      <c r="N14" s="719">
        <f>SUM(L14:M14)</f>
        <v>37980</v>
      </c>
      <c r="O14" s="377">
        <f t="shared" si="2"/>
        <v>100.87649402390437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2"/>
      <c r="J15" s="321"/>
      <c r="K15" s="774"/>
      <c r="L15" s="621"/>
      <c r="M15" s="321"/>
      <c r="N15" s="720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3">
        <f t="shared" ref="I16:N16" si="4">SUM(I17:I26)</f>
        <v>30120</v>
      </c>
      <c r="J16" s="323">
        <f t="shared" si="4"/>
        <v>30120</v>
      </c>
      <c r="K16" s="778">
        <f t="shared" si="4"/>
        <v>17350</v>
      </c>
      <c r="L16" s="581">
        <f t="shared" si="4"/>
        <v>29530</v>
      </c>
      <c r="M16" s="323">
        <f t="shared" si="4"/>
        <v>0</v>
      </c>
      <c r="N16" s="721">
        <f t="shared" si="4"/>
        <v>29530</v>
      </c>
      <c r="O16" s="376">
        <f t="shared" si="2"/>
        <v>98.041168658698538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4">
        <v>1600</v>
      </c>
      <c r="J17" s="395">
        <v>1600</v>
      </c>
      <c r="K17" s="774">
        <v>572</v>
      </c>
      <c r="L17" s="571">
        <v>1000</v>
      </c>
      <c r="M17" s="395">
        <v>0</v>
      </c>
      <c r="N17" s="719">
        <f t="shared" ref="N17:N26" si="5">SUM(L17:M17)</f>
        <v>1000</v>
      </c>
      <c r="O17" s="377">
        <f t="shared" si="2"/>
        <v>62.5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4">
        <v>6000</v>
      </c>
      <c r="J18" s="395">
        <v>6000</v>
      </c>
      <c r="K18" s="774">
        <v>3660</v>
      </c>
      <c r="L18" s="571">
        <v>6500</v>
      </c>
      <c r="M18" s="395">
        <v>0</v>
      </c>
      <c r="N18" s="719">
        <f t="shared" si="5"/>
        <v>6500</v>
      </c>
      <c r="O18" s="377">
        <f t="shared" si="2"/>
        <v>108.33333333333333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4">
        <v>8500</v>
      </c>
      <c r="J19" s="395">
        <v>8500</v>
      </c>
      <c r="K19" s="774">
        <v>5295</v>
      </c>
      <c r="L19" s="571">
        <v>8000</v>
      </c>
      <c r="M19" s="395">
        <v>0</v>
      </c>
      <c r="N19" s="719">
        <f t="shared" si="5"/>
        <v>8000</v>
      </c>
      <c r="O19" s="377">
        <f t="shared" si="2"/>
        <v>94.117647058823522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4">
        <v>1000</v>
      </c>
      <c r="J20" s="395">
        <v>1000</v>
      </c>
      <c r="K20" s="774">
        <v>386</v>
      </c>
      <c r="L20" s="571">
        <v>1500</v>
      </c>
      <c r="M20" s="395">
        <v>0</v>
      </c>
      <c r="N20" s="719">
        <f t="shared" si="5"/>
        <v>1500</v>
      </c>
      <c r="O20" s="377">
        <f t="shared" si="2"/>
        <v>150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4">
        <v>5500</v>
      </c>
      <c r="J21" s="395">
        <v>5500</v>
      </c>
      <c r="K21" s="774">
        <v>2617</v>
      </c>
      <c r="L21" s="571">
        <v>5000</v>
      </c>
      <c r="M21" s="395">
        <v>0</v>
      </c>
      <c r="N21" s="719">
        <f t="shared" si="5"/>
        <v>5000</v>
      </c>
      <c r="O21" s="377">
        <f t="shared" si="2"/>
        <v>90.909090909090907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37">
        <v>0</v>
      </c>
      <c r="J22" s="397">
        <v>0</v>
      </c>
      <c r="K22" s="737">
        <v>0</v>
      </c>
      <c r="L22" s="571">
        <v>0</v>
      </c>
      <c r="M22" s="397">
        <v>0</v>
      </c>
      <c r="N22" s="719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37">
        <v>4000</v>
      </c>
      <c r="J23" s="397">
        <v>4000</v>
      </c>
      <c r="K23" s="737">
        <v>2392</v>
      </c>
      <c r="L23" s="571">
        <v>4000</v>
      </c>
      <c r="M23" s="397">
        <v>0</v>
      </c>
      <c r="N23" s="719">
        <f t="shared" si="5"/>
        <v>4000</v>
      </c>
      <c r="O23" s="377">
        <f t="shared" si="2"/>
        <v>100</v>
      </c>
      <c r="P23" s="55"/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37">
        <v>1000</v>
      </c>
      <c r="J24" s="397">
        <v>1000</v>
      </c>
      <c r="K24" s="737">
        <v>722</v>
      </c>
      <c r="L24" s="571">
        <v>730</v>
      </c>
      <c r="M24" s="397">
        <v>0</v>
      </c>
      <c r="N24" s="719">
        <f t="shared" si="5"/>
        <v>730</v>
      </c>
      <c r="O24" s="377">
        <f t="shared" si="2"/>
        <v>73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37">
        <v>2520</v>
      </c>
      <c r="J25" s="397">
        <v>2520</v>
      </c>
      <c r="K25" s="737">
        <v>1706</v>
      </c>
      <c r="L25" s="571">
        <v>2800</v>
      </c>
      <c r="M25" s="397">
        <v>0</v>
      </c>
      <c r="N25" s="719">
        <f t="shared" si="5"/>
        <v>2800</v>
      </c>
      <c r="O25" s="377">
        <f t="shared" si="2"/>
        <v>111.11111111111111</v>
      </c>
      <c r="P25" s="55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37">
        <v>0</v>
      </c>
      <c r="J26" s="397">
        <v>0</v>
      </c>
      <c r="K26" s="737">
        <v>0</v>
      </c>
      <c r="L26" s="571">
        <v>0</v>
      </c>
      <c r="M26" s="397">
        <v>0</v>
      </c>
      <c r="N26" s="719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37"/>
      <c r="L27" s="622"/>
      <c r="M27" s="326"/>
      <c r="N27" s="720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</v>
      </c>
      <c r="J28" s="325">
        <f t="shared" si="6"/>
        <v>2000</v>
      </c>
      <c r="K28" s="739">
        <f t="shared" si="6"/>
        <v>923</v>
      </c>
      <c r="L28" s="588">
        <f t="shared" si="6"/>
        <v>2000</v>
      </c>
      <c r="M28" s="325">
        <f t="shared" si="6"/>
        <v>0</v>
      </c>
      <c r="N28" s="721">
        <f t="shared" si="6"/>
        <v>2000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37">
        <v>0</v>
      </c>
      <c r="L29" s="622">
        <v>0</v>
      </c>
      <c r="M29" s="326">
        <v>0</v>
      </c>
      <c r="N29" s="719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2000</v>
      </c>
      <c r="J30" s="326">
        <v>2000</v>
      </c>
      <c r="K30" s="737">
        <v>923</v>
      </c>
      <c r="L30" s="622">
        <v>2000</v>
      </c>
      <c r="M30" s="326">
        <v>0</v>
      </c>
      <c r="N30" s="719">
        <f t="shared" si="7"/>
        <v>2000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37"/>
      <c r="L31" s="622"/>
      <c r="M31" s="326"/>
      <c r="N31" s="720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14</v>
      </c>
      <c r="J32" s="318">
        <v>14</v>
      </c>
      <c r="K32" s="740">
        <v>14</v>
      </c>
      <c r="L32" s="582">
        <v>14</v>
      </c>
      <c r="M32" s="318"/>
      <c r="N32" s="721">
        <v>14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479830</v>
      </c>
      <c r="J33" s="318">
        <f>J8+J13+J16+J28</f>
        <v>479830</v>
      </c>
      <c r="K33" s="575">
        <f t="shared" ref="K33" si="8">K8+K13+K16+K28</f>
        <v>351033</v>
      </c>
      <c r="L33" s="582">
        <f>L8+L13+L16+L28</f>
        <v>482150</v>
      </c>
      <c r="M33" s="318">
        <f>M8+M13+M16+M28</f>
        <v>0</v>
      </c>
      <c r="N33" s="721">
        <f>N8+N13+N16+N28</f>
        <v>482150</v>
      </c>
      <c r="O33" s="376">
        <f t="shared" si="2"/>
        <v>100.48350457453681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479830</v>
      </c>
      <c r="J34" s="15">
        <f>J33</f>
        <v>479830</v>
      </c>
      <c r="K34" s="575">
        <f t="shared" ref="K34" si="9">K33</f>
        <v>351033</v>
      </c>
      <c r="L34" s="582">
        <f t="shared" ref="L34:N35" si="10">L33</f>
        <v>482150</v>
      </c>
      <c r="M34" s="318">
        <f t="shared" si="10"/>
        <v>0</v>
      </c>
      <c r="N34" s="721">
        <f t="shared" si="10"/>
        <v>482150</v>
      </c>
      <c r="O34" s="376">
        <f>IF(J34=0,"",N34/J34*100)</f>
        <v>100.48350457453681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479830</v>
      </c>
      <c r="J35" s="15">
        <f>J34</f>
        <v>479830</v>
      </c>
      <c r="K35" s="575">
        <f t="shared" ref="K35" si="11">K34</f>
        <v>351033</v>
      </c>
      <c r="L35" s="582">
        <f t="shared" si="10"/>
        <v>482150</v>
      </c>
      <c r="M35" s="318">
        <f t="shared" si="10"/>
        <v>0</v>
      </c>
      <c r="N35" s="721">
        <f t="shared" si="10"/>
        <v>482150</v>
      </c>
      <c r="O35" s="376">
        <f t="shared" si="2"/>
        <v>100.48350457453681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">
    <tabColor rgb="FF00B050"/>
  </sheetPr>
  <dimension ref="A2:O52"/>
  <sheetViews>
    <sheetView zoomScaleNormal="100" workbookViewId="0">
      <selection activeCell="N45" sqref="N45"/>
    </sheetView>
  </sheetViews>
  <sheetFormatPr defaultRowHeight="12.75"/>
  <cols>
    <col min="1" max="1" width="11.85546875" style="39" customWidth="1"/>
    <col min="2" max="2" width="82.28515625" customWidth="1"/>
    <col min="3" max="11" width="10.7109375" customWidth="1"/>
    <col min="12" max="12" width="11.42578125" style="45" customWidth="1"/>
  </cols>
  <sheetData>
    <row r="2" spans="1:15" ht="15.75">
      <c r="A2" s="937" t="s">
        <v>929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</row>
    <row r="4" spans="1:15" s="45" customFormat="1" ht="51">
      <c r="A4" s="161" t="s">
        <v>342</v>
      </c>
      <c r="B4" s="162" t="s">
        <v>350</v>
      </c>
      <c r="C4" s="161" t="s">
        <v>343</v>
      </c>
      <c r="D4" s="161" t="s">
        <v>344</v>
      </c>
      <c r="E4" s="161" t="s">
        <v>351</v>
      </c>
      <c r="F4" s="161" t="s">
        <v>352</v>
      </c>
      <c r="G4" s="161" t="s">
        <v>345</v>
      </c>
      <c r="H4" s="161" t="s">
        <v>346</v>
      </c>
      <c r="I4" s="161" t="s">
        <v>347</v>
      </c>
      <c r="J4" s="161" t="s">
        <v>353</v>
      </c>
      <c r="K4" s="161" t="s">
        <v>348</v>
      </c>
      <c r="L4" s="161" t="s">
        <v>349</v>
      </c>
    </row>
    <row r="5" spans="1:15" ht="15.95" customHeight="1">
      <c r="A5" s="155">
        <v>10010001</v>
      </c>
      <c r="B5" s="23" t="s">
        <v>207</v>
      </c>
      <c r="C5" s="153">
        <f>'1'!N9</f>
        <v>450340</v>
      </c>
      <c r="D5" s="153">
        <f>'1'!N10+'1'!N11</f>
        <v>95690</v>
      </c>
      <c r="E5" s="153">
        <f>'1'!N13</f>
        <v>47600</v>
      </c>
      <c r="F5" s="153">
        <f>'1'!N16</f>
        <v>248820</v>
      </c>
      <c r="G5" s="153">
        <v>0</v>
      </c>
      <c r="H5" s="153">
        <v>0</v>
      </c>
      <c r="I5" s="23">
        <v>0</v>
      </c>
      <c r="J5" s="153">
        <f>'1'!N28</f>
        <v>3000</v>
      </c>
      <c r="K5" s="23">
        <v>0</v>
      </c>
      <c r="L5" s="154">
        <f>SUM(C5:K5)</f>
        <v>845450</v>
      </c>
    </row>
    <row r="6" spans="1:15" ht="15.95" customHeight="1">
      <c r="A6" s="155">
        <v>11010001</v>
      </c>
      <c r="B6" s="23" t="s">
        <v>208</v>
      </c>
      <c r="C6" s="153">
        <f>'3'!N14</f>
        <v>137510</v>
      </c>
      <c r="D6" s="153">
        <f>'3'!N15+'3'!N16</f>
        <v>66030</v>
      </c>
      <c r="E6" s="153">
        <f>'3'!N18</f>
        <v>14980</v>
      </c>
      <c r="F6" s="153">
        <f>'3'!N21</f>
        <v>196010</v>
      </c>
      <c r="G6" s="153">
        <f>'3'!N34</f>
        <v>767000</v>
      </c>
      <c r="H6" s="153">
        <f>'3'!N46</f>
        <v>147000</v>
      </c>
      <c r="I6" s="23">
        <v>0</v>
      </c>
      <c r="J6" s="153">
        <f>'3'!N49</f>
        <v>80000</v>
      </c>
      <c r="K6" s="23">
        <v>0</v>
      </c>
      <c r="L6" s="154">
        <f t="shared" ref="L6:L41" si="0">SUM(C6:K6)</f>
        <v>1408530</v>
      </c>
      <c r="O6" s="74"/>
    </row>
    <row r="7" spans="1:15" ht="15.95" customHeight="1">
      <c r="A7" s="155">
        <v>11010002</v>
      </c>
      <c r="B7" s="23" t="s">
        <v>781</v>
      </c>
      <c r="C7" s="153">
        <f>'4 (S)'!N9</f>
        <v>0</v>
      </c>
      <c r="D7" s="153">
        <f>'4 (S)'!N10+'4 (S)'!N11</f>
        <v>0</v>
      </c>
      <c r="E7" s="153">
        <f>'4 (S)'!N13</f>
        <v>0</v>
      </c>
      <c r="F7" s="153">
        <f>'4 (S)'!N16</f>
        <v>0</v>
      </c>
      <c r="G7" s="153">
        <f>'4 (S)'!N28</f>
        <v>0</v>
      </c>
      <c r="H7" s="23">
        <v>0</v>
      </c>
      <c r="I7" s="23">
        <v>0</v>
      </c>
      <c r="J7" s="153">
        <f>'4 (S)'!N31</f>
        <v>0</v>
      </c>
      <c r="K7" s="23">
        <v>0</v>
      </c>
      <c r="L7" s="154">
        <f t="shared" si="0"/>
        <v>0</v>
      </c>
    </row>
    <row r="8" spans="1:15" ht="15.95" customHeight="1">
      <c r="A8" s="155">
        <v>11010003</v>
      </c>
      <c r="B8" s="23" t="s">
        <v>733</v>
      </c>
      <c r="C8" s="153">
        <f>'5'!N9</f>
        <v>48120</v>
      </c>
      <c r="D8" s="153">
        <f>'5'!N10+'5'!N11</f>
        <v>6250</v>
      </c>
      <c r="E8" s="153">
        <f>'5'!N13</f>
        <v>5130</v>
      </c>
      <c r="F8" s="153">
        <f>'5'!N16</f>
        <v>660</v>
      </c>
      <c r="G8" s="23">
        <v>0</v>
      </c>
      <c r="H8" s="23">
        <v>0</v>
      </c>
      <c r="I8" s="23">
        <v>0</v>
      </c>
      <c r="J8" s="153">
        <f>'5'!N28</f>
        <v>0</v>
      </c>
      <c r="K8" s="23">
        <v>0</v>
      </c>
      <c r="L8" s="154">
        <f t="shared" si="0"/>
        <v>60160</v>
      </c>
    </row>
    <row r="9" spans="1:15" ht="15.95" customHeight="1">
      <c r="A9" s="155">
        <v>11010004</v>
      </c>
      <c r="B9" s="23" t="s">
        <v>731</v>
      </c>
      <c r="C9" s="153">
        <f>'6'!N9</f>
        <v>65970</v>
      </c>
      <c r="D9" s="153">
        <f>'6'!N10+'6'!N11</f>
        <v>10500</v>
      </c>
      <c r="E9" s="153">
        <f>'6'!N13</f>
        <v>7020</v>
      </c>
      <c r="F9" s="153">
        <f>'6'!N16</f>
        <v>5900</v>
      </c>
      <c r="G9" s="23">
        <v>0</v>
      </c>
      <c r="H9" s="23">
        <v>0</v>
      </c>
      <c r="I9" s="23">
        <v>0</v>
      </c>
      <c r="J9" s="153">
        <f>'6'!N28</f>
        <v>1500</v>
      </c>
      <c r="K9" s="23">
        <v>0</v>
      </c>
      <c r="L9" s="154">
        <f t="shared" si="0"/>
        <v>90890</v>
      </c>
    </row>
    <row r="10" spans="1:15" ht="15.95" customHeight="1">
      <c r="A10" s="155">
        <v>11010005</v>
      </c>
      <c r="B10" s="546" t="s">
        <v>525</v>
      </c>
      <c r="C10" s="153">
        <f>'7'!N9</f>
        <v>145130</v>
      </c>
      <c r="D10" s="153">
        <f>'7'!N10+'7'!N11</f>
        <v>43440</v>
      </c>
      <c r="E10" s="153">
        <f>'7'!N13</f>
        <v>15440</v>
      </c>
      <c r="F10" s="153">
        <f>'7'!N16</f>
        <v>7700</v>
      </c>
      <c r="G10" s="23">
        <v>0</v>
      </c>
      <c r="H10" s="23">
        <v>0</v>
      </c>
      <c r="I10" s="23">
        <v>0</v>
      </c>
      <c r="J10" s="153">
        <f>'7'!N28</f>
        <v>4000</v>
      </c>
      <c r="K10" s="23">
        <v>0</v>
      </c>
      <c r="L10" s="154">
        <f t="shared" si="0"/>
        <v>215710</v>
      </c>
    </row>
    <row r="11" spans="1:15" s="656" customFormat="1" ht="15.95" customHeight="1">
      <c r="A11" s="155">
        <v>11010006</v>
      </c>
      <c r="B11" s="23" t="s">
        <v>755</v>
      </c>
      <c r="C11" s="153">
        <f>'4 (N)'!N9</f>
        <v>72460</v>
      </c>
      <c r="D11" s="153">
        <f>'4 (N)'!N10</f>
        <v>21140</v>
      </c>
      <c r="E11" s="153">
        <f>'4 (N)'!N13</f>
        <v>7740</v>
      </c>
      <c r="F11" s="153">
        <f>'4 (N)'!N16</f>
        <v>3750</v>
      </c>
      <c r="G11" s="153">
        <f>'4 (N)'!N28</f>
        <v>50000</v>
      </c>
      <c r="H11" s="23">
        <v>0</v>
      </c>
      <c r="I11" s="23">
        <v>0</v>
      </c>
      <c r="J11" s="153">
        <f>'4 (N)'!N31</f>
        <v>2000</v>
      </c>
      <c r="K11" s="23">
        <v>0</v>
      </c>
      <c r="L11" s="154">
        <f t="shared" ref="L11" si="1">SUM(C11:K11)</f>
        <v>157090</v>
      </c>
    </row>
    <row r="12" spans="1:15" ht="15.95" customHeight="1">
      <c r="A12" s="155">
        <v>12010001</v>
      </c>
      <c r="B12" s="23" t="s">
        <v>729</v>
      </c>
      <c r="C12" s="153">
        <f>'8'!N9</f>
        <v>238780</v>
      </c>
      <c r="D12" s="153">
        <f>'8'!N10+'8'!N11</f>
        <v>63790</v>
      </c>
      <c r="E12" s="153">
        <f>'8'!N13</f>
        <v>25950</v>
      </c>
      <c r="F12" s="153">
        <f>'8'!N16</f>
        <v>420500</v>
      </c>
      <c r="G12" s="23">
        <v>0</v>
      </c>
      <c r="H12" s="23">
        <v>0</v>
      </c>
      <c r="I12" s="23">
        <v>0</v>
      </c>
      <c r="J12" s="153">
        <f>'8'!N28</f>
        <v>40000</v>
      </c>
      <c r="K12" s="23">
        <v>0</v>
      </c>
      <c r="L12" s="154">
        <f t="shared" si="0"/>
        <v>789020</v>
      </c>
    </row>
    <row r="13" spans="1:15" ht="15.95" customHeight="1">
      <c r="A13" s="155">
        <v>13010001</v>
      </c>
      <c r="B13" s="23" t="s">
        <v>209</v>
      </c>
      <c r="C13" s="153">
        <f>'9'!N9</f>
        <v>4466930</v>
      </c>
      <c r="D13" s="153">
        <f>'9'!N10+'9'!N11</f>
        <v>902410</v>
      </c>
      <c r="E13" s="153">
        <f>'9'!N13</f>
        <v>694050</v>
      </c>
      <c r="F13" s="153">
        <f>'9'!N16</f>
        <v>775000</v>
      </c>
      <c r="G13" s="23">
        <v>0</v>
      </c>
      <c r="H13" s="23">
        <v>0</v>
      </c>
      <c r="I13" s="23">
        <v>0</v>
      </c>
      <c r="J13" s="153">
        <f>'9'!N28</f>
        <v>75000</v>
      </c>
      <c r="K13" s="23">
        <v>0</v>
      </c>
      <c r="L13" s="154">
        <f t="shared" si="0"/>
        <v>6913390</v>
      </c>
    </row>
    <row r="14" spans="1:15" ht="15.95" customHeight="1">
      <c r="A14" s="155">
        <v>14010001</v>
      </c>
      <c r="B14" s="23" t="s">
        <v>735</v>
      </c>
      <c r="C14" s="153">
        <f>'10'!N9</f>
        <v>101810</v>
      </c>
      <c r="D14" s="153">
        <f>'10'!N10+'10'!N11</f>
        <v>19560</v>
      </c>
      <c r="E14" s="153">
        <f>'10'!N13</f>
        <v>11050</v>
      </c>
      <c r="F14" s="153">
        <f>'10'!N16</f>
        <v>138200</v>
      </c>
      <c r="G14" s="23">
        <v>0</v>
      </c>
      <c r="H14" s="23">
        <v>0</v>
      </c>
      <c r="I14" s="23">
        <v>0</v>
      </c>
      <c r="J14" s="153">
        <f>'10'!N30</f>
        <v>5000</v>
      </c>
      <c r="K14" s="23">
        <v>0</v>
      </c>
      <c r="L14" s="154">
        <f t="shared" si="0"/>
        <v>275620</v>
      </c>
    </row>
    <row r="15" spans="1:15" ht="15.95" customHeight="1">
      <c r="A15" s="155">
        <v>14020003</v>
      </c>
      <c r="B15" s="23" t="s">
        <v>763</v>
      </c>
      <c r="C15" s="153">
        <f>'11'!N9</f>
        <v>983060</v>
      </c>
      <c r="D15" s="153">
        <f>'11'!N10+'11'!N11</f>
        <v>169480</v>
      </c>
      <c r="E15" s="153">
        <f>'11'!N13</f>
        <v>105770</v>
      </c>
      <c r="F15" s="153">
        <f>'11'!N16</f>
        <v>232300</v>
      </c>
      <c r="G15" s="23">
        <v>0</v>
      </c>
      <c r="H15" s="23">
        <v>0</v>
      </c>
      <c r="I15" s="23">
        <v>0</v>
      </c>
      <c r="J15" s="153">
        <f>'11'!N29</f>
        <v>5000</v>
      </c>
      <c r="K15" s="23">
        <v>0</v>
      </c>
      <c r="L15" s="154">
        <f t="shared" si="0"/>
        <v>1495610</v>
      </c>
    </row>
    <row r="16" spans="1:15" ht="15.95" customHeight="1">
      <c r="A16" s="155">
        <v>14050001</v>
      </c>
      <c r="B16" s="23" t="s">
        <v>759</v>
      </c>
      <c r="C16" s="153">
        <f>'12'!N9</f>
        <v>29500</v>
      </c>
      <c r="D16" s="153">
        <f>'12'!N10+'12'!N11</f>
        <v>3600</v>
      </c>
      <c r="E16" s="153">
        <f>'12'!N13</f>
        <v>3130</v>
      </c>
      <c r="F16" s="153">
        <f>'12'!N16</f>
        <v>1600</v>
      </c>
      <c r="G16" s="23">
        <v>0</v>
      </c>
      <c r="H16" s="23">
        <v>0</v>
      </c>
      <c r="I16" s="23">
        <v>0</v>
      </c>
      <c r="J16" s="153">
        <f>'12'!N28</f>
        <v>0</v>
      </c>
      <c r="K16" s="23">
        <v>0</v>
      </c>
      <c r="L16" s="154">
        <f t="shared" si="0"/>
        <v>37830</v>
      </c>
    </row>
    <row r="17" spans="1:15" ht="15.95" customHeight="1">
      <c r="A17" s="155">
        <v>14050002</v>
      </c>
      <c r="B17" s="23" t="s">
        <v>760</v>
      </c>
      <c r="C17" s="153">
        <f>'13'!N9</f>
        <v>31870</v>
      </c>
      <c r="D17" s="153">
        <f>'13'!N10+'13'!N11</f>
        <v>7850</v>
      </c>
      <c r="E17" s="153">
        <f>'13'!N13</f>
        <v>3420</v>
      </c>
      <c r="F17" s="153">
        <f>'13'!N16</f>
        <v>2360</v>
      </c>
      <c r="G17" s="23">
        <v>0</v>
      </c>
      <c r="H17" s="23">
        <v>0</v>
      </c>
      <c r="I17" s="23">
        <v>0</v>
      </c>
      <c r="J17" s="153">
        <f>'13'!N28</f>
        <v>500</v>
      </c>
      <c r="K17" s="23">
        <v>0</v>
      </c>
      <c r="L17" s="154">
        <f t="shared" si="0"/>
        <v>46000</v>
      </c>
    </row>
    <row r="18" spans="1:15" ht="15.95" customHeight="1">
      <c r="A18" s="155">
        <v>14060001</v>
      </c>
      <c r="B18" s="23" t="s">
        <v>761</v>
      </c>
      <c r="C18" s="153">
        <f>'14'!N9</f>
        <v>68230</v>
      </c>
      <c r="D18" s="153">
        <f>'14'!N10+'14'!N11</f>
        <v>8680</v>
      </c>
      <c r="E18" s="153">
        <f>'14'!N13</f>
        <v>7270</v>
      </c>
      <c r="F18" s="153">
        <f>'14'!N16</f>
        <v>3170</v>
      </c>
      <c r="G18" s="23">
        <v>0</v>
      </c>
      <c r="H18" s="23">
        <v>0</v>
      </c>
      <c r="I18" s="23">
        <v>0</v>
      </c>
      <c r="J18" s="153">
        <f>'14'!N28</f>
        <v>500</v>
      </c>
      <c r="K18" s="23">
        <v>0</v>
      </c>
      <c r="L18" s="154">
        <f t="shared" si="0"/>
        <v>87850</v>
      </c>
    </row>
    <row r="19" spans="1:15" ht="15.95" customHeight="1">
      <c r="A19" s="155">
        <v>15010001</v>
      </c>
      <c r="B19" s="23" t="s">
        <v>736</v>
      </c>
      <c r="C19" s="153">
        <f>'15'!N9</f>
        <v>184420</v>
      </c>
      <c r="D19" s="153">
        <f>'15'!N10+'15'!N11</f>
        <v>39690</v>
      </c>
      <c r="E19" s="153">
        <f>'15'!N13</f>
        <v>19580</v>
      </c>
      <c r="F19" s="153">
        <f>'15'!N16</f>
        <v>70850</v>
      </c>
      <c r="G19" s="153">
        <f>'15'!N29</f>
        <v>1670000</v>
      </c>
      <c r="H19" s="153">
        <f>'15'!N33</f>
        <v>418000</v>
      </c>
      <c r="I19" s="23">
        <v>0</v>
      </c>
      <c r="J19" s="153">
        <f>'15'!N36</f>
        <v>2000</v>
      </c>
      <c r="K19" s="23">
        <v>0</v>
      </c>
      <c r="L19" s="154">
        <f t="shared" si="0"/>
        <v>2404540</v>
      </c>
    </row>
    <row r="20" spans="1:15" ht="15.95" customHeight="1">
      <c r="A20" s="155">
        <v>16010001</v>
      </c>
      <c r="B20" s="23" t="s">
        <v>737</v>
      </c>
      <c r="C20" s="153">
        <f>'16'!N12</f>
        <v>310480</v>
      </c>
      <c r="D20" s="153">
        <f>'16'!N13+'16'!N14</f>
        <v>64500</v>
      </c>
      <c r="E20" s="153">
        <f>'16'!N16</f>
        <v>32970</v>
      </c>
      <c r="F20" s="153">
        <f>'16'!N19</f>
        <v>102000</v>
      </c>
      <c r="G20" s="153">
        <f>'16'!N32</f>
        <v>489000</v>
      </c>
      <c r="H20" s="23">
        <v>0</v>
      </c>
      <c r="I20" s="153">
        <f>'16'!N37</f>
        <v>41720</v>
      </c>
      <c r="J20" s="153">
        <f>'16'!N43</f>
        <v>1000</v>
      </c>
      <c r="K20" s="153">
        <f>'16'!N47</f>
        <v>515000</v>
      </c>
      <c r="L20" s="154">
        <f t="shared" si="0"/>
        <v>1556670</v>
      </c>
      <c r="O20" s="74"/>
    </row>
    <row r="21" spans="1:15" ht="15.95" customHeight="1">
      <c r="A21" s="155">
        <v>17010001</v>
      </c>
      <c r="B21" s="23" t="s">
        <v>738</v>
      </c>
      <c r="C21" s="153">
        <f>'17'!N9</f>
        <v>219330</v>
      </c>
      <c r="D21" s="153">
        <f>'17'!N10+'17'!N11</f>
        <v>35760</v>
      </c>
      <c r="E21" s="153">
        <f>'17'!N13</f>
        <v>23480</v>
      </c>
      <c r="F21" s="153">
        <f>'17'!N16</f>
        <v>57600</v>
      </c>
      <c r="G21" s="153">
        <f>'17'!N28</f>
        <v>4680000</v>
      </c>
      <c r="H21" s="153">
        <v>0</v>
      </c>
      <c r="I21" s="23">
        <v>0</v>
      </c>
      <c r="J21" s="153">
        <f>'17'!N33</f>
        <v>1500</v>
      </c>
      <c r="K21" s="23">
        <v>0</v>
      </c>
      <c r="L21" s="154">
        <f t="shared" si="0"/>
        <v>5017670</v>
      </c>
    </row>
    <row r="22" spans="1:15" ht="15.95" customHeight="1">
      <c r="A22" s="155">
        <v>18010001</v>
      </c>
      <c r="B22" s="23" t="s">
        <v>739</v>
      </c>
      <c r="C22" s="153">
        <f>'18'!N9</f>
        <v>210490</v>
      </c>
      <c r="D22" s="153">
        <f>'18'!N10+'18'!N11</f>
        <v>40300</v>
      </c>
      <c r="E22" s="153">
        <f>'18'!N13</f>
        <v>23440</v>
      </c>
      <c r="F22" s="153">
        <f>'18'!N16</f>
        <v>231400</v>
      </c>
      <c r="G22" s="153">
        <f>'18'!N29</f>
        <v>300000</v>
      </c>
      <c r="H22" s="23">
        <v>0</v>
      </c>
      <c r="I22" s="23">
        <v>0</v>
      </c>
      <c r="J22" s="153">
        <f>'18'!N33</f>
        <v>1218960</v>
      </c>
      <c r="K22" s="23">
        <v>0</v>
      </c>
      <c r="L22" s="154">
        <f t="shared" si="0"/>
        <v>2024590</v>
      </c>
    </row>
    <row r="23" spans="1:15" ht="15.95" customHeight="1">
      <c r="A23" s="155">
        <v>19010001</v>
      </c>
      <c r="B23" s="23" t="s">
        <v>740</v>
      </c>
      <c r="C23" s="153">
        <f>'19'!N9</f>
        <v>529210</v>
      </c>
      <c r="D23" s="153">
        <f>'19'!N10+'19'!N11</f>
        <v>105110</v>
      </c>
      <c r="E23" s="153">
        <f>'19'!N13</f>
        <v>56320</v>
      </c>
      <c r="F23" s="153">
        <f>'19'!N16</f>
        <v>77760</v>
      </c>
      <c r="G23" s="153">
        <f>'19'!N28</f>
        <v>1540000</v>
      </c>
      <c r="H23" s="153">
        <f>'19'!N34</f>
        <v>80000</v>
      </c>
      <c r="I23" s="23">
        <v>0</v>
      </c>
      <c r="J23" s="153">
        <f>'19'!N38</f>
        <v>35000</v>
      </c>
      <c r="K23" s="23">
        <v>0</v>
      </c>
      <c r="L23" s="154">
        <f t="shared" si="0"/>
        <v>2423400</v>
      </c>
    </row>
    <row r="24" spans="1:15" ht="15.95" customHeight="1">
      <c r="A24" s="155">
        <v>20010001</v>
      </c>
      <c r="B24" s="23" t="s">
        <v>741</v>
      </c>
      <c r="C24" s="153">
        <f>'20'!N9</f>
        <v>267230</v>
      </c>
      <c r="D24" s="153">
        <f>'20'!N10+'20'!N11</f>
        <v>39980</v>
      </c>
      <c r="E24" s="153">
        <f>'20'!N13</f>
        <v>28350</v>
      </c>
      <c r="F24" s="153">
        <f>'20'!N16</f>
        <v>97250</v>
      </c>
      <c r="G24" s="153">
        <f>'20'!N30</f>
        <v>1158800</v>
      </c>
      <c r="H24" s="153">
        <v>0</v>
      </c>
      <c r="I24" s="153">
        <f>'20'!N42</f>
        <v>0</v>
      </c>
      <c r="J24" s="153">
        <f>'20'!N45</f>
        <v>503730</v>
      </c>
      <c r="K24" s="153">
        <f>'20'!N49</f>
        <v>0</v>
      </c>
      <c r="L24" s="154">
        <f t="shared" si="0"/>
        <v>2095340</v>
      </c>
    </row>
    <row r="25" spans="1:15" ht="15.95" customHeight="1">
      <c r="A25" s="155">
        <v>20020002</v>
      </c>
      <c r="B25" s="23" t="s">
        <v>795</v>
      </c>
      <c r="C25" s="153">
        <f>'21'!N9</f>
        <v>864880</v>
      </c>
      <c r="D25" s="153">
        <f>'21'!N10+'21'!N11</f>
        <v>176810</v>
      </c>
      <c r="E25" s="153">
        <f>'21'!N13</f>
        <v>93330</v>
      </c>
      <c r="F25" s="153">
        <f>'21'!N16</f>
        <v>161800</v>
      </c>
      <c r="G25" s="23">
        <v>0</v>
      </c>
      <c r="H25" s="23">
        <v>0</v>
      </c>
      <c r="I25" s="23">
        <v>0</v>
      </c>
      <c r="J25" s="153">
        <f>'21'!N28</f>
        <v>5000</v>
      </c>
      <c r="K25" s="23">
        <v>0</v>
      </c>
      <c r="L25" s="154">
        <f t="shared" si="0"/>
        <v>1301820</v>
      </c>
    </row>
    <row r="26" spans="1:15" ht="15.95" customHeight="1">
      <c r="A26" s="155">
        <v>20020003</v>
      </c>
      <c r="B26" s="23" t="s">
        <v>796</v>
      </c>
      <c r="C26" s="153">
        <f>'22'!N9</f>
        <v>855600</v>
      </c>
      <c r="D26" s="153">
        <f>'22'!N10+'22'!N11</f>
        <v>197740</v>
      </c>
      <c r="E26" s="153">
        <f>'22'!N13</f>
        <v>90220</v>
      </c>
      <c r="F26" s="153">
        <f>'22'!N16</f>
        <v>160450</v>
      </c>
      <c r="G26" s="23">
        <v>0</v>
      </c>
      <c r="H26" s="23">
        <v>0</v>
      </c>
      <c r="I26" s="23">
        <v>0</v>
      </c>
      <c r="J26" s="153">
        <f>'22'!N28</f>
        <v>21750</v>
      </c>
      <c r="K26" s="23">
        <v>0</v>
      </c>
      <c r="L26" s="154">
        <f t="shared" si="0"/>
        <v>1325760</v>
      </c>
    </row>
    <row r="27" spans="1:15" ht="15.95" customHeight="1">
      <c r="A27" s="155">
        <v>20020004</v>
      </c>
      <c r="B27" s="23" t="s">
        <v>797</v>
      </c>
      <c r="C27" s="153">
        <f>'23'!N9</f>
        <v>705900</v>
      </c>
      <c r="D27" s="153">
        <f>'23'!N10+'23'!N11</f>
        <v>146130</v>
      </c>
      <c r="E27" s="153">
        <f>'23'!N13</f>
        <v>76500</v>
      </c>
      <c r="F27" s="153">
        <f>'23'!N16</f>
        <v>119100</v>
      </c>
      <c r="G27" s="23">
        <v>0</v>
      </c>
      <c r="H27" s="23">
        <v>0</v>
      </c>
      <c r="I27" s="23">
        <v>0</v>
      </c>
      <c r="J27" s="153">
        <f>'23'!N28</f>
        <v>4960</v>
      </c>
      <c r="K27" s="23">
        <v>0</v>
      </c>
      <c r="L27" s="154">
        <f t="shared" si="0"/>
        <v>1052590</v>
      </c>
    </row>
    <row r="28" spans="1:15" ht="15.95" customHeight="1">
      <c r="A28" s="155">
        <v>20030001</v>
      </c>
      <c r="B28" s="546" t="s">
        <v>769</v>
      </c>
      <c r="C28" s="153">
        <f>'24'!N9</f>
        <v>904810</v>
      </c>
      <c r="D28" s="153">
        <f>'24'!N10+'24'!N11</f>
        <v>173040</v>
      </c>
      <c r="E28" s="153">
        <f>'24'!N13</f>
        <v>96510</v>
      </c>
      <c r="F28" s="153">
        <f>'24'!N16</f>
        <v>88540</v>
      </c>
      <c r="G28" s="23">
        <v>0</v>
      </c>
      <c r="H28" s="23">
        <v>0</v>
      </c>
      <c r="I28" s="23">
        <v>0</v>
      </c>
      <c r="J28" s="153">
        <f>'24'!N28</f>
        <v>5000</v>
      </c>
      <c r="K28" s="23">
        <v>0</v>
      </c>
      <c r="L28" s="154">
        <f t="shared" si="0"/>
        <v>1267900</v>
      </c>
    </row>
    <row r="29" spans="1:15" ht="15.95" customHeight="1">
      <c r="A29" s="155">
        <v>20030002</v>
      </c>
      <c r="B29" s="23" t="s">
        <v>798</v>
      </c>
      <c r="C29" s="153">
        <f>'25'!N9</f>
        <v>1907880</v>
      </c>
      <c r="D29" s="153">
        <f>'25'!N10+'25'!N11</f>
        <v>401920</v>
      </c>
      <c r="E29" s="153">
        <f>'25'!N13</f>
        <v>205910</v>
      </c>
      <c r="F29" s="153">
        <f>'25'!N16</f>
        <v>176900</v>
      </c>
      <c r="G29" s="23">
        <v>0</v>
      </c>
      <c r="H29" s="23">
        <v>0</v>
      </c>
      <c r="I29" s="23">
        <v>0</v>
      </c>
      <c r="J29" s="153">
        <f>'25'!N28</f>
        <v>7000</v>
      </c>
      <c r="K29" s="23">
        <v>0</v>
      </c>
      <c r="L29" s="154">
        <f t="shared" si="0"/>
        <v>2699610</v>
      </c>
    </row>
    <row r="30" spans="1:15" ht="15.95" customHeight="1">
      <c r="A30" s="155">
        <v>20030003</v>
      </c>
      <c r="B30" s="23" t="s">
        <v>799</v>
      </c>
      <c r="C30" s="153">
        <f>'26'!N9</f>
        <v>520250</v>
      </c>
      <c r="D30" s="153">
        <f>'26'!N10+'26'!N11</f>
        <v>96090</v>
      </c>
      <c r="E30" s="153">
        <f>'26'!N13</f>
        <v>55210</v>
      </c>
      <c r="F30" s="153">
        <f>'26'!N16</f>
        <v>56000</v>
      </c>
      <c r="G30" s="23">
        <v>0</v>
      </c>
      <c r="H30" s="23">
        <v>0</v>
      </c>
      <c r="I30" s="23">
        <v>0</v>
      </c>
      <c r="J30" s="153">
        <f>'26'!N28</f>
        <v>4000</v>
      </c>
      <c r="K30" s="23">
        <v>0</v>
      </c>
      <c r="L30" s="154">
        <f t="shared" si="0"/>
        <v>731550</v>
      </c>
    </row>
    <row r="31" spans="1:15" ht="15.95" customHeight="1">
      <c r="A31" s="155">
        <v>20030004</v>
      </c>
      <c r="B31" s="23" t="s">
        <v>800</v>
      </c>
      <c r="C31" s="153">
        <f>'27'!N9</f>
        <v>621560</v>
      </c>
      <c r="D31" s="153">
        <f>'27'!N10+'27'!N11</f>
        <v>113650</v>
      </c>
      <c r="E31" s="153">
        <f>'27'!N13</f>
        <v>66860</v>
      </c>
      <c r="F31" s="153">
        <f>'27'!N16</f>
        <v>69600</v>
      </c>
      <c r="G31" s="23">
        <v>0</v>
      </c>
      <c r="H31" s="23">
        <v>0</v>
      </c>
      <c r="I31" s="23">
        <v>0</v>
      </c>
      <c r="J31" s="153">
        <f>'27'!N28</f>
        <v>14170</v>
      </c>
      <c r="K31" s="23">
        <v>0</v>
      </c>
      <c r="L31" s="154">
        <f t="shared" si="0"/>
        <v>885840</v>
      </c>
    </row>
    <row r="32" spans="1:15" ht="15.95" customHeight="1">
      <c r="A32" s="155">
        <v>20030005</v>
      </c>
      <c r="B32" s="546" t="s">
        <v>801</v>
      </c>
      <c r="C32" s="153">
        <f>'28'!N9</f>
        <v>732110</v>
      </c>
      <c r="D32" s="153">
        <f>'28'!N10+'28'!N11</f>
        <v>152810</v>
      </c>
      <c r="E32" s="153">
        <f>'28'!N13</f>
        <v>78380</v>
      </c>
      <c r="F32" s="153">
        <f>'28'!N16</f>
        <v>70240</v>
      </c>
      <c r="G32" s="23">
        <v>0</v>
      </c>
      <c r="H32" s="23">
        <v>0</v>
      </c>
      <c r="I32" s="23">
        <v>0</v>
      </c>
      <c r="J32" s="153">
        <f>'28'!N28</f>
        <v>22540</v>
      </c>
      <c r="K32" s="23">
        <v>0</v>
      </c>
      <c r="L32" s="154">
        <f t="shared" si="0"/>
        <v>1056080</v>
      </c>
    </row>
    <row r="33" spans="1:12" ht="15.95" customHeight="1">
      <c r="A33" s="155">
        <v>20030006</v>
      </c>
      <c r="B33" s="23" t="s">
        <v>802</v>
      </c>
      <c r="C33" s="153">
        <f>'29'!N9</f>
        <v>287790</v>
      </c>
      <c r="D33" s="153">
        <f>'29'!N10+'29'!N11</f>
        <v>66950</v>
      </c>
      <c r="E33" s="153">
        <f>'29'!N13</f>
        <v>31610</v>
      </c>
      <c r="F33" s="153">
        <f>'29'!N16</f>
        <v>39150</v>
      </c>
      <c r="G33" s="23">
        <v>0</v>
      </c>
      <c r="H33" s="23">
        <v>0</v>
      </c>
      <c r="I33" s="23">
        <v>0</v>
      </c>
      <c r="J33" s="153">
        <f>'29'!N28</f>
        <v>2000</v>
      </c>
      <c r="K33" s="23">
        <v>0</v>
      </c>
      <c r="L33" s="154">
        <f t="shared" si="0"/>
        <v>427500</v>
      </c>
    </row>
    <row r="34" spans="1:12" ht="15.95" customHeight="1">
      <c r="A34" s="155">
        <v>20030007</v>
      </c>
      <c r="B34" s="23" t="s">
        <v>803</v>
      </c>
      <c r="C34" s="153">
        <f>'30'!N9</f>
        <v>440150</v>
      </c>
      <c r="D34" s="153">
        <f>'30'!N10+'30'!N11</f>
        <v>97450</v>
      </c>
      <c r="E34" s="153">
        <f>'30'!N13</f>
        <v>47460</v>
      </c>
      <c r="F34" s="153">
        <f>'30'!N16</f>
        <v>55440</v>
      </c>
      <c r="G34" s="23">
        <v>0</v>
      </c>
      <c r="H34" s="23">
        <v>0</v>
      </c>
      <c r="I34" s="23">
        <v>0</v>
      </c>
      <c r="J34" s="153">
        <f>'30'!N28</f>
        <v>3000</v>
      </c>
      <c r="K34" s="23">
        <v>0</v>
      </c>
      <c r="L34" s="154">
        <f t="shared" si="0"/>
        <v>643500</v>
      </c>
    </row>
    <row r="35" spans="1:12" ht="15.95" customHeight="1">
      <c r="A35" s="155">
        <v>21010001</v>
      </c>
      <c r="B35" s="23" t="s">
        <v>742</v>
      </c>
      <c r="C35" s="153">
        <f>'31'!N9</f>
        <v>186960</v>
      </c>
      <c r="D35" s="153">
        <f>'31'!N10+'31'!N11</f>
        <v>46360</v>
      </c>
      <c r="E35" s="153">
        <f>'31'!N13</f>
        <v>19920</v>
      </c>
      <c r="F35" s="153">
        <f>'31'!N16</f>
        <v>42800</v>
      </c>
      <c r="G35" s="153">
        <f>'31'!N28</f>
        <v>1100000</v>
      </c>
      <c r="H35" s="23">
        <v>0</v>
      </c>
      <c r="I35" s="23">
        <v>0</v>
      </c>
      <c r="J35" s="153">
        <f>'31'!N31</f>
        <v>3000</v>
      </c>
      <c r="K35" s="23">
        <v>0</v>
      </c>
      <c r="L35" s="154">
        <f t="shared" si="0"/>
        <v>1399040</v>
      </c>
    </row>
    <row r="36" spans="1:12" ht="15.95" customHeight="1">
      <c r="A36" s="155">
        <v>22010001</v>
      </c>
      <c r="B36" s="23" t="s">
        <v>756</v>
      </c>
      <c r="C36" s="153">
        <f>'32'!N9</f>
        <v>76040</v>
      </c>
      <c r="D36" s="153">
        <f>'32'!N10+'32'!N11</f>
        <v>18410</v>
      </c>
      <c r="E36" s="153">
        <f>'32'!N13</f>
        <v>8040</v>
      </c>
      <c r="F36" s="153">
        <f>'32'!N16</f>
        <v>24120</v>
      </c>
      <c r="G36" s="23">
        <v>0</v>
      </c>
      <c r="H36" s="23">
        <v>0</v>
      </c>
      <c r="I36" s="23">
        <v>0</v>
      </c>
      <c r="J36" s="153">
        <f>'32'!N28</f>
        <v>2500</v>
      </c>
      <c r="K36" s="23">
        <v>0</v>
      </c>
      <c r="L36" s="154">
        <f t="shared" si="0"/>
        <v>129110</v>
      </c>
    </row>
    <row r="37" spans="1:12" ht="15.95" customHeight="1">
      <c r="A37" s="155">
        <v>23010001</v>
      </c>
      <c r="B37" s="23" t="s">
        <v>754</v>
      </c>
      <c r="C37" s="153">
        <f>'33'!N9</f>
        <v>210790</v>
      </c>
      <c r="D37" s="153">
        <f>'33'!N10+'33'!N11</f>
        <v>50320</v>
      </c>
      <c r="E37" s="153">
        <f>'33'!N13</f>
        <v>22340</v>
      </c>
      <c r="F37" s="153">
        <f>'33'!N16</f>
        <v>45300</v>
      </c>
      <c r="G37" s="153">
        <f>'33'!N28</f>
        <v>100000</v>
      </c>
      <c r="H37" s="23">
        <v>0</v>
      </c>
      <c r="I37" s="23">
        <v>0</v>
      </c>
      <c r="J37" s="153">
        <f>'33'!N32</f>
        <v>5000</v>
      </c>
      <c r="K37" s="23">
        <v>0</v>
      </c>
      <c r="L37" s="154">
        <f t="shared" si="0"/>
        <v>433750</v>
      </c>
    </row>
    <row r="38" spans="1:12" ht="15.95" customHeight="1">
      <c r="A38" s="155">
        <v>24010001</v>
      </c>
      <c r="B38" s="23" t="s">
        <v>211</v>
      </c>
      <c r="C38" s="153">
        <f>'34'!N9</f>
        <v>491410</v>
      </c>
      <c r="D38" s="153">
        <f>'34'!N10+'34'!N11</f>
        <v>64820</v>
      </c>
      <c r="E38" s="153">
        <f>'34'!N13</f>
        <v>50660</v>
      </c>
      <c r="F38" s="153">
        <f>'34'!N16</f>
        <v>118100</v>
      </c>
      <c r="G38" s="23">
        <v>0</v>
      </c>
      <c r="H38" s="23">
        <v>0</v>
      </c>
      <c r="I38" s="23">
        <v>0</v>
      </c>
      <c r="J38" s="153">
        <f>'34'!N28</f>
        <v>4900</v>
      </c>
      <c r="K38" s="23">
        <v>0</v>
      </c>
      <c r="L38" s="154">
        <f t="shared" si="0"/>
        <v>729890</v>
      </c>
    </row>
    <row r="39" spans="1:12" ht="15.95" customHeight="1">
      <c r="A39" s="155">
        <v>26010001</v>
      </c>
      <c r="B39" s="23" t="s">
        <v>212</v>
      </c>
      <c r="C39" s="153">
        <f>'35'!N9</f>
        <v>56030</v>
      </c>
      <c r="D39" s="153">
        <f>'35'!N10+'35'!N11</f>
        <v>7020</v>
      </c>
      <c r="E39" s="153">
        <f>'35'!N13</f>
        <v>5940</v>
      </c>
      <c r="F39" s="153">
        <f>'35'!N16</f>
        <v>11700</v>
      </c>
      <c r="G39" s="153">
        <v>0</v>
      </c>
      <c r="H39" s="23">
        <v>0</v>
      </c>
      <c r="I39" s="23">
        <v>0</v>
      </c>
      <c r="J39" s="153">
        <f>'35'!N28</f>
        <v>500</v>
      </c>
      <c r="K39" s="23">
        <v>0</v>
      </c>
      <c r="L39" s="154">
        <f t="shared" si="0"/>
        <v>81190</v>
      </c>
    </row>
    <row r="40" spans="1:12" ht="15.95" customHeight="1">
      <c r="A40" s="155">
        <v>27010001</v>
      </c>
      <c r="B40" s="23" t="s">
        <v>762</v>
      </c>
      <c r="C40" s="153">
        <f>'36'!N9</f>
        <v>403520</v>
      </c>
      <c r="D40" s="153">
        <f>'36'!N10+'36'!N11</f>
        <v>61000</v>
      </c>
      <c r="E40" s="153">
        <f>'36'!N13</f>
        <v>43650</v>
      </c>
      <c r="F40" s="153">
        <f>'36'!N16</f>
        <v>65050</v>
      </c>
      <c r="G40" s="23">
        <v>0</v>
      </c>
      <c r="H40" s="23">
        <v>0</v>
      </c>
      <c r="I40" s="23">
        <v>0</v>
      </c>
      <c r="J40" s="153">
        <f>'36'!N28</f>
        <v>1000</v>
      </c>
      <c r="K40" s="23">
        <v>0</v>
      </c>
      <c r="L40" s="154">
        <f t="shared" si="0"/>
        <v>574220</v>
      </c>
    </row>
    <row r="41" spans="1:12" ht="15.95" customHeight="1">
      <c r="A41" s="155">
        <v>28010001</v>
      </c>
      <c r="B41" s="23" t="s">
        <v>213</v>
      </c>
      <c r="C41" s="153">
        <f>'37'!N9</f>
        <v>357210</v>
      </c>
      <c r="D41" s="153">
        <f>'37'!N10+'37'!N11</f>
        <v>55430</v>
      </c>
      <c r="E41" s="153">
        <f>'37'!N13</f>
        <v>37980</v>
      </c>
      <c r="F41" s="153">
        <f>'37'!N16</f>
        <v>29530</v>
      </c>
      <c r="G41" s="153">
        <v>0</v>
      </c>
      <c r="H41" s="23">
        <v>0</v>
      </c>
      <c r="I41" s="23">
        <v>0</v>
      </c>
      <c r="J41" s="153">
        <f>'37'!N28</f>
        <v>2000</v>
      </c>
      <c r="K41" s="23">
        <v>0</v>
      </c>
      <c r="L41" s="154">
        <f t="shared" si="0"/>
        <v>482150</v>
      </c>
    </row>
    <row r="42" spans="1:12" s="45" customFormat="1" ht="15.95" customHeight="1">
      <c r="A42" s="88"/>
      <c r="B42" s="159" t="s">
        <v>354</v>
      </c>
      <c r="C42" s="160">
        <f>SUM(C5:C41)</f>
        <v>18183760</v>
      </c>
      <c r="D42" s="160">
        <f t="shared" ref="D42:K42" si="2">SUM(D5:D41)</f>
        <v>3669710</v>
      </c>
      <c r="E42" s="160">
        <f t="shared" si="2"/>
        <v>2163210</v>
      </c>
      <c r="F42" s="160">
        <f t="shared" si="2"/>
        <v>4006650</v>
      </c>
      <c r="G42" s="160">
        <f t="shared" si="2"/>
        <v>11854800</v>
      </c>
      <c r="H42" s="160">
        <f t="shared" si="2"/>
        <v>645000</v>
      </c>
      <c r="I42" s="160">
        <f t="shared" si="2"/>
        <v>41720</v>
      </c>
      <c r="J42" s="160">
        <f t="shared" si="2"/>
        <v>2087010</v>
      </c>
      <c r="K42" s="160">
        <f t="shared" si="2"/>
        <v>515000</v>
      </c>
      <c r="L42" s="160">
        <f>SUM(L5:L41)</f>
        <v>43166860</v>
      </c>
    </row>
    <row r="43" spans="1:12" ht="18" customHeight="1">
      <c r="B43" t="s">
        <v>355</v>
      </c>
      <c r="L43" s="105">
        <f>Rashodi!K9</f>
        <v>548000</v>
      </c>
    </row>
    <row r="44" spans="1:12" ht="18" customHeight="1">
      <c r="B44" t="s">
        <v>375</v>
      </c>
      <c r="L44" s="105">
        <f>Uvod!F42</f>
        <v>1270</v>
      </c>
    </row>
    <row r="45" spans="1:12" ht="18" customHeight="1">
      <c r="A45" s="156"/>
      <c r="B45" s="158" t="s">
        <v>354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63">
        <f>L42+L43+L44</f>
        <v>43716130</v>
      </c>
    </row>
    <row r="48" spans="1:12">
      <c r="D48" s="841"/>
      <c r="E48" s="841"/>
      <c r="F48" s="841"/>
    </row>
    <row r="49" spans="4:6">
      <c r="D49" s="290"/>
      <c r="E49" s="841"/>
      <c r="F49" s="290"/>
    </row>
    <row r="50" spans="4:6">
      <c r="D50" s="841"/>
      <c r="E50" s="841"/>
      <c r="F50" s="290"/>
    </row>
    <row r="51" spans="4:6">
      <c r="D51" s="841"/>
      <c r="E51" s="841"/>
      <c r="F51" s="290"/>
    </row>
    <row r="52" spans="4:6">
      <c r="D52" s="841"/>
      <c r="E52" s="841"/>
      <c r="F52" s="841"/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6"/>
  <dimension ref="A2:J119"/>
  <sheetViews>
    <sheetView zoomScaleNormal="100" zoomScaleSheetLayoutView="100" workbookViewId="0">
      <selection activeCell="J7" sqref="J7"/>
    </sheetView>
  </sheetViews>
  <sheetFormatPr defaultRowHeight="12.75"/>
  <cols>
    <col min="1" max="1" width="6.140625" style="466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  <col min="9" max="10" width="10.140625" bestFit="1" customWidth="1"/>
  </cols>
  <sheetData>
    <row r="2" spans="2:10" ht="15">
      <c r="B2" s="939" t="s">
        <v>930</v>
      </c>
      <c r="C2" s="842"/>
      <c r="D2" s="842"/>
      <c r="E2" s="842"/>
      <c r="F2" s="842"/>
      <c r="G2" s="842"/>
    </row>
    <row r="3" spans="2:10" ht="15">
      <c r="B3" s="167"/>
      <c r="C3" s="169"/>
      <c r="D3" s="168"/>
      <c r="E3" s="168"/>
      <c r="F3" s="168"/>
    </row>
    <row r="4" spans="2:10">
      <c r="B4" s="170"/>
      <c r="C4" s="170"/>
      <c r="D4" s="171"/>
      <c r="E4" s="172"/>
      <c r="F4" s="172"/>
    </row>
    <row r="5" spans="2:10" ht="66" customHeight="1">
      <c r="B5" s="173" t="s">
        <v>215</v>
      </c>
      <c r="C5" s="174" t="s">
        <v>377</v>
      </c>
      <c r="D5" s="174" t="s">
        <v>378</v>
      </c>
      <c r="E5" s="175" t="s">
        <v>856</v>
      </c>
      <c r="F5" s="175" t="s">
        <v>847</v>
      </c>
      <c r="G5" s="175" t="s">
        <v>55</v>
      </c>
    </row>
    <row r="6" spans="2:10">
      <c r="B6" s="176"/>
      <c r="C6" s="177">
        <v>1</v>
      </c>
      <c r="D6" s="177">
        <v>2</v>
      </c>
      <c r="E6" s="178">
        <v>3</v>
      </c>
      <c r="F6" s="178">
        <v>4</v>
      </c>
      <c r="G6" s="293">
        <v>5</v>
      </c>
    </row>
    <row r="7" spans="2:10">
      <c r="B7" s="534">
        <v>1</v>
      </c>
      <c r="C7" s="535"/>
      <c r="D7" s="535" t="s">
        <v>54</v>
      </c>
      <c r="E7" s="536">
        <f>E8+E17+E23+E30+E40+E47+E54+E61+E68+E77</f>
        <v>43102315</v>
      </c>
      <c r="F7" s="536">
        <f>F8+F17+F23+F30+F40+F47+F54+F61+F68+F77</f>
        <v>43166860</v>
      </c>
      <c r="G7" s="537">
        <f>IF(E7=0,"",F7/E7*100)</f>
        <v>100.14974833718328</v>
      </c>
      <c r="I7" s="74"/>
      <c r="J7" s="74"/>
    </row>
    <row r="8" spans="2:10">
      <c r="B8" s="534">
        <v>2</v>
      </c>
      <c r="C8" s="538" t="s">
        <v>80</v>
      </c>
      <c r="D8" s="539" t="s">
        <v>58</v>
      </c>
      <c r="E8" s="536">
        <f>SUM(E9:E16)</f>
        <v>4925080</v>
      </c>
      <c r="F8" s="536">
        <f>SUM(F9:F16)</f>
        <v>5123520</v>
      </c>
      <c r="G8" s="540">
        <f>IF(E8=0,"",F8/E8*100)</f>
        <v>104.02917313018266</v>
      </c>
      <c r="I8" s="74"/>
    </row>
    <row r="9" spans="2:10" ht="14.1" customHeight="1">
      <c r="B9" s="176">
        <v>3</v>
      </c>
      <c r="C9" s="179" t="s">
        <v>379</v>
      </c>
      <c r="D9" s="180" t="s">
        <v>59</v>
      </c>
      <c r="E9" s="150">
        <f>'1'!J33+'3'!J55-'3'!J8+'4 (S)'!J36+'5'!J33+'6'!J33+'7'!J33+'4 (N)'!J36+'16'!J54-'16'!J8</f>
        <v>4152270</v>
      </c>
      <c r="F9" s="150">
        <f>'1'!N33+'3'!N55-'3'!N8+'4 (S)'!N36+'5'!N33+'6'!N33+'7'!N33+'4 (N)'!N36+'16'!N54-'16'!N8</f>
        <v>4334500</v>
      </c>
      <c r="G9" s="181">
        <f>IF(E9=0,"",F9/E9*100)</f>
        <v>104.38868378019734</v>
      </c>
      <c r="J9" s="74"/>
    </row>
    <row r="10" spans="2:10" ht="14.1" customHeight="1">
      <c r="B10" s="176">
        <v>4</v>
      </c>
      <c r="C10" s="179" t="s">
        <v>380</v>
      </c>
      <c r="D10" s="180" t="s">
        <v>381</v>
      </c>
      <c r="E10" s="150">
        <v>0</v>
      </c>
      <c r="F10" s="150">
        <v>0</v>
      </c>
      <c r="G10" s="181" t="str">
        <f t="shared" ref="G10:G73" si="0">IF(E10=0,"",F10/E10*100)</f>
        <v/>
      </c>
    </row>
    <row r="11" spans="2:10" ht="14.1" customHeight="1">
      <c r="B11" s="176">
        <v>5</v>
      </c>
      <c r="C11" s="179" t="s">
        <v>382</v>
      </c>
      <c r="D11" s="180" t="s">
        <v>383</v>
      </c>
      <c r="E11" s="150">
        <f>'8'!J33</f>
        <v>772810</v>
      </c>
      <c r="F11" s="150">
        <f>'8'!N33</f>
        <v>789020</v>
      </c>
      <c r="G11" s="181">
        <f t="shared" si="0"/>
        <v>102.09754014570206</v>
      </c>
    </row>
    <row r="12" spans="2:10" ht="14.1" customHeight="1">
      <c r="B12" s="176">
        <v>6</v>
      </c>
      <c r="C12" s="179" t="s">
        <v>384</v>
      </c>
      <c r="D12" s="180" t="s">
        <v>385</v>
      </c>
      <c r="E12" s="150">
        <v>0</v>
      </c>
      <c r="F12" s="150">
        <v>0</v>
      </c>
      <c r="G12" s="181" t="str">
        <f t="shared" si="0"/>
        <v/>
      </c>
    </row>
    <row r="13" spans="2:10" ht="14.1" customHeight="1">
      <c r="B13" s="176">
        <v>7</v>
      </c>
      <c r="C13" s="179" t="s">
        <v>386</v>
      </c>
      <c r="D13" s="180" t="s">
        <v>387</v>
      </c>
      <c r="E13" s="150">
        <v>0</v>
      </c>
      <c r="F13" s="150">
        <v>0</v>
      </c>
      <c r="G13" s="181" t="str">
        <f t="shared" si="0"/>
        <v/>
      </c>
    </row>
    <row r="14" spans="2:10" ht="14.1" customHeight="1">
      <c r="B14" s="176">
        <v>8</v>
      </c>
      <c r="C14" s="179" t="s">
        <v>388</v>
      </c>
      <c r="D14" s="180" t="s">
        <v>389</v>
      </c>
      <c r="E14" s="150">
        <v>0</v>
      </c>
      <c r="F14" s="150">
        <v>0</v>
      </c>
      <c r="G14" s="181" t="str">
        <f t="shared" si="0"/>
        <v/>
      </c>
    </row>
    <row r="15" spans="2:10" ht="14.1" customHeight="1">
      <c r="B15" s="176">
        <v>9</v>
      </c>
      <c r="C15" s="179" t="s">
        <v>390</v>
      </c>
      <c r="D15" s="180" t="s">
        <v>391</v>
      </c>
      <c r="E15" s="150">
        <v>0</v>
      </c>
      <c r="F15" s="150">
        <v>0</v>
      </c>
      <c r="G15" s="181" t="str">
        <f t="shared" si="0"/>
        <v/>
      </c>
    </row>
    <row r="16" spans="2:10" ht="14.1" customHeight="1">
      <c r="B16" s="176">
        <v>10</v>
      </c>
      <c r="C16" s="179" t="s">
        <v>392</v>
      </c>
      <c r="D16" s="180" t="s">
        <v>60</v>
      </c>
      <c r="E16" s="150">
        <v>0</v>
      </c>
      <c r="F16" s="150">
        <v>0</v>
      </c>
      <c r="G16" s="181" t="str">
        <f t="shared" si="0"/>
        <v/>
      </c>
    </row>
    <row r="17" spans="2:7" ht="14.1" customHeight="1">
      <c r="B17" s="534">
        <v>11</v>
      </c>
      <c r="C17" s="538" t="s">
        <v>124</v>
      </c>
      <c r="D17" s="539" t="s">
        <v>61</v>
      </c>
      <c r="E17" s="536">
        <f>SUM(E18:E22)</f>
        <v>0</v>
      </c>
      <c r="F17" s="536">
        <f>SUM(F18:F22)</f>
        <v>0</v>
      </c>
      <c r="G17" s="540" t="str">
        <f t="shared" si="0"/>
        <v/>
      </c>
    </row>
    <row r="18" spans="2:7" ht="14.1" customHeight="1">
      <c r="B18" s="176">
        <v>12</v>
      </c>
      <c r="C18" s="179" t="s">
        <v>393</v>
      </c>
      <c r="D18" s="180" t="s">
        <v>62</v>
      </c>
      <c r="E18" s="150">
        <v>0</v>
      </c>
      <c r="F18" s="150">
        <v>0</v>
      </c>
      <c r="G18" s="181" t="str">
        <f t="shared" si="0"/>
        <v/>
      </c>
    </row>
    <row r="19" spans="2:7" ht="14.1" customHeight="1">
      <c r="B19" s="176">
        <v>13</v>
      </c>
      <c r="C19" s="179" t="s">
        <v>394</v>
      </c>
      <c r="D19" s="180" t="s">
        <v>63</v>
      </c>
      <c r="E19" s="150">
        <v>0</v>
      </c>
      <c r="F19" s="150">
        <v>0</v>
      </c>
      <c r="G19" s="181" t="str">
        <f t="shared" si="0"/>
        <v/>
      </c>
    </row>
    <row r="20" spans="2:7" ht="14.1" customHeight="1">
      <c r="B20" s="176">
        <v>14</v>
      </c>
      <c r="C20" s="179" t="s">
        <v>395</v>
      </c>
      <c r="D20" s="180" t="s">
        <v>64</v>
      </c>
      <c r="E20" s="150">
        <v>0</v>
      </c>
      <c r="F20" s="150">
        <v>0</v>
      </c>
      <c r="G20" s="181" t="str">
        <f t="shared" si="0"/>
        <v/>
      </c>
    </row>
    <row r="21" spans="2:7" ht="14.1" customHeight="1">
      <c r="B21" s="176">
        <v>15</v>
      </c>
      <c r="C21" s="179" t="s">
        <v>396</v>
      </c>
      <c r="D21" s="180" t="s">
        <v>65</v>
      </c>
      <c r="E21" s="150">
        <v>0</v>
      </c>
      <c r="F21" s="150">
        <v>0</v>
      </c>
      <c r="G21" s="181" t="str">
        <f t="shared" si="0"/>
        <v/>
      </c>
    </row>
    <row r="22" spans="2:7" ht="14.1" customHeight="1">
      <c r="B22" s="176">
        <v>16</v>
      </c>
      <c r="C22" s="179" t="s">
        <v>397</v>
      </c>
      <c r="D22" s="180" t="s">
        <v>66</v>
      </c>
      <c r="E22" s="150">
        <v>0</v>
      </c>
      <c r="F22" s="150">
        <v>0</v>
      </c>
      <c r="G22" s="181" t="str">
        <f t="shared" si="0"/>
        <v/>
      </c>
    </row>
    <row r="23" spans="2:7" ht="14.1" customHeight="1">
      <c r="B23" s="534">
        <v>17</v>
      </c>
      <c r="C23" s="538" t="s">
        <v>132</v>
      </c>
      <c r="D23" s="539" t="s">
        <v>528</v>
      </c>
      <c r="E23" s="536">
        <f>SUM(E24:E29)</f>
        <v>10592570</v>
      </c>
      <c r="F23" s="536">
        <f>SUM(F24:F29)</f>
        <v>10675350</v>
      </c>
      <c r="G23" s="540">
        <f t="shared" si="0"/>
        <v>100.78149117730635</v>
      </c>
    </row>
    <row r="24" spans="2:7" ht="14.1" customHeight="1">
      <c r="B24" s="176">
        <v>18</v>
      </c>
      <c r="C24" s="179" t="s">
        <v>398</v>
      </c>
      <c r="D24" s="180" t="s">
        <v>399</v>
      </c>
      <c r="E24" s="150">
        <f>'9'!J33</f>
        <v>6776320</v>
      </c>
      <c r="F24" s="150">
        <f>'9'!N33</f>
        <v>6913390</v>
      </c>
      <c r="G24" s="181">
        <f t="shared" si="0"/>
        <v>102.0227793256517</v>
      </c>
    </row>
    <row r="25" spans="2:7" ht="14.1" customHeight="1">
      <c r="B25" s="176">
        <v>19</v>
      </c>
      <c r="C25" s="179" t="s">
        <v>400</v>
      </c>
      <c r="D25" s="180" t="s">
        <v>529</v>
      </c>
      <c r="E25" s="150">
        <f>'33'!J37</f>
        <v>475790</v>
      </c>
      <c r="F25" s="150">
        <f>'33'!N37</f>
        <v>433750</v>
      </c>
      <c r="G25" s="181">
        <f t="shared" si="0"/>
        <v>91.16416906618467</v>
      </c>
    </row>
    <row r="26" spans="2:7" ht="14.1" customHeight="1">
      <c r="B26" s="176">
        <v>20</v>
      </c>
      <c r="C26" s="179" t="s">
        <v>401</v>
      </c>
      <c r="D26" s="180" t="s">
        <v>402</v>
      </c>
      <c r="E26" s="150">
        <f>'11'!J34+'12'!J33+'13'!J33+'14'!J33+'34'!J33+'35'!J33+'36'!J33</f>
        <v>3089570</v>
      </c>
      <c r="F26" s="150">
        <f>'11'!N34+'12'!N33+'13'!N33+'14'!N33+'34'!N33+'35'!N33+'36'!N33</f>
        <v>3052590</v>
      </c>
      <c r="G26" s="181">
        <f t="shared" si="0"/>
        <v>98.803069682836124</v>
      </c>
    </row>
    <row r="27" spans="2:7" ht="14.1" customHeight="1">
      <c r="B27" s="176">
        <v>21</v>
      </c>
      <c r="C27" s="179" t="s">
        <v>403</v>
      </c>
      <c r="D27" s="180" t="s">
        <v>404</v>
      </c>
      <c r="E27" s="150">
        <v>0</v>
      </c>
      <c r="F27" s="150">
        <v>0</v>
      </c>
      <c r="G27" s="181" t="str">
        <f t="shared" si="0"/>
        <v/>
      </c>
    </row>
    <row r="28" spans="2:7" ht="14.1" customHeight="1">
      <c r="B28" s="176">
        <v>22</v>
      </c>
      <c r="C28" s="179" t="s">
        <v>405</v>
      </c>
      <c r="D28" s="180" t="s">
        <v>406</v>
      </c>
      <c r="E28" s="150">
        <v>0</v>
      </c>
      <c r="F28" s="150">
        <v>0</v>
      </c>
      <c r="G28" s="181" t="str">
        <f t="shared" si="0"/>
        <v/>
      </c>
    </row>
    <row r="29" spans="2:7" ht="14.1" customHeight="1">
      <c r="B29" s="176">
        <v>23</v>
      </c>
      <c r="C29" s="179" t="s">
        <v>407</v>
      </c>
      <c r="D29" s="180" t="s">
        <v>408</v>
      </c>
      <c r="E29" s="150">
        <f>'10'!J35</f>
        <v>250890</v>
      </c>
      <c r="F29" s="150">
        <f>'10'!N35</f>
        <v>275620</v>
      </c>
      <c r="G29" s="181">
        <f t="shared" si="0"/>
        <v>109.85690940252701</v>
      </c>
    </row>
    <row r="30" spans="2:7" ht="14.1" customHeight="1">
      <c r="B30" s="534">
        <v>24</v>
      </c>
      <c r="C30" s="538" t="s">
        <v>409</v>
      </c>
      <c r="D30" s="539" t="s">
        <v>410</v>
      </c>
      <c r="E30" s="536">
        <f>SUM(E31:E39)</f>
        <v>8254090</v>
      </c>
      <c r="F30" s="536">
        <f>SUM(F31:F39)</f>
        <v>7463790</v>
      </c>
      <c r="G30" s="540">
        <f t="shared" si="0"/>
        <v>90.425352764508261</v>
      </c>
    </row>
    <row r="31" spans="2:7" ht="14.1" customHeight="1">
      <c r="B31" s="176">
        <v>25</v>
      </c>
      <c r="C31" s="179" t="s">
        <v>411</v>
      </c>
      <c r="D31" s="180" t="s">
        <v>412</v>
      </c>
      <c r="E31" s="150">
        <v>0</v>
      </c>
      <c r="F31" s="150">
        <v>0</v>
      </c>
      <c r="G31" s="181" t="str">
        <f t="shared" si="0"/>
        <v/>
      </c>
    </row>
    <row r="32" spans="2:7" ht="14.1" customHeight="1">
      <c r="B32" s="176">
        <v>26</v>
      </c>
      <c r="C32" s="179" t="s">
        <v>413</v>
      </c>
      <c r="D32" s="180" t="s">
        <v>414</v>
      </c>
      <c r="E32" s="150">
        <f>'19'!J43</f>
        <v>2339540</v>
      </c>
      <c r="F32" s="150">
        <f>'19'!N43</f>
        <v>2423400</v>
      </c>
      <c r="G32" s="181">
        <f t="shared" si="0"/>
        <v>103.58446532224283</v>
      </c>
    </row>
    <row r="33" spans="2:7" ht="14.1" customHeight="1">
      <c r="B33" s="176">
        <v>27</v>
      </c>
      <c r="C33" s="179" t="s">
        <v>415</v>
      </c>
      <c r="D33" s="180" t="s">
        <v>416</v>
      </c>
      <c r="E33" s="150">
        <v>0</v>
      </c>
      <c r="F33" s="150">
        <v>0</v>
      </c>
      <c r="G33" s="181" t="str">
        <f t="shared" si="0"/>
        <v/>
      </c>
    </row>
    <row r="34" spans="2:7" ht="14.1" customHeight="1">
      <c r="B34" s="176">
        <v>28</v>
      </c>
      <c r="C34" s="179" t="s">
        <v>417</v>
      </c>
      <c r="D34" s="180" t="s">
        <v>418</v>
      </c>
      <c r="E34" s="150">
        <v>0</v>
      </c>
      <c r="F34" s="150">
        <v>0</v>
      </c>
      <c r="G34" s="181" t="str">
        <f t="shared" si="0"/>
        <v/>
      </c>
    </row>
    <row r="35" spans="2:7" ht="14.1" customHeight="1">
      <c r="B35" s="176">
        <v>29</v>
      </c>
      <c r="C35" s="179" t="s">
        <v>419</v>
      </c>
      <c r="D35" s="180" t="s">
        <v>67</v>
      </c>
      <c r="E35" s="150">
        <v>0</v>
      </c>
      <c r="F35" s="150">
        <v>0</v>
      </c>
      <c r="G35" s="181" t="str">
        <f t="shared" si="0"/>
        <v/>
      </c>
    </row>
    <row r="36" spans="2:7" ht="14.1" customHeight="1">
      <c r="B36" s="176">
        <v>30</v>
      </c>
      <c r="C36" s="179" t="s">
        <v>420</v>
      </c>
      <c r="D36" s="180" t="s">
        <v>421</v>
      </c>
      <c r="E36" s="150">
        <v>0</v>
      </c>
      <c r="F36" s="150">
        <v>0</v>
      </c>
      <c r="G36" s="181" t="str">
        <f t="shared" si="0"/>
        <v/>
      </c>
    </row>
    <row r="37" spans="2:7" ht="14.1" customHeight="1">
      <c r="B37" s="176">
        <v>31</v>
      </c>
      <c r="C37" s="179" t="s">
        <v>422</v>
      </c>
      <c r="D37" s="180" t="s">
        <v>423</v>
      </c>
      <c r="E37" s="150">
        <v>0</v>
      </c>
      <c r="F37" s="150">
        <v>0</v>
      </c>
      <c r="G37" s="181" t="str">
        <f t="shared" si="0"/>
        <v/>
      </c>
    </row>
    <row r="38" spans="2:7" ht="14.1" customHeight="1">
      <c r="B38" s="176">
        <v>32</v>
      </c>
      <c r="C38" s="179" t="s">
        <v>424</v>
      </c>
      <c r="D38" s="180" t="s">
        <v>425</v>
      </c>
      <c r="E38" s="150">
        <v>0</v>
      </c>
      <c r="F38" s="150">
        <v>0</v>
      </c>
      <c r="G38" s="181" t="str">
        <f t="shared" si="0"/>
        <v/>
      </c>
    </row>
    <row r="39" spans="2:7" ht="14.1" customHeight="1">
      <c r="B39" s="176">
        <v>33</v>
      </c>
      <c r="C39" s="179" t="s">
        <v>426</v>
      </c>
      <c r="D39" s="180" t="s">
        <v>427</v>
      </c>
      <c r="E39" s="150">
        <f>'15'!J41+'18'!J41+'32'!J33+'37'!J33</f>
        <v>5914550</v>
      </c>
      <c r="F39" s="150">
        <f>'15'!N41+'18'!N41+'32'!N33+'37'!N33</f>
        <v>5040390</v>
      </c>
      <c r="G39" s="181">
        <f t="shared" si="0"/>
        <v>85.22017735922428</v>
      </c>
    </row>
    <row r="40" spans="2:7" ht="14.1" customHeight="1">
      <c r="B40" s="534">
        <v>34</v>
      </c>
      <c r="C40" s="538" t="s">
        <v>125</v>
      </c>
      <c r="D40" s="539" t="s">
        <v>428</v>
      </c>
      <c r="E40" s="536">
        <f>SUM(E41:E46)</f>
        <v>0</v>
      </c>
      <c r="F40" s="536">
        <f>SUM(F41:F46)</f>
        <v>0</v>
      </c>
      <c r="G40" s="540" t="str">
        <f t="shared" si="0"/>
        <v/>
      </c>
    </row>
    <row r="41" spans="2:7" ht="14.1" customHeight="1">
      <c r="B41" s="176">
        <v>35</v>
      </c>
      <c r="C41" s="179" t="s">
        <v>429</v>
      </c>
      <c r="D41" s="180" t="s">
        <v>430</v>
      </c>
      <c r="E41" s="150">
        <v>0</v>
      </c>
      <c r="F41" s="150">
        <v>0</v>
      </c>
      <c r="G41" s="181" t="str">
        <f t="shared" si="0"/>
        <v/>
      </c>
    </row>
    <row r="42" spans="2:7" ht="14.1" customHeight="1">
      <c r="B42" s="176">
        <v>36</v>
      </c>
      <c r="C42" s="179" t="s">
        <v>431</v>
      </c>
      <c r="D42" s="180" t="s">
        <v>432</v>
      </c>
      <c r="E42" s="150">
        <v>0</v>
      </c>
      <c r="F42" s="150">
        <v>0</v>
      </c>
      <c r="G42" s="181" t="str">
        <f t="shared" si="0"/>
        <v/>
      </c>
    </row>
    <row r="43" spans="2:7" ht="14.1" customHeight="1">
      <c r="B43" s="176">
        <v>37</v>
      </c>
      <c r="C43" s="179" t="s">
        <v>433</v>
      </c>
      <c r="D43" s="180" t="s">
        <v>434</v>
      </c>
      <c r="E43" s="150">
        <v>0</v>
      </c>
      <c r="F43" s="150">
        <v>0</v>
      </c>
      <c r="G43" s="181" t="str">
        <f t="shared" si="0"/>
        <v/>
      </c>
    </row>
    <row r="44" spans="2:7" ht="14.1" customHeight="1">
      <c r="B44" s="176">
        <v>38</v>
      </c>
      <c r="C44" s="179" t="s">
        <v>435</v>
      </c>
      <c r="D44" s="180" t="s">
        <v>68</v>
      </c>
      <c r="E44" s="150">
        <v>0</v>
      </c>
      <c r="F44" s="150">
        <v>0</v>
      </c>
      <c r="G44" s="181" t="str">
        <f t="shared" si="0"/>
        <v/>
      </c>
    </row>
    <row r="45" spans="2:7" ht="14.1" customHeight="1">
      <c r="B45" s="176">
        <v>39</v>
      </c>
      <c r="C45" s="179" t="s">
        <v>436</v>
      </c>
      <c r="D45" s="180" t="s">
        <v>56</v>
      </c>
      <c r="E45" s="150">
        <v>0</v>
      </c>
      <c r="F45" s="150">
        <v>0</v>
      </c>
      <c r="G45" s="181" t="str">
        <f t="shared" si="0"/>
        <v/>
      </c>
    </row>
    <row r="46" spans="2:7" ht="14.1" customHeight="1">
      <c r="B46" s="176">
        <v>40</v>
      </c>
      <c r="C46" s="179" t="s">
        <v>437</v>
      </c>
      <c r="D46" s="180" t="s">
        <v>438</v>
      </c>
      <c r="E46" s="150">
        <v>0</v>
      </c>
      <c r="F46" s="150">
        <v>0</v>
      </c>
      <c r="G46" s="181" t="str">
        <f t="shared" si="0"/>
        <v/>
      </c>
    </row>
    <row r="47" spans="2:7" ht="14.1" customHeight="1">
      <c r="B47" s="534">
        <v>41</v>
      </c>
      <c r="C47" s="538" t="s">
        <v>168</v>
      </c>
      <c r="D47" s="539" t="s">
        <v>439</v>
      </c>
      <c r="E47" s="536">
        <f>SUM(E48:E53)</f>
        <v>0</v>
      </c>
      <c r="F47" s="536">
        <f>SUM(F48:F53)</f>
        <v>0</v>
      </c>
      <c r="G47" s="540" t="str">
        <f t="shared" si="0"/>
        <v/>
      </c>
    </row>
    <row r="48" spans="2:7" ht="14.1" customHeight="1">
      <c r="B48" s="176">
        <v>42</v>
      </c>
      <c r="C48" s="179" t="s">
        <v>440</v>
      </c>
      <c r="D48" s="180" t="s">
        <v>441</v>
      </c>
      <c r="E48" s="150">
        <v>0</v>
      </c>
      <c r="F48" s="150">
        <v>0</v>
      </c>
      <c r="G48" s="181" t="str">
        <f t="shared" si="0"/>
        <v/>
      </c>
    </row>
    <row r="49" spans="2:7" ht="14.1" customHeight="1">
      <c r="B49" s="176">
        <v>43</v>
      </c>
      <c r="C49" s="179" t="s">
        <v>442</v>
      </c>
      <c r="D49" s="180" t="s">
        <v>443</v>
      </c>
      <c r="E49" s="150">
        <v>0</v>
      </c>
      <c r="F49" s="150">
        <v>0</v>
      </c>
      <c r="G49" s="181" t="str">
        <f t="shared" si="0"/>
        <v/>
      </c>
    </row>
    <row r="50" spans="2:7" ht="14.1" customHeight="1">
      <c r="B50" s="176">
        <v>44</v>
      </c>
      <c r="C50" s="179" t="s">
        <v>444</v>
      </c>
      <c r="D50" s="180" t="s">
        <v>69</v>
      </c>
      <c r="E50" s="150">
        <v>0</v>
      </c>
      <c r="F50" s="150">
        <v>0</v>
      </c>
      <c r="G50" s="181" t="str">
        <f t="shared" si="0"/>
        <v/>
      </c>
    </row>
    <row r="51" spans="2:7" ht="14.1" customHeight="1">
      <c r="B51" s="176">
        <v>45</v>
      </c>
      <c r="C51" s="179" t="s">
        <v>445</v>
      </c>
      <c r="D51" s="180" t="s">
        <v>446</v>
      </c>
      <c r="E51" s="150">
        <v>0</v>
      </c>
      <c r="F51" s="150">
        <v>0</v>
      </c>
      <c r="G51" s="181" t="str">
        <f t="shared" si="0"/>
        <v/>
      </c>
    </row>
    <row r="52" spans="2:7" ht="14.1" customHeight="1">
      <c r="B52" s="176">
        <v>46</v>
      </c>
      <c r="C52" s="179" t="s">
        <v>447</v>
      </c>
      <c r="D52" s="180" t="s">
        <v>448</v>
      </c>
      <c r="E52" s="150">
        <v>0</v>
      </c>
      <c r="F52" s="150">
        <v>0</v>
      </c>
      <c r="G52" s="181" t="str">
        <f t="shared" si="0"/>
        <v/>
      </c>
    </row>
    <row r="53" spans="2:7" ht="14.1" customHeight="1">
      <c r="B53" s="176">
        <v>47</v>
      </c>
      <c r="C53" s="179" t="s">
        <v>449</v>
      </c>
      <c r="D53" s="180" t="s">
        <v>450</v>
      </c>
      <c r="E53" s="150">
        <v>0</v>
      </c>
      <c r="F53" s="150">
        <v>0</v>
      </c>
      <c r="G53" s="181" t="str">
        <f t="shared" si="0"/>
        <v/>
      </c>
    </row>
    <row r="54" spans="2:7" ht="14.1" customHeight="1">
      <c r="B54" s="534">
        <v>48</v>
      </c>
      <c r="C54" s="538" t="s">
        <v>451</v>
      </c>
      <c r="D54" s="539" t="s">
        <v>452</v>
      </c>
      <c r="E54" s="536">
        <f>SUM(E55:E60)</f>
        <v>0</v>
      </c>
      <c r="F54" s="536">
        <f>SUM(F55:F60)</f>
        <v>0</v>
      </c>
      <c r="G54" s="540" t="str">
        <f t="shared" si="0"/>
        <v/>
      </c>
    </row>
    <row r="55" spans="2:7" ht="14.1" customHeight="1">
      <c r="B55" s="176">
        <v>49</v>
      </c>
      <c r="C55" s="179" t="s">
        <v>453</v>
      </c>
      <c r="D55" s="180" t="s">
        <v>454</v>
      </c>
      <c r="E55" s="150">
        <v>0</v>
      </c>
      <c r="F55" s="150">
        <v>0</v>
      </c>
      <c r="G55" s="181" t="str">
        <f t="shared" si="0"/>
        <v/>
      </c>
    </row>
    <row r="56" spans="2:7" ht="14.1" customHeight="1">
      <c r="B56" s="176">
        <v>50</v>
      </c>
      <c r="C56" s="179" t="s">
        <v>455</v>
      </c>
      <c r="D56" s="180" t="s">
        <v>70</v>
      </c>
      <c r="E56" s="150">
        <v>0</v>
      </c>
      <c r="F56" s="150">
        <v>0</v>
      </c>
      <c r="G56" s="181" t="str">
        <f t="shared" si="0"/>
        <v/>
      </c>
    </row>
    <row r="57" spans="2:7" ht="14.1" customHeight="1">
      <c r="B57" s="176">
        <v>51</v>
      </c>
      <c r="C57" s="179" t="s">
        <v>0</v>
      </c>
      <c r="D57" s="180" t="s">
        <v>1</v>
      </c>
      <c r="E57" s="150">
        <v>0</v>
      </c>
      <c r="F57" s="150">
        <v>0</v>
      </c>
      <c r="G57" s="181" t="str">
        <f t="shared" si="0"/>
        <v/>
      </c>
    </row>
    <row r="58" spans="2:7" ht="14.1" customHeight="1">
      <c r="B58" s="176">
        <v>52</v>
      </c>
      <c r="C58" s="179" t="s">
        <v>2</v>
      </c>
      <c r="D58" s="180" t="s">
        <v>3</v>
      </c>
      <c r="E58" s="150">
        <v>0</v>
      </c>
      <c r="F58" s="150">
        <v>0</v>
      </c>
      <c r="G58" s="181" t="str">
        <f t="shared" si="0"/>
        <v/>
      </c>
    </row>
    <row r="59" spans="2:7" ht="14.1" customHeight="1">
      <c r="B59" s="176">
        <v>53</v>
      </c>
      <c r="C59" s="179" t="s">
        <v>4</v>
      </c>
      <c r="D59" s="180" t="s">
        <v>5</v>
      </c>
      <c r="E59" s="150">
        <v>0</v>
      </c>
      <c r="F59" s="150">
        <v>0</v>
      </c>
      <c r="G59" s="181" t="str">
        <f t="shared" si="0"/>
        <v/>
      </c>
    </row>
    <row r="60" spans="2:7" ht="14.1" customHeight="1">
      <c r="B60" s="176">
        <v>54</v>
      </c>
      <c r="C60" s="179" t="s">
        <v>6</v>
      </c>
      <c r="D60" s="180" t="s">
        <v>7</v>
      </c>
      <c r="E60" s="150">
        <v>0</v>
      </c>
      <c r="F60" s="150">
        <v>0</v>
      </c>
      <c r="G60" s="181" t="str">
        <f t="shared" si="0"/>
        <v/>
      </c>
    </row>
    <row r="61" spans="2:7">
      <c r="B61" s="534">
        <v>55</v>
      </c>
      <c r="C61" s="538" t="s">
        <v>8</v>
      </c>
      <c r="D61" s="539" t="s">
        <v>9</v>
      </c>
      <c r="E61" s="536">
        <f>SUM(E62:E67)</f>
        <v>640000</v>
      </c>
      <c r="F61" s="536">
        <f>SUM(F62:F67)</f>
        <v>640000</v>
      </c>
      <c r="G61" s="540">
        <f t="shared" si="0"/>
        <v>100</v>
      </c>
    </row>
    <row r="62" spans="2:7">
      <c r="B62" s="176">
        <v>56</v>
      </c>
      <c r="C62" s="179" t="s">
        <v>10</v>
      </c>
      <c r="D62" s="180" t="s">
        <v>695</v>
      </c>
      <c r="E62" s="150">
        <f>'20'!J39</f>
        <v>240000</v>
      </c>
      <c r="F62" s="150">
        <f>'20'!N39</f>
        <v>240000</v>
      </c>
      <c r="G62" s="182">
        <f t="shared" si="0"/>
        <v>100</v>
      </c>
    </row>
    <row r="63" spans="2:7">
      <c r="B63" s="176">
        <v>57</v>
      </c>
      <c r="C63" s="179" t="s">
        <v>11</v>
      </c>
      <c r="D63" s="180" t="s">
        <v>12</v>
      </c>
      <c r="E63" s="150">
        <f>'20'!J40</f>
        <v>80000</v>
      </c>
      <c r="F63" s="150">
        <f>'20'!N40</f>
        <v>80000</v>
      </c>
      <c r="G63" s="182">
        <f t="shared" si="0"/>
        <v>100</v>
      </c>
    </row>
    <row r="64" spans="2:7">
      <c r="B64" s="176">
        <v>58</v>
      </c>
      <c r="C64" s="179" t="s">
        <v>13</v>
      </c>
      <c r="D64" s="180" t="s">
        <v>71</v>
      </c>
      <c r="E64" s="150">
        <f>'20'!J37</f>
        <v>100000</v>
      </c>
      <c r="F64" s="150">
        <f>'20'!N37</f>
        <v>100000</v>
      </c>
      <c r="G64" s="182">
        <f t="shared" si="0"/>
        <v>100</v>
      </c>
    </row>
    <row r="65" spans="2:7">
      <c r="B65" s="176">
        <v>59</v>
      </c>
      <c r="C65" s="179" t="s">
        <v>14</v>
      </c>
      <c r="D65" s="180" t="s">
        <v>57</v>
      </c>
      <c r="E65" s="150">
        <f>'20'!J38</f>
        <v>220000</v>
      </c>
      <c r="F65" s="150">
        <f>'20'!N38</f>
        <v>220000</v>
      </c>
      <c r="G65" s="182">
        <f t="shared" si="0"/>
        <v>100</v>
      </c>
    </row>
    <row r="66" spans="2:7">
      <c r="B66" s="176">
        <v>60</v>
      </c>
      <c r="C66" s="179" t="s">
        <v>15</v>
      </c>
      <c r="D66" s="180" t="s">
        <v>16</v>
      </c>
      <c r="E66" s="150">
        <v>0</v>
      </c>
      <c r="F66" s="150">
        <v>0</v>
      </c>
      <c r="G66" s="182" t="str">
        <f t="shared" si="0"/>
        <v/>
      </c>
    </row>
    <row r="67" spans="2:7">
      <c r="B67" s="176">
        <v>61</v>
      </c>
      <c r="C67" s="179" t="s">
        <v>17</v>
      </c>
      <c r="D67" s="180" t="s">
        <v>18</v>
      </c>
      <c r="E67" s="150">
        <v>0</v>
      </c>
      <c r="F67" s="150">
        <v>0</v>
      </c>
      <c r="G67" s="182" t="str">
        <f t="shared" si="0"/>
        <v/>
      </c>
    </row>
    <row r="68" spans="2:7">
      <c r="B68" s="534">
        <v>62</v>
      </c>
      <c r="C68" s="538" t="s">
        <v>19</v>
      </c>
      <c r="D68" s="539" t="s">
        <v>20</v>
      </c>
      <c r="E68" s="536">
        <f>SUM(E69:E76)</f>
        <v>12772395</v>
      </c>
      <c r="F68" s="536">
        <f>SUM(F69:F76)</f>
        <v>12847490</v>
      </c>
      <c r="G68" s="540">
        <f t="shared" si="0"/>
        <v>100.58794767935066</v>
      </c>
    </row>
    <row r="69" spans="2:7">
      <c r="B69" s="176">
        <v>63</v>
      </c>
      <c r="C69" s="179" t="s">
        <v>21</v>
      </c>
      <c r="D69" s="180" t="s">
        <v>22</v>
      </c>
      <c r="E69" s="150">
        <f>10000+'24'!J33+'25'!J33+'26'!J33+'27'!J33+'28'!J33+'29'!J33+'30'!J33</f>
        <v>7641092</v>
      </c>
      <c r="F69" s="150">
        <f>'24'!N33+'25'!N33+'26'!N33+'27'!N33+'28'!N33+'29'!N33+'30'!N33+10000</f>
        <v>7721980</v>
      </c>
      <c r="G69" s="182">
        <f t="shared" si="0"/>
        <v>101.05859214887087</v>
      </c>
    </row>
    <row r="70" spans="2:7">
      <c r="B70" s="176">
        <v>64</v>
      </c>
      <c r="C70" s="179" t="s">
        <v>23</v>
      </c>
      <c r="D70" s="180" t="s">
        <v>24</v>
      </c>
      <c r="E70" s="150">
        <f>5000+'21'!J33+'22'!J33+'23'!J33</f>
        <v>3685949</v>
      </c>
      <c r="F70" s="150">
        <f>'21'!N33+'22'!N33+'23'!N33+5000</f>
        <v>3685170</v>
      </c>
      <c r="G70" s="182">
        <f t="shared" si="0"/>
        <v>99.978865686964198</v>
      </c>
    </row>
    <row r="71" spans="2:7">
      <c r="B71" s="176">
        <v>65</v>
      </c>
      <c r="C71" s="179" t="s">
        <v>25</v>
      </c>
      <c r="D71" s="180" t="s">
        <v>26</v>
      </c>
      <c r="E71" s="150">
        <v>0</v>
      </c>
      <c r="F71" s="150">
        <v>0</v>
      </c>
      <c r="G71" s="182" t="str">
        <f t="shared" si="0"/>
        <v/>
      </c>
    </row>
    <row r="72" spans="2:7">
      <c r="B72" s="176">
        <v>66</v>
      </c>
      <c r="C72" s="179" t="s">
        <v>27</v>
      </c>
      <c r="D72" s="180" t="s">
        <v>28</v>
      </c>
      <c r="E72" s="150">
        <f>'20'!J31+'20'!J35</f>
        <v>275000</v>
      </c>
      <c r="F72" s="150">
        <f>'20'!N31+'20'!N35</f>
        <v>275000</v>
      </c>
      <c r="G72" s="182">
        <f t="shared" si="0"/>
        <v>100</v>
      </c>
    </row>
    <row r="73" spans="2:7">
      <c r="B73" s="176">
        <v>67</v>
      </c>
      <c r="C73" s="179" t="s">
        <v>29</v>
      </c>
      <c r="D73" s="180" t="s">
        <v>72</v>
      </c>
      <c r="E73" s="150">
        <v>0</v>
      </c>
      <c r="F73" s="150">
        <v>0</v>
      </c>
      <c r="G73" s="182" t="str">
        <f t="shared" si="0"/>
        <v/>
      </c>
    </row>
    <row r="74" spans="2:7">
      <c r="B74" s="176">
        <v>68</v>
      </c>
      <c r="C74" s="179" t="s">
        <v>30</v>
      </c>
      <c r="D74" s="180" t="s">
        <v>31</v>
      </c>
      <c r="E74" s="150">
        <v>0</v>
      </c>
      <c r="F74" s="150">
        <v>0</v>
      </c>
      <c r="G74" s="182" t="str">
        <f t="shared" ref="G74:G86" si="1">IF(E74=0,"",F74/E74*100)</f>
        <v/>
      </c>
    </row>
    <row r="75" spans="2:7">
      <c r="B75" s="176">
        <v>69</v>
      </c>
      <c r="C75" s="179" t="s">
        <v>32</v>
      </c>
      <c r="D75" s="180" t="s">
        <v>33</v>
      </c>
      <c r="E75" s="150">
        <v>0</v>
      </c>
      <c r="F75" s="150">
        <v>0</v>
      </c>
      <c r="G75" s="182" t="str">
        <f t="shared" si="1"/>
        <v/>
      </c>
    </row>
    <row r="76" spans="2:7">
      <c r="B76" s="176">
        <v>70</v>
      </c>
      <c r="C76" s="179" t="s">
        <v>34</v>
      </c>
      <c r="D76" s="180" t="s">
        <v>35</v>
      </c>
      <c r="E76" s="150">
        <f>'20'!J53-'20'!J31-'20'!J35-'20'!J36-'20'!J37-'20'!J38-'20'!J39-'20'!J40</f>
        <v>1170354</v>
      </c>
      <c r="F76" s="150">
        <f>'20'!N53-'20'!N31-'20'!N35-'20'!N36-'20'!N37-'20'!N38-'20'!N39-'20'!N40</f>
        <v>1165340</v>
      </c>
      <c r="G76" s="182">
        <f t="shared" si="1"/>
        <v>99.571582615174563</v>
      </c>
    </row>
    <row r="77" spans="2:7">
      <c r="B77" s="534">
        <v>71</v>
      </c>
      <c r="C77" s="538" t="s">
        <v>36</v>
      </c>
      <c r="D77" s="535" t="s">
        <v>37</v>
      </c>
      <c r="E77" s="536">
        <f>SUM(E78:E86)</f>
        <v>5918180</v>
      </c>
      <c r="F77" s="536">
        <f>SUM(F78:F86)</f>
        <v>6416710</v>
      </c>
      <c r="G77" s="540">
        <f t="shared" si="1"/>
        <v>108.42370458485549</v>
      </c>
    </row>
    <row r="78" spans="2:7">
      <c r="B78" s="176">
        <v>72</v>
      </c>
      <c r="C78" s="179" t="s">
        <v>38</v>
      </c>
      <c r="D78" s="180" t="s">
        <v>39</v>
      </c>
      <c r="E78" s="150">
        <v>0</v>
      </c>
      <c r="F78" s="150">
        <v>0</v>
      </c>
      <c r="G78" s="182" t="str">
        <f t="shared" si="1"/>
        <v/>
      </c>
    </row>
    <row r="79" spans="2:7">
      <c r="B79" s="176">
        <v>73</v>
      </c>
      <c r="C79" s="179" t="s">
        <v>40</v>
      </c>
      <c r="D79" s="180" t="s">
        <v>41</v>
      </c>
      <c r="E79" s="150">
        <v>0</v>
      </c>
      <c r="F79" s="150">
        <v>0</v>
      </c>
      <c r="G79" s="182" t="str">
        <f t="shared" si="1"/>
        <v/>
      </c>
    </row>
    <row r="80" spans="2:7">
      <c r="B80" s="176">
        <v>74</v>
      </c>
      <c r="C80" s="179" t="s">
        <v>42</v>
      </c>
      <c r="D80" s="180" t="s">
        <v>43</v>
      </c>
      <c r="E80" s="150">
        <v>0</v>
      </c>
      <c r="F80" s="150">
        <v>0</v>
      </c>
      <c r="G80" s="182" t="str">
        <f t="shared" si="1"/>
        <v/>
      </c>
    </row>
    <row r="81" spans="2:7">
      <c r="B81" s="176">
        <v>75</v>
      </c>
      <c r="C81" s="179" t="s">
        <v>44</v>
      </c>
      <c r="D81" s="180" t="s">
        <v>73</v>
      </c>
      <c r="E81" s="150">
        <v>0</v>
      </c>
      <c r="F81" s="150">
        <v>0</v>
      </c>
      <c r="G81" s="182" t="str">
        <f t="shared" si="1"/>
        <v/>
      </c>
    </row>
    <row r="82" spans="2:7">
      <c r="B82" s="176">
        <v>76</v>
      </c>
      <c r="C82" s="179" t="s">
        <v>45</v>
      </c>
      <c r="D82" s="180" t="s">
        <v>74</v>
      </c>
      <c r="E82" s="150">
        <v>0</v>
      </c>
      <c r="F82" s="150">
        <v>0</v>
      </c>
      <c r="G82" s="182" t="str">
        <f t="shared" si="1"/>
        <v/>
      </c>
    </row>
    <row r="83" spans="2:7">
      <c r="B83" s="176">
        <v>77</v>
      </c>
      <c r="C83" s="179" t="s">
        <v>46</v>
      </c>
      <c r="D83" s="180" t="s">
        <v>47</v>
      </c>
      <c r="E83" s="150">
        <v>0</v>
      </c>
      <c r="F83" s="150">
        <v>0</v>
      </c>
      <c r="G83" s="182" t="str">
        <f t="shared" si="1"/>
        <v/>
      </c>
    </row>
    <row r="84" spans="2:7">
      <c r="B84" s="176">
        <v>78</v>
      </c>
      <c r="C84" s="179" t="s">
        <v>48</v>
      </c>
      <c r="D84" s="180" t="s">
        <v>49</v>
      </c>
      <c r="E84" s="150">
        <v>0</v>
      </c>
      <c r="F84" s="150">
        <v>0</v>
      </c>
      <c r="G84" s="182" t="str">
        <f t="shared" si="1"/>
        <v/>
      </c>
    </row>
    <row r="85" spans="2:7">
      <c r="B85" s="176">
        <v>79</v>
      </c>
      <c r="C85" s="179" t="s">
        <v>50</v>
      </c>
      <c r="D85" s="180" t="s">
        <v>51</v>
      </c>
      <c r="E85" s="150">
        <v>0</v>
      </c>
      <c r="F85" s="150">
        <v>0</v>
      </c>
      <c r="G85" s="182" t="str">
        <f t="shared" si="1"/>
        <v/>
      </c>
    </row>
    <row r="86" spans="2:7">
      <c r="B86" s="176">
        <v>80</v>
      </c>
      <c r="C86" s="179" t="s">
        <v>52</v>
      </c>
      <c r="D86" s="180" t="s">
        <v>53</v>
      </c>
      <c r="E86" s="150">
        <f>'17'!J38+'31'!J36</f>
        <v>5918180</v>
      </c>
      <c r="F86" s="150">
        <f>'17'!N38+'31'!N36</f>
        <v>6416710</v>
      </c>
      <c r="G86" s="182">
        <f t="shared" si="1"/>
        <v>108.42370458485549</v>
      </c>
    </row>
    <row r="87" spans="2:7">
      <c r="B87" s="70"/>
      <c r="C87" s="70"/>
      <c r="D87" s="70"/>
      <c r="E87" s="70"/>
      <c r="F87" s="70"/>
      <c r="G87" s="70"/>
    </row>
    <row r="88" spans="2:7">
      <c r="B88" s="70"/>
      <c r="C88" s="70"/>
      <c r="D88" s="70"/>
      <c r="E88" s="70"/>
      <c r="F88" s="70"/>
      <c r="G88" s="70"/>
    </row>
    <row r="89" spans="2:7">
      <c r="B89" s="70"/>
      <c r="C89" s="70"/>
      <c r="D89" s="70"/>
      <c r="E89" s="70"/>
      <c r="F89" s="70"/>
      <c r="G89" s="70"/>
    </row>
    <row r="90" spans="2:7">
      <c r="B90" s="70"/>
      <c r="C90" s="70"/>
      <c r="D90" s="70"/>
      <c r="E90" s="70"/>
      <c r="F90" s="70"/>
      <c r="G90" s="70"/>
    </row>
    <row r="91" spans="2:7">
      <c r="B91" s="70"/>
      <c r="C91" s="70"/>
      <c r="D91" s="70"/>
      <c r="E91" s="70"/>
      <c r="F91" s="70"/>
      <c r="G91" s="70"/>
    </row>
    <row r="92" spans="2:7">
      <c r="B92" s="70"/>
      <c r="C92" s="70"/>
      <c r="D92" s="70"/>
      <c r="E92" s="70"/>
      <c r="F92" s="70"/>
      <c r="G92" s="70"/>
    </row>
    <row r="93" spans="2:7">
      <c r="B93" s="70"/>
      <c r="C93" s="70"/>
      <c r="D93" s="70"/>
      <c r="E93" s="70"/>
      <c r="F93" s="70"/>
      <c r="G93" s="70"/>
    </row>
    <row r="94" spans="2:7">
      <c r="B94" s="70"/>
      <c r="C94" s="70"/>
      <c r="D94" s="70"/>
      <c r="E94" s="70"/>
      <c r="F94" s="70"/>
      <c r="G94" s="70"/>
    </row>
    <row r="95" spans="2:7">
      <c r="B95" s="70"/>
      <c r="C95" s="70"/>
      <c r="D95" s="70"/>
      <c r="E95" s="70"/>
      <c r="F95" s="70"/>
      <c r="G95" s="70"/>
    </row>
    <row r="96" spans="2:7">
      <c r="B96" s="70"/>
      <c r="C96" s="70"/>
      <c r="D96" s="70"/>
      <c r="E96" s="70"/>
      <c r="F96" s="70"/>
      <c r="G96" s="70"/>
    </row>
    <row r="97" spans="2:7">
      <c r="B97" s="70"/>
      <c r="C97" s="70"/>
      <c r="D97" s="70"/>
      <c r="E97" s="70"/>
      <c r="F97" s="70"/>
      <c r="G97" s="70"/>
    </row>
    <row r="98" spans="2:7">
      <c r="B98" s="70"/>
      <c r="C98" s="70"/>
      <c r="D98" s="70"/>
      <c r="E98" s="70"/>
      <c r="F98" s="70"/>
      <c r="G98" s="70"/>
    </row>
    <row r="99" spans="2:7">
      <c r="B99" s="70"/>
      <c r="C99" s="70"/>
      <c r="D99" s="70"/>
      <c r="E99" s="70"/>
      <c r="F99" s="70"/>
      <c r="G99" s="70"/>
    </row>
    <row r="100" spans="2:7">
      <c r="B100" s="70"/>
      <c r="C100" s="70"/>
      <c r="D100" s="70"/>
      <c r="E100" s="70"/>
      <c r="F100" s="70"/>
      <c r="G100" s="70"/>
    </row>
    <row r="101" spans="2:7">
      <c r="B101" s="70"/>
      <c r="C101" s="70"/>
      <c r="D101" s="70"/>
      <c r="E101" s="70"/>
      <c r="F101" s="70"/>
      <c r="G101" s="70"/>
    </row>
    <row r="102" spans="2:7">
      <c r="B102" s="70"/>
      <c r="C102" s="70"/>
      <c r="D102" s="70"/>
      <c r="E102" s="70"/>
      <c r="F102" s="70"/>
      <c r="G102" s="70"/>
    </row>
    <row r="103" spans="2:7">
      <c r="B103" s="70"/>
      <c r="C103" s="70"/>
      <c r="D103" s="70"/>
      <c r="E103" s="70"/>
      <c r="F103" s="70"/>
      <c r="G103" s="70"/>
    </row>
    <row r="104" spans="2:7">
      <c r="B104" s="70"/>
      <c r="C104" s="70"/>
      <c r="D104" s="70"/>
      <c r="E104" s="70"/>
      <c r="F104" s="70"/>
      <c r="G104" s="70"/>
    </row>
    <row r="105" spans="2:7">
      <c r="B105" s="70"/>
      <c r="C105" s="70"/>
      <c r="D105" s="70"/>
      <c r="E105" s="70"/>
      <c r="F105" s="70"/>
      <c r="G105" s="70"/>
    </row>
    <row r="106" spans="2:7">
      <c r="B106" s="70"/>
      <c r="C106" s="70"/>
      <c r="D106" s="70"/>
      <c r="E106" s="70"/>
      <c r="F106" s="70"/>
      <c r="G106" s="70"/>
    </row>
    <row r="107" spans="2:7">
      <c r="B107" s="70"/>
      <c r="C107" s="70"/>
      <c r="D107" s="70"/>
      <c r="E107" s="70"/>
      <c r="F107" s="70"/>
      <c r="G107" s="70"/>
    </row>
    <row r="108" spans="2:7">
      <c r="B108" s="70"/>
      <c r="C108" s="70"/>
      <c r="D108" s="70"/>
      <c r="E108" s="70"/>
      <c r="F108" s="70"/>
      <c r="G108" s="70"/>
    </row>
    <row r="109" spans="2:7">
      <c r="B109" s="70"/>
      <c r="C109" s="70"/>
      <c r="D109" s="70"/>
      <c r="E109" s="70"/>
      <c r="F109" s="70"/>
      <c r="G109" s="70"/>
    </row>
    <row r="110" spans="2:7">
      <c r="B110" s="70"/>
      <c r="C110" s="70"/>
      <c r="D110" s="70"/>
      <c r="E110" s="70"/>
      <c r="F110" s="70"/>
      <c r="G110" s="70"/>
    </row>
    <row r="111" spans="2:7">
      <c r="B111" s="70"/>
      <c r="C111" s="70"/>
      <c r="D111" s="70"/>
      <c r="E111" s="70"/>
      <c r="F111" s="70"/>
      <c r="G111" s="70"/>
    </row>
    <row r="112" spans="2:7">
      <c r="B112" s="70"/>
      <c r="C112" s="70"/>
      <c r="D112" s="70"/>
      <c r="E112" s="70"/>
      <c r="F112" s="70"/>
      <c r="G112" s="70"/>
    </row>
    <row r="113" spans="2:7">
      <c r="B113" s="70"/>
      <c r="C113" s="70"/>
      <c r="D113" s="70"/>
      <c r="E113" s="70"/>
      <c r="F113" s="70"/>
      <c r="G113" s="70"/>
    </row>
    <row r="114" spans="2:7">
      <c r="B114" s="70"/>
      <c r="C114" s="70"/>
      <c r="D114" s="70"/>
      <c r="E114" s="70"/>
      <c r="F114" s="70"/>
      <c r="G114" s="70"/>
    </row>
    <row r="115" spans="2:7">
      <c r="B115" s="70"/>
      <c r="C115" s="70"/>
      <c r="D115" s="70"/>
      <c r="E115" s="70"/>
      <c r="F115" s="70"/>
      <c r="G115" s="70"/>
    </row>
    <row r="116" spans="2:7">
      <c r="B116" s="70"/>
      <c r="C116" s="70"/>
      <c r="D116" s="70"/>
      <c r="E116" s="70"/>
      <c r="F116" s="70"/>
      <c r="G116" s="70"/>
    </row>
    <row r="117" spans="2:7">
      <c r="B117" s="70"/>
      <c r="C117" s="70"/>
      <c r="D117" s="70"/>
      <c r="E117" s="70"/>
      <c r="F117" s="70"/>
      <c r="G117" s="70"/>
    </row>
    <row r="118" spans="2:7">
      <c r="B118" s="70"/>
      <c r="C118" s="70"/>
      <c r="D118" s="70"/>
      <c r="E118" s="70"/>
      <c r="F118" s="70"/>
      <c r="G118" s="70"/>
    </row>
    <row r="119" spans="2:7">
      <c r="B119" s="70"/>
      <c r="C119" s="70"/>
      <c r="D119" s="70"/>
      <c r="E119" s="70"/>
      <c r="F119" s="70"/>
      <c r="G119" s="70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7"/>
  <dimension ref="A2:F45"/>
  <sheetViews>
    <sheetView zoomScaleNormal="100" workbookViewId="0">
      <selection activeCell="J10" sqref="J10"/>
    </sheetView>
  </sheetViews>
  <sheetFormatPr defaultRowHeight="12.75"/>
  <cols>
    <col min="1" max="1" width="15.7109375" style="39" customWidth="1"/>
    <col min="2" max="2" width="82.28515625" customWidth="1"/>
    <col min="3" max="6" width="18.7109375" customWidth="1"/>
  </cols>
  <sheetData>
    <row r="2" spans="1:6" ht="15.75">
      <c r="A2" s="937" t="s">
        <v>694</v>
      </c>
      <c r="B2" s="938"/>
      <c r="C2" s="938"/>
      <c r="D2" s="938"/>
      <c r="E2" s="938"/>
      <c r="F2" s="938"/>
    </row>
    <row r="4" spans="1:6" s="45" customFormat="1">
      <c r="A4" s="943" t="s">
        <v>342</v>
      </c>
      <c r="B4" s="943" t="s">
        <v>350</v>
      </c>
      <c r="C4" s="943" t="s">
        <v>947</v>
      </c>
      <c r="D4" s="940" t="s">
        <v>357</v>
      </c>
      <c r="E4" s="941"/>
      <c r="F4" s="942"/>
    </row>
    <row r="5" spans="1:6" s="45" customFormat="1" ht="39" customHeight="1">
      <c r="A5" s="944"/>
      <c r="B5" s="944"/>
      <c r="C5" s="944"/>
      <c r="D5" s="161" t="s">
        <v>356</v>
      </c>
      <c r="E5" s="161" t="s">
        <v>469</v>
      </c>
      <c r="F5" s="161" t="s">
        <v>470</v>
      </c>
    </row>
    <row r="6" spans="1:6" s="45" customFormat="1">
      <c r="A6" s="161">
        <v>1</v>
      </c>
      <c r="B6" s="162">
        <v>2</v>
      </c>
      <c r="C6" s="161" t="s">
        <v>358</v>
      </c>
      <c r="D6" s="161">
        <v>4</v>
      </c>
      <c r="E6" s="161">
        <v>5</v>
      </c>
      <c r="F6" s="161">
        <v>6</v>
      </c>
    </row>
    <row r="7" spans="1:6" ht="15.95" customHeight="1">
      <c r="A7" s="155">
        <v>10010001</v>
      </c>
      <c r="B7" s="23" t="s">
        <v>207</v>
      </c>
      <c r="C7" s="153">
        <f>D7+E7+F7</f>
        <v>3000</v>
      </c>
      <c r="D7" s="153">
        <f>'1'!N28-E7-F7</f>
        <v>3000</v>
      </c>
      <c r="E7" s="153">
        <v>0</v>
      </c>
      <c r="F7" s="153">
        <v>0</v>
      </c>
    </row>
    <row r="8" spans="1:6" ht="15.95" customHeight="1">
      <c r="A8" s="155">
        <v>11010001</v>
      </c>
      <c r="B8" s="23" t="s">
        <v>208</v>
      </c>
      <c r="C8" s="153">
        <f t="shared" ref="C8:C43" si="0">D8+E8+F8</f>
        <v>80000</v>
      </c>
      <c r="D8" s="153">
        <f>'3'!N49-E8-F8</f>
        <v>80000</v>
      </c>
      <c r="E8" s="153">
        <v>0</v>
      </c>
      <c r="F8" s="153">
        <v>0</v>
      </c>
    </row>
    <row r="9" spans="1:6" ht="15.95" customHeight="1">
      <c r="A9" s="155">
        <v>11010002</v>
      </c>
      <c r="B9" s="546" t="s">
        <v>781</v>
      </c>
      <c r="C9" s="153">
        <f t="shared" si="0"/>
        <v>0</v>
      </c>
      <c r="D9" s="153">
        <f>'4 (S)'!N31-E9-F9</f>
        <v>0</v>
      </c>
      <c r="E9" s="153">
        <v>0</v>
      </c>
      <c r="F9" s="153">
        <v>0</v>
      </c>
    </row>
    <row r="10" spans="1:6" ht="15.95" customHeight="1">
      <c r="A10" s="155">
        <v>11010003</v>
      </c>
      <c r="B10" s="23" t="s">
        <v>733</v>
      </c>
      <c r="C10" s="153">
        <f t="shared" si="0"/>
        <v>0</v>
      </c>
      <c r="D10" s="153">
        <f>'5'!N28-E10-F10</f>
        <v>0</v>
      </c>
      <c r="E10" s="153">
        <v>0</v>
      </c>
      <c r="F10" s="153">
        <v>0</v>
      </c>
    </row>
    <row r="11" spans="1:6" ht="15.95" customHeight="1">
      <c r="A11" s="155">
        <v>11010004</v>
      </c>
      <c r="B11" s="23" t="s">
        <v>731</v>
      </c>
      <c r="C11" s="153">
        <f t="shared" si="0"/>
        <v>1500</v>
      </c>
      <c r="D11" s="153">
        <f>'6'!N28-E11-F11</f>
        <v>1500</v>
      </c>
      <c r="E11" s="153">
        <v>0</v>
      </c>
      <c r="F11" s="153">
        <v>0</v>
      </c>
    </row>
    <row r="12" spans="1:6" ht="15.95" customHeight="1">
      <c r="A12" s="155">
        <v>11010005</v>
      </c>
      <c r="B12" s="264" t="s">
        <v>525</v>
      </c>
      <c r="C12" s="153">
        <f t="shared" si="0"/>
        <v>4000</v>
      </c>
      <c r="D12" s="153">
        <f>'7'!N28-E12-F12</f>
        <v>4000</v>
      </c>
      <c r="E12" s="153">
        <v>0</v>
      </c>
      <c r="F12" s="153">
        <v>0</v>
      </c>
    </row>
    <row r="13" spans="1:6" s="656" customFormat="1" ht="15.95" customHeight="1">
      <c r="A13" s="155">
        <v>11010006</v>
      </c>
      <c r="B13" s="546" t="s">
        <v>755</v>
      </c>
      <c r="C13" s="153">
        <f t="shared" ref="C13" si="1">D13+E13+F13</f>
        <v>2000</v>
      </c>
      <c r="D13" s="153">
        <f>'4 (N)'!N31-E13-F13</f>
        <v>2000</v>
      </c>
      <c r="E13" s="153">
        <v>0</v>
      </c>
      <c r="F13" s="153">
        <v>0</v>
      </c>
    </row>
    <row r="14" spans="1:6" ht="15.95" customHeight="1">
      <c r="A14" s="155">
        <v>12010001</v>
      </c>
      <c r="B14" s="23" t="s">
        <v>729</v>
      </c>
      <c r="C14" s="153">
        <f t="shared" si="0"/>
        <v>40000</v>
      </c>
      <c r="D14" s="153">
        <f>'8'!N28-E14-F14</f>
        <v>40000</v>
      </c>
      <c r="E14" s="153">
        <v>0</v>
      </c>
      <c r="F14" s="153">
        <v>0</v>
      </c>
    </row>
    <row r="15" spans="1:6" ht="15.95" customHeight="1">
      <c r="A15" s="155">
        <v>13010001</v>
      </c>
      <c r="B15" s="546" t="s">
        <v>209</v>
      </c>
      <c r="C15" s="153">
        <f t="shared" si="0"/>
        <v>75000</v>
      </c>
      <c r="D15" s="153">
        <f>'9'!N28-E15-F15</f>
        <v>75000</v>
      </c>
      <c r="E15" s="153">
        <v>0</v>
      </c>
      <c r="F15" s="153">
        <v>0</v>
      </c>
    </row>
    <row r="16" spans="1:6" ht="15.95" customHeight="1">
      <c r="A16" s="155">
        <v>14010001</v>
      </c>
      <c r="B16" s="546" t="s">
        <v>735</v>
      </c>
      <c r="C16" s="153">
        <f t="shared" si="0"/>
        <v>5000</v>
      </c>
      <c r="D16" s="153">
        <f>'10'!N30-E16-F16</f>
        <v>5000</v>
      </c>
      <c r="E16" s="153">
        <v>0</v>
      </c>
      <c r="F16" s="153">
        <v>0</v>
      </c>
    </row>
    <row r="17" spans="1:6" ht="15.95" customHeight="1">
      <c r="A17" s="155">
        <v>14020003</v>
      </c>
      <c r="B17" s="546" t="s">
        <v>763</v>
      </c>
      <c r="C17" s="153">
        <f t="shared" si="0"/>
        <v>5000</v>
      </c>
      <c r="D17" s="153">
        <f>'11'!N29-E17-F17</f>
        <v>5000</v>
      </c>
      <c r="E17" s="153">
        <v>0</v>
      </c>
      <c r="F17" s="153">
        <v>0</v>
      </c>
    </row>
    <row r="18" spans="1:6" ht="15.95" customHeight="1">
      <c r="A18" s="155">
        <v>14050001</v>
      </c>
      <c r="B18" s="546" t="s">
        <v>759</v>
      </c>
      <c r="C18" s="153">
        <f t="shared" si="0"/>
        <v>0</v>
      </c>
      <c r="D18" s="153">
        <f>'12'!N28-E18-F18</f>
        <v>0</v>
      </c>
      <c r="E18" s="153">
        <v>0</v>
      </c>
      <c r="F18" s="153">
        <v>0</v>
      </c>
    </row>
    <row r="19" spans="1:6" ht="15.95" customHeight="1">
      <c r="A19" s="155">
        <v>14050002</v>
      </c>
      <c r="B19" s="546" t="s">
        <v>760</v>
      </c>
      <c r="C19" s="153">
        <f t="shared" si="0"/>
        <v>500</v>
      </c>
      <c r="D19" s="153">
        <f>'13'!N28-E19-F19</f>
        <v>500</v>
      </c>
      <c r="E19" s="153">
        <v>0</v>
      </c>
      <c r="F19" s="153">
        <v>0</v>
      </c>
    </row>
    <row r="20" spans="1:6" ht="15.95" customHeight="1">
      <c r="A20" s="155">
        <v>14060001</v>
      </c>
      <c r="B20" s="546" t="s">
        <v>761</v>
      </c>
      <c r="C20" s="153">
        <f t="shared" si="0"/>
        <v>500</v>
      </c>
      <c r="D20" s="153">
        <f>'14'!N28-E20-F20</f>
        <v>500</v>
      </c>
      <c r="E20" s="153">
        <v>0</v>
      </c>
      <c r="F20" s="153">
        <v>0</v>
      </c>
    </row>
    <row r="21" spans="1:6" ht="15.95" customHeight="1">
      <c r="A21" s="155">
        <v>15010001</v>
      </c>
      <c r="B21" s="546" t="s">
        <v>736</v>
      </c>
      <c r="C21" s="153">
        <f t="shared" si="0"/>
        <v>2000</v>
      </c>
      <c r="D21" s="153">
        <f>'15'!N36-E21-F21</f>
        <v>2000</v>
      </c>
      <c r="E21" s="153">
        <v>0</v>
      </c>
      <c r="F21" s="153">
        <v>0</v>
      </c>
    </row>
    <row r="22" spans="1:6" ht="15.95" customHeight="1">
      <c r="A22" s="155">
        <v>16010001</v>
      </c>
      <c r="B22" s="546" t="s">
        <v>737</v>
      </c>
      <c r="C22" s="153">
        <f t="shared" si="0"/>
        <v>1000</v>
      </c>
      <c r="D22" s="153">
        <f>'16'!N43-E22-F22</f>
        <v>1000</v>
      </c>
      <c r="E22" s="153">
        <v>0</v>
      </c>
      <c r="F22" s="153">
        <v>0</v>
      </c>
    </row>
    <row r="23" spans="1:6" ht="15.95" customHeight="1">
      <c r="A23" s="155">
        <v>17010001</v>
      </c>
      <c r="B23" s="546" t="s">
        <v>738</v>
      </c>
      <c r="C23" s="153">
        <f t="shared" si="0"/>
        <v>1500</v>
      </c>
      <c r="D23" s="153">
        <f>'17'!N33-E23-F23</f>
        <v>1500</v>
      </c>
      <c r="E23" s="153">
        <v>0</v>
      </c>
      <c r="F23" s="153">
        <v>0</v>
      </c>
    </row>
    <row r="24" spans="1:6" ht="15.95" customHeight="1">
      <c r="A24" s="155">
        <v>18010001</v>
      </c>
      <c r="B24" s="546" t="s">
        <v>739</v>
      </c>
      <c r="C24" s="153">
        <f t="shared" si="0"/>
        <v>1218960</v>
      </c>
      <c r="D24" s="153">
        <f>'18'!N33-E24-F24</f>
        <v>7000</v>
      </c>
      <c r="E24" s="153">
        <v>1211960</v>
      </c>
      <c r="F24" s="153">
        <v>0</v>
      </c>
    </row>
    <row r="25" spans="1:6" ht="15.95" customHeight="1">
      <c r="A25" s="155">
        <v>19010001</v>
      </c>
      <c r="B25" s="546" t="s">
        <v>740</v>
      </c>
      <c r="C25" s="153">
        <f t="shared" si="0"/>
        <v>35000</v>
      </c>
      <c r="D25" s="153">
        <f>'19'!N38-E25-F25</f>
        <v>5000</v>
      </c>
      <c r="E25" s="153">
        <v>30000</v>
      </c>
      <c r="F25" s="153">
        <v>0</v>
      </c>
    </row>
    <row r="26" spans="1:6" ht="15.95" customHeight="1">
      <c r="A26" s="155">
        <v>20010001</v>
      </c>
      <c r="B26" s="546" t="s">
        <v>741</v>
      </c>
      <c r="C26" s="153">
        <f t="shared" si="0"/>
        <v>503730</v>
      </c>
      <c r="D26" s="153">
        <f>'20'!N45-E26-F26</f>
        <v>152500</v>
      </c>
      <c r="E26" s="153">
        <v>0</v>
      </c>
      <c r="F26" s="153">
        <v>351230</v>
      </c>
    </row>
    <row r="27" spans="1:6" ht="15.95" customHeight="1">
      <c r="A27" s="155">
        <v>20020002</v>
      </c>
      <c r="B27" s="546" t="s">
        <v>795</v>
      </c>
      <c r="C27" s="153">
        <f t="shared" si="0"/>
        <v>5000</v>
      </c>
      <c r="D27" s="153">
        <f>'21'!N28-E27-F27</f>
        <v>5000</v>
      </c>
      <c r="E27" s="153">
        <v>0</v>
      </c>
      <c r="F27" s="153">
        <v>0</v>
      </c>
    </row>
    <row r="28" spans="1:6" ht="15.95" customHeight="1">
      <c r="A28" s="155">
        <v>20020003</v>
      </c>
      <c r="B28" s="546" t="s">
        <v>796</v>
      </c>
      <c r="C28" s="153">
        <f t="shared" si="0"/>
        <v>21750</v>
      </c>
      <c r="D28" s="153">
        <f>'22'!N28-E28-F28</f>
        <v>9000</v>
      </c>
      <c r="E28" s="153">
        <v>0</v>
      </c>
      <c r="F28" s="153">
        <v>12750</v>
      </c>
    </row>
    <row r="29" spans="1:6" ht="15.95" customHeight="1">
      <c r="A29" s="155">
        <v>20020004</v>
      </c>
      <c r="B29" s="546" t="s">
        <v>797</v>
      </c>
      <c r="C29" s="153">
        <f t="shared" si="0"/>
        <v>4960</v>
      </c>
      <c r="D29" s="153">
        <f>'23'!N28-E29-F29</f>
        <v>4960</v>
      </c>
      <c r="E29" s="153">
        <v>0</v>
      </c>
      <c r="F29" s="296">
        <v>0</v>
      </c>
    </row>
    <row r="30" spans="1:6" ht="15.95" customHeight="1">
      <c r="A30" s="155">
        <v>20030001</v>
      </c>
      <c r="B30" s="546" t="s">
        <v>769</v>
      </c>
      <c r="C30" s="153">
        <f t="shared" si="0"/>
        <v>5000</v>
      </c>
      <c r="D30" s="153">
        <f>'24'!N28-E30-F30</f>
        <v>5000</v>
      </c>
      <c r="E30" s="153">
        <v>0</v>
      </c>
      <c r="F30" s="153">
        <v>0</v>
      </c>
    </row>
    <row r="31" spans="1:6" ht="15.95" customHeight="1">
      <c r="A31" s="155">
        <v>20030002</v>
      </c>
      <c r="B31" s="546" t="s">
        <v>798</v>
      </c>
      <c r="C31" s="153">
        <f t="shared" si="0"/>
        <v>7000</v>
      </c>
      <c r="D31" s="153">
        <f>'25'!N28-E31-F31</f>
        <v>7000</v>
      </c>
      <c r="E31" s="153">
        <v>0</v>
      </c>
      <c r="F31" s="153">
        <v>0</v>
      </c>
    </row>
    <row r="32" spans="1:6" ht="15.95" customHeight="1">
      <c r="A32" s="155">
        <v>20030003</v>
      </c>
      <c r="B32" s="546" t="s">
        <v>799</v>
      </c>
      <c r="C32" s="153">
        <f t="shared" si="0"/>
        <v>4000</v>
      </c>
      <c r="D32" s="153">
        <f>'26'!N28-E32-F32</f>
        <v>4000</v>
      </c>
      <c r="E32" s="153">
        <v>0</v>
      </c>
      <c r="F32" s="153">
        <v>0</v>
      </c>
    </row>
    <row r="33" spans="1:6" ht="15.95" customHeight="1">
      <c r="A33" s="155">
        <v>20030004</v>
      </c>
      <c r="B33" s="546" t="s">
        <v>800</v>
      </c>
      <c r="C33" s="153">
        <f t="shared" si="0"/>
        <v>14170</v>
      </c>
      <c r="D33" s="153">
        <f>'27'!N28-E33-F33</f>
        <v>14170</v>
      </c>
      <c r="E33" s="153">
        <v>0</v>
      </c>
      <c r="F33" s="153">
        <v>0</v>
      </c>
    </row>
    <row r="34" spans="1:6" ht="15.95" customHeight="1">
      <c r="A34" s="155">
        <v>20030005</v>
      </c>
      <c r="B34" s="546" t="s">
        <v>805</v>
      </c>
      <c r="C34" s="153">
        <f t="shared" si="0"/>
        <v>22540</v>
      </c>
      <c r="D34" s="153">
        <f>'28'!N28-E34-F34</f>
        <v>18000</v>
      </c>
      <c r="E34" s="153">
        <v>0</v>
      </c>
      <c r="F34" s="153">
        <v>4540</v>
      </c>
    </row>
    <row r="35" spans="1:6" ht="15.95" customHeight="1">
      <c r="A35" s="155">
        <v>20030006</v>
      </c>
      <c r="B35" s="546" t="s">
        <v>802</v>
      </c>
      <c r="C35" s="153">
        <f t="shared" si="0"/>
        <v>2000</v>
      </c>
      <c r="D35" s="153">
        <f>'29'!N28-E35-F35</f>
        <v>2000</v>
      </c>
      <c r="E35" s="153">
        <v>0</v>
      </c>
      <c r="F35" s="153">
        <v>0</v>
      </c>
    </row>
    <row r="36" spans="1:6" ht="15.95" customHeight="1">
      <c r="A36" s="155">
        <v>20030007</v>
      </c>
      <c r="B36" s="546" t="s">
        <v>803</v>
      </c>
      <c r="C36" s="153">
        <f t="shared" si="0"/>
        <v>3000</v>
      </c>
      <c r="D36" s="153">
        <f>'30'!N28-E36-F36</f>
        <v>3000</v>
      </c>
      <c r="E36" s="153">
        <v>0</v>
      </c>
      <c r="F36" s="153">
        <v>0</v>
      </c>
    </row>
    <row r="37" spans="1:6" ht="15.95" customHeight="1">
      <c r="A37" s="155">
        <v>21010001</v>
      </c>
      <c r="B37" s="546" t="s">
        <v>742</v>
      </c>
      <c r="C37" s="153">
        <f t="shared" si="0"/>
        <v>3000</v>
      </c>
      <c r="D37" s="153">
        <f>'31'!N31-E37-F37</f>
        <v>3000</v>
      </c>
      <c r="E37" s="153">
        <v>0</v>
      </c>
      <c r="F37" s="153">
        <v>0</v>
      </c>
    </row>
    <row r="38" spans="1:6" ht="15.95" customHeight="1">
      <c r="A38" s="155">
        <v>22010001</v>
      </c>
      <c r="B38" s="546" t="s">
        <v>756</v>
      </c>
      <c r="C38" s="153">
        <f t="shared" si="0"/>
        <v>2500</v>
      </c>
      <c r="D38" s="153">
        <f>'32'!N28-E38-F38</f>
        <v>2500</v>
      </c>
      <c r="E38" s="153">
        <v>0</v>
      </c>
      <c r="F38" s="153">
        <v>0</v>
      </c>
    </row>
    <row r="39" spans="1:6" ht="15.95" customHeight="1">
      <c r="A39" s="155">
        <v>23010001</v>
      </c>
      <c r="B39" s="546" t="s">
        <v>754</v>
      </c>
      <c r="C39" s="153">
        <f t="shared" si="0"/>
        <v>5000</v>
      </c>
      <c r="D39" s="153">
        <f>'33'!N32-E39-F39</f>
        <v>0</v>
      </c>
      <c r="E39" s="153">
        <v>5000</v>
      </c>
      <c r="F39" s="153">
        <v>0</v>
      </c>
    </row>
    <row r="40" spans="1:6" ht="15.95" customHeight="1">
      <c r="A40" s="155">
        <v>24010001</v>
      </c>
      <c r="B40" s="23" t="s">
        <v>211</v>
      </c>
      <c r="C40" s="153">
        <f t="shared" si="0"/>
        <v>4900</v>
      </c>
      <c r="D40" s="153">
        <f>'34'!N28-E40-F40</f>
        <v>4900</v>
      </c>
      <c r="E40" s="153">
        <v>0</v>
      </c>
      <c r="F40" s="153">
        <v>0</v>
      </c>
    </row>
    <row r="41" spans="1:6" ht="15.95" customHeight="1">
      <c r="A41" s="155">
        <v>26010001</v>
      </c>
      <c r="B41" s="23" t="s">
        <v>212</v>
      </c>
      <c r="C41" s="153">
        <f t="shared" si="0"/>
        <v>500</v>
      </c>
      <c r="D41" s="153">
        <f>'35'!N28-E41-F41</f>
        <v>500</v>
      </c>
      <c r="E41" s="153">
        <v>0</v>
      </c>
      <c r="F41" s="153">
        <v>0</v>
      </c>
    </row>
    <row r="42" spans="1:6" ht="15.95" customHeight="1">
      <c r="A42" s="155">
        <v>27010001</v>
      </c>
      <c r="B42" s="546" t="s">
        <v>762</v>
      </c>
      <c r="C42" s="153">
        <f t="shared" si="0"/>
        <v>1000</v>
      </c>
      <c r="D42" s="153">
        <f>'36'!N28-E42-F42</f>
        <v>1000</v>
      </c>
      <c r="E42" s="153">
        <v>0</v>
      </c>
      <c r="F42" s="153">
        <v>0</v>
      </c>
    </row>
    <row r="43" spans="1:6" ht="15.95" customHeight="1">
      <c r="A43" s="155">
        <v>28010001</v>
      </c>
      <c r="B43" s="23" t="s">
        <v>213</v>
      </c>
      <c r="C43" s="153">
        <f t="shared" si="0"/>
        <v>2000</v>
      </c>
      <c r="D43" s="153">
        <f>'37'!N28-E43-F43</f>
        <v>2000</v>
      </c>
      <c r="E43" s="153">
        <v>0</v>
      </c>
      <c r="F43" s="153">
        <v>0</v>
      </c>
    </row>
    <row r="44" spans="1:6" s="45" customFormat="1" ht="15.95" customHeight="1">
      <c r="A44" s="88"/>
      <c r="B44" s="159" t="s">
        <v>354</v>
      </c>
      <c r="C44" s="160">
        <f>SUM(C7:C43)</f>
        <v>2087010</v>
      </c>
      <c r="D44" s="160">
        <f>SUM(D7:D43)</f>
        <v>471530</v>
      </c>
      <c r="E44" s="160">
        <f>SUM(E7:E43)</f>
        <v>1246960</v>
      </c>
      <c r="F44" s="160">
        <f>SUM(F7:F43)</f>
        <v>368520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J15" sqref="J15"/>
    </sheetView>
  </sheetViews>
  <sheetFormatPr defaultRowHeight="15" customHeight="1"/>
  <cols>
    <col min="1" max="1" width="9.140625" style="684"/>
    <col min="2" max="2" width="46.7109375" style="684" customWidth="1"/>
    <col min="3" max="3" width="18" style="684" customWidth="1"/>
    <col min="4" max="4" width="12.42578125" style="684" customWidth="1"/>
    <col min="5" max="6" width="9.140625" style="684"/>
    <col min="7" max="8" width="15.7109375" style="684" customWidth="1"/>
    <col min="9" max="9" width="8.7109375" style="684" customWidth="1"/>
    <col min="10" max="257" width="9.140625" style="684"/>
    <col min="258" max="258" width="46.7109375" style="684" customWidth="1"/>
    <col min="259" max="259" width="18" style="684" customWidth="1"/>
    <col min="260" max="260" width="12.42578125" style="684" customWidth="1"/>
    <col min="261" max="262" width="9.140625" style="684"/>
    <col min="263" max="264" width="15.7109375" style="684" customWidth="1"/>
    <col min="265" max="265" width="8.7109375" style="684" customWidth="1"/>
    <col min="266" max="513" width="9.140625" style="684"/>
    <col min="514" max="514" width="46.7109375" style="684" customWidth="1"/>
    <col min="515" max="515" width="18" style="684" customWidth="1"/>
    <col min="516" max="516" width="12.42578125" style="684" customWidth="1"/>
    <col min="517" max="518" width="9.140625" style="684"/>
    <col min="519" max="520" width="15.7109375" style="684" customWidth="1"/>
    <col min="521" max="521" width="8.7109375" style="684" customWidth="1"/>
    <col min="522" max="769" width="9.140625" style="684"/>
    <col min="770" max="770" width="46.7109375" style="684" customWidth="1"/>
    <col min="771" max="771" width="18" style="684" customWidth="1"/>
    <col min="772" max="772" width="12.42578125" style="684" customWidth="1"/>
    <col min="773" max="774" width="9.140625" style="684"/>
    <col min="775" max="776" width="15.7109375" style="684" customWidth="1"/>
    <col min="777" max="777" width="8.7109375" style="684" customWidth="1"/>
    <col min="778" max="1025" width="9.140625" style="684"/>
    <col min="1026" max="1026" width="46.7109375" style="684" customWidth="1"/>
    <col min="1027" max="1027" width="18" style="684" customWidth="1"/>
    <col min="1028" max="1028" width="12.42578125" style="684" customWidth="1"/>
    <col min="1029" max="1030" width="9.140625" style="684"/>
    <col min="1031" max="1032" width="15.7109375" style="684" customWidth="1"/>
    <col min="1033" max="1033" width="8.7109375" style="684" customWidth="1"/>
    <col min="1034" max="1281" width="9.140625" style="684"/>
    <col min="1282" max="1282" width="46.7109375" style="684" customWidth="1"/>
    <col min="1283" max="1283" width="18" style="684" customWidth="1"/>
    <col min="1284" max="1284" width="12.42578125" style="684" customWidth="1"/>
    <col min="1285" max="1286" width="9.140625" style="684"/>
    <col min="1287" max="1288" width="15.7109375" style="684" customWidth="1"/>
    <col min="1289" max="1289" width="8.7109375" style="684" customWidth="1"/>
    <col min="1290" max="1537" width="9.140625" style="684"/>
    <col min="1538" max="1538" width="46.7109375" style="684" customWidth="1"/>
    <col min="1539" max="1539" width="18" style="684" customWidth="1"/>
    <col min="1540" max="1540" width="12.42578125" style="684" customWidth="1"/>
    <col min="1541" max="1542" width="9.140625" style="684"/>
    <col min="1543" max="1544" width="15.7109375" style="684" customWidth="1"/>
    <col min="1545" max="1545" width="8.7109375" style="684" customWidth="1"/>
    <col min="1546" max="1793" width="9.140625" style="684"/>
    <col min="1794" max="1794" width="46.7109375" style="684" customWidth="1"/>
    <col min="1795" max="1795" width="18" style="684" customWidth="1"/>
    <col min="1796" max="1796" width="12.42578125" style="684" customWidth="1"/>
    <col min="1797" max="1798" width="9.140625" style="684"/>
    <col min="1799" max="1800" width="15.7109375" style="684" customWidth="1"/>
    <col min="1801" max="1801" width="8.7109375" style="684" customWidth="1"/>
    <col min="1802" max="2049" width="9.140625" style="684"/>
    <col min="2050" max="2050" width="46.7109375" style="684" customWidth="1"/>
    <col min="2051" max="2051" width="18" style="684" customWidth="1"/>
    <col min="2052" max="2052" width="12.42578125" style="684" customWidth="1"/>
    <col min="2053" max="2054" width="9.140625" style="684"/>
    <col min="2055" max="2056" width="15.7109375" style="684" customWidth="1"/>
    <col min="2057" max="2057" width="8.7109375" style="684" customWidth="1"/>
    <col min="2058" max="2305" width="9.140625" style="684"/>
    <col min="2306" max="2306" width="46.7109375" style="684" customWidth="1"/>
    <col min="2307" max="2307" width="18" style="684" customWidth="1"/>
    <col min="2308" max="2308" width="12.42578125" style="684" customWidth="1"/>
    <col min="2309" max="2310" width="9.140625" style="684"/>
    <col min="2311" max="2312" width="15.7109375" style="684" customWidth="1"/>
    <col min="2313" max="2313" width="8.7109375" style="684" customWidth="1"/>
    <col min="2314" max="2561" width="9.140625" style="684"/>
    <col min="2562" max="2562" width="46.7109375" style="684" customWidth="1"/>
    <col min="2563" max="2563" width="18" style="684" customWidth="1"/>
    <col min="2564" max="2564" width="12.42578125" style="684" customWidth="1"/>
    <col min="2565" max="2566" width="9.140625" style="684"/>
    <col min="2567" max="2568" width="15.7109375" style="684" customWidth="1"/>
    <col min="2569" max="2569" width="8.7109375" style="684" customWidth="1"/>
    <col min="2570" max="2817" width="9.140625" style="684"/>
    <col min="2818" max="2818" width="46.7109375" style="684" customWidth="1"/>
    <col min="2819" max="2819" width="18" style="684" customWidth="1"/>
    <col min="2820" max="2820" width="12.42578125" style="684" customWidth="1"/>
    <col min="2821" max="2822" width="9.140625" style="684"/>
    <col min="2823" max="2824" width="15.7109375" style="684" customWidth="1"/>
    <col min="2825" max="2825" width="8.7109375" style="684" customWidth="1"/>
    <col min="2826" max="3073" width="9.140625" style="684"/>
    <col min="3074" max="3074" width="46.7109375" style="684" customWidth="1"/>
    <col min="3075" max="3075" width="18" style="684" customWidth="1"/>
    <col min="3076" max="3076" width="12.42578125" style="684" customWidth="1"/>
    <col min="3077" max="3078" width="9.140625" style="684"/>
    <col min="3079" max="3080" width="15.7109375" style="684" customWidth="1"/>
    <col min="3081" max="3081" width="8.7109375" style="684" customWidth="1"/>
    <col min="3082" max="3329" width="9.140625" style="684"/>
    <col min="3330" max="3330" width="46.7109375" style="684" customWidth="1"/>
    <col min="3331" max="3331" width="18" style="684" customWidth="1"/>
    <col min="3332" max="3332" width="12.42578125" style="684" customWidth="1"/>
    <col min="3333" max="3334" width="9.140625" style="684"/>
    <col min="3335" max="3336" width="15.7109375" style="684" customWidth="1"/>
    <col min="3337" max="3337" width="8.7109375" style="684" customWidth="1"/>
    <col min="3338" max="3585" width="9.140625" style="684"/>
    <col min="3586" max="3586" width="46.7109375" style="684" customWidth="1"/>
    <col min="3587" max="3587" width="18" style="684" customWidth="1"/>
    <col min="3588" max="3588" width="12.42578125" style="684" customWidth="1"/>
    <col min="3589" max="3590" width="9.140625" style="684"/>
    <col min="3591" max="3592" width="15.7109375" style="684" customWidth="1"/>
    <col min="3593" max="3593" width="8.7109375" style="684" customWidth="1"/>
    <col min="3594" max="3841" width="9.140625" style="684"/>
    <col min="3842" max="3842" width="46.7109375" style="684" customWidth="1"/>
    <col min="3843" max="3843" width="18" style="684" customWidth="1"/>
    <col min="3844" max="3844" width="12.42578125" style="684" customWidth="1"/>
    <col min="3845" max="3846" width="9.140625" style="684"/>
    <col min="3847" max="3848" width="15.7109375" style="684" customWidth="1"/>
    <col min="3849" max="3849" width="8.7109375" style="684" customWidth="1"/>
    <col min="3850" max="4097" width="9.140625" style="684"/>
    <col min="4098" max="4098" width="46.7109375" style="684" customWidth="1"/>
    <col min="4099" max="4099" width="18" style="684" customWidth="1"/>
    <col min="4100" max="4100" width="12.42578125" style="684" customWidth="1"/>
    <col min="4101" max="4102" width="9.140625" style="684"/>
    <col min="4103" max="4104" width="15.7109375" style="684" customWidth="1"/>
    <col min="4105" max="4105" width="8.7109375" style="684" customWidth="1"/>
    <col min="4106" max="4353" width="9.140625" style="684"/>
    <col min="4354" max="4354" width="46.7109375" style="684" customWidth="1"/>
    <col min="4355" max="4355" width="18" style="684" customWidth="1"/>
    <col min="4356" max="4356" width="12.42578125" style="684" customWidth="1"/>
    <col min="4357" max="4358" width="9.140625" style="684"/>
    <col min="4359" max="4360" width="15.7109375" style="684" customWidth="1"/>
    <col min="4361" max="4361" width="8.7109375" style="684" customWidth="1"/>
    <col min="4362" max="4609" width="9.140625" style="684"/>
    <col min="4610" max="4610" width="46.7109375" style="684" customWidth="1"/>
    <col min="4611" max="4611" width="18" style="684" customWidth="1"/>
    <col min="4612" max="4612" width="12.42578125" style="684" customWidth="1"/>
    <col min="4613" max="4614" width="9.140625" style="684"/>
    <col min="4615" max="4616" width="15.7109375" style="684" customWidth="1"/>
    <col min="4617" max="4617" width="8.7109375" style="684" customWidth="1"/>
    <col min="4618" max="4865" width="9.140625" style="684"/>
    <col min="4866" max="4866" width="46.7109375" style="684" customWidth="1"/>
    <col min="4867" max="4867" width="18" style="684" customWidth="1"/>
    <col min="4868" max="4868" width="12.42578125" style="684" customWidth="1"/>
    <col min="4869" max="4870" width="9.140625" style="684"/>
    <col min="4871" max="4872" width="15.7109375" style="684" customWidth="1"/>
    <col min="4873" max="4873" width="8.7109375" style="684" customWidth="1"/>
    <col min="4874" max="5121" width="9.140625" style="684"/>
    <col min="5122" max="5122" width="46.7109375" style="684" customWidth="1"/>
    <col min="5123" max="5123" width="18" style="684" customWidth="1"/>
    <col min="5124" max="5124" width="12.42578125" style="684" customWidth="1"/>
    <col min="5125" max="5126" width="9.140625" style="684"/>
    <col min="5127" max="5128" width="15.7109375" style="684" customWidth="1"/>
    <col min="5129" max="5129" width="8.7109375" style="684" customWidth="1"/>
    <col min="5130" max="5377" width="9.140625" style="684"/>
    <col min="5378" max="5378" width="46.7109375" style="684" customWidth="1"/>
    <col min="5379" max="5379" width="18" style="684" customWidth="1"/>
    <col min="5380" max="5380" width="12.42578125" style="684" customWidth="1"/>
    <col min="5381" max="5382" width="9.140625" style="684"/>
    <col min="5383" max="5384" width="15.7109375" style="684" customWidth="1"/>
    <col min="5385" max="5385" width="8.7109375" style="684" customWidth="1"/>
    <col min="5386" max="5633" width="9.140625" style="684"/>
    <col min="5634" max="5634" width="46.7109375" style="684" customWidth="1"/>
    <col min="5635" max="5635" width="18" style="684" customWidth="1"/>
    <col min="5636" max="5636" width="12.42578125" style="684" customWidth="1"/>
    <col min="5637" max="5638" width="9.140625" style="684"/>
    <col min="5639" max="5640" width="15.7109375" style="684" customWidth="1"/>
    <col min="5641" max="5641" width="8.7109375" style="684" customWidth="1"/>
    <col min="5642" max="5889" width="9.140625" style="684"/>
    <col min="5890" max="5890" width="46.7109375" style="684" customWidth="1"/>
    <col min="5891" max="5891" width="18" style="684" customWidth="1"/>
    <col min="5892" max="5892" width="12.42578125" style="684" customWidth="1"/>
    <col min="5893" max="5894" width="9.140625" style="684"/>
    <col min="5895" max="5896" width="15.7109375" style="684" customWidth="1"/>
    <col min="5897" max="5897" width="8.7109375" style="684" customWidth="1"/>
    <col min="5898" max="6145" width="9.140625" style="684"/>
    <col min="6146" max="6146" width="46.7109375" style="684" customWidth="1"/>
    <col min="6147" max="6147" width="18" style="684" customWidth="1"/>
    <col min="6148" max="6148" width="12.42578125" style="684" customWidth="1"/>
    <col min="6149" max="6150" width="9.140625" style="684"/>
    <col min="6151" max="6152" width="15.7109375" style="684" customWidth="1"/>
    <col min="6153" max="6153" width="8.7109375" style="684" customWidth="1"/>
    <col min="6154" max="6401" width="9.140625" style="684"/>
    <col min="6402" max="6402" width="46.7109375" style="684" customWidth="1"/>
    <col min="6403" max="6403" width="18" style="684" customWidth="1"/>
    <col min="6404" max="6404" width="12.42578125" style="684" customWidth="1"/>
    <col min="6405" max="6406" width="9.140625" style="684"/>
    <col min="6407" max="6408" width="15.7109375" style="684" customWidth="1"/>
    <col min="6409" max="6409" width="8.7109375" style="684" customWidth="1"/>
    <col min="6410" max="6657" width="9.140625" style="684"/>
    <col min="6658" max="6658" width="46.7109375" style="684" customWidth="1"/>
    <col min="6659" max="6659" width="18" style="684" customWidth="1"/>
    <col min="6660" max="6660" width="12.42578125" style="684" customWidth="1"/>
    <col min="6661" max="6662" width="9.140625" style="684"/>
    <col min="6663" max="6664" width="15.7109375" style="684" customWidth="1"/>
    <col min="6665" max="6665" width="8.7109375" style="684" customWidth="1"/>
    <col min="6666" max="6913" width="9.140625" style="684"/>
    <col min="6914" max="6914" width="46.7109375" style="684" customWidth="1"/>
    <col min="6915" max="6915" width="18" style="684" customWidth="1"/>
    <col min="6916" max="6916" width="12.42578125" style="684" customWidth="1"/>
    <col min="6917" max="6918" width="9.140625" style="684"/>
    <col min="6919" max="6920" width="15.7109375" style="684" customWidth="1"/>
    <col min="6921" max="6921" width="8.7109375" style="684" customWidth="1"/>
    <col min="6922" max="7169" width="9.140625" style="684"/>
    <col min="7170" max="7170" width="46.7109375" style="684" customWidth="1"/>
    <col min="7171" max="7171" width="18" style="684" customWidth="1"/>
    <col min="7172" max="7172" width="12.42578125" style="684" customWidth="1"/>
    <col min="7173" max="7174" width="9.140625" style="684"/>
    <col min="7175" max="7176" width="15.7109375" style="684" customWidth="1"/>
    <col min="7177" max="7177" width="8.7109375" style="684" customWidth="1"/>
    <col min="7178" max="7425" width="9.140625" style="684"/>
    <col min="7426" max="7426" width="46.7109375" style="684" customWidth="1"/>
    <col min="7427" max="7427" width="18" style="684" customWidth="1"/>
    <col min="7428" max="7428" width="12.42578125" style="684" customWidth="1"/>
    <col min="7429" max="7430" width="9.140625" style="684"/>
    <col min="7431" max="7432" width="15.7109375" style="684" customWidth="1"/>
    <col min="7433" max="7433" width="8.7109375" style="684" customWidth="1"/>
    <col min="7434" max="7681" width="9.140625" style="684"/>
    <col min="7682" max="7682" width="46.7109375" style="684" customWidth="1"/>
    <col min="7683" max="7683" width="18" style="684" customWidth="1"/>
    <col min="7684" max="7684" width="12.42578125" style="684" customWidth="1"/>
    <col min="7685" max="7686" width="9.140625" style="684"/>
    <col min="7687" max="7688" width="15.7109375" style="684" customWidth="1"/>
    <col min="7689" max="7689" width="8.7109375" style="684" customWidth="1"/>
    <col min="7690" max="7937" width="9.140625" style="684"/>
    <col min="7938" max="7938" width="46.7109375" style="684" customWidth="1"/>
    <col min="7939" max="7939" width="18" style="684" customWidth="1"/>
    <col min="7940" max="7940" width="12.42578125" style="684" customWidth="1"/>
    <col min="7941" max="7942" width="9.140625" style="684"/>
    <col min="7943" max="7944" width="15.7109375" style="684" customWidth="1"/>
    <col min="7945" max="7945" width="8.7109375" style="684" customWidth="1"/>
    <col min="7946" max="8193" width="9.140625" style="684"/>
    <col min="8194" max="8194" width="46.7109375" style="684" customWidth="1"/>
    <col min="8195" max="8195" width="18" style="684" customWidth="1"/>
    <col min="8196" max="8196" width="12.42578125" style="684" customWidth="1"/>
    <col min="8197" max="8198" width="9.140625" style="684"/>
    <col min="8199" max="8200" width="15.7109375" style="684" customWidth="1"/>
    <col min="8201" max="8201" width="8.7109375" style="684" customWidth="1"/>
    <col min="8202" max="8449" width="9.140625" style="684"/>
    <col min="8450" max="8450" width="46.7109375" style="684" customWidth="1"/>
    <col min="8451" max="8451" width="18" style="684" customWidth="1"/>
    <col min="8452" max="8452" width="12.42578125" style="684" customWidth="1"/>
    <col min="8453" max="8454" width="9.140625" style="684"/>
    <col min="8455" max="8456" width="15.7109375" style="684" customWidth="1"/>
    <col min="8457" max="8457" width="8.7109375" style="684" customWidth="1"/>
    <col min="8458" max="8705" width="9.140625" style="684"/>
    <col min="8706" max="8706" width="46.7109375" style="684" customWidth="1"/>
    <col min="8707" max="8707" width="18" style="684" customWidth="1"/>
    <col min="8708" max="8708" width="12.42578125" style="684" customWidth="1"/>
    <col min="8709" max="8710" width="9.140625" style="684"/>
    <col min="8711" max="8712" width="15.7109375" style="684" customWidth="1"/>
    <col min="8713" max="8713" width="8.7109375" style="684" customWidth="1"/>
    <col min="8714" max="8961" width="9.140625" style="684"/>
    <col min="8962" max="8962" width="46.7109375" style="684" customWidth="1"/>
    <col min="8963" max="8963" width="18" style="684" customWidth="1"/>
    <col min="8964" max="8964" width="12.42578125" style="684" customWidth="1"/>
    <col min="8965" max="8966" width="9.140625" style="684"/>
    <col min="8967" max="8968" width="15.7109375" style="684" customWidth="1"/>
    <col min="8969" max="8969" width="8.7109375" style="684" customWidth="1"/>
    <col min="8970" max="9217" width="9.140625" style="684"/>
    <col min="9218" max="9218" width="46.7109375" style="684" customWidth="1"/>
    <col min="9219" max="9219" width="18" style="684" customWidth="1"/>
    <col min="9220" max="9220" width="12.42578125" style="684" customWidth="1"/>
    <col min="9221" max="9222" width="9.140625" style="684"/>
    <col min="9223" max="9224" width="15.7109375" style="684" customWidth="1"/>
    <col min="9225" max="9225" width="8.7109375" style="684" customWidth="1"/>
    <col min="9226" max="9473" width="9.140625" style="684"/>
    <col min="9474" max="9474" width="46.7109375" style="684" customWidth="1"/>
    <col min="9475" max="9475" width="18" style="684" customWidth="1"/>
    <col min="9476" max="9476" width="12.42578125" style="684" customWidth="1"/>
    <col min="9477" max="9478" width="9.140625" style="684"/>
    <col min="9479" max="9480" width="15.7109375" style="684" customWidth="1"/>
    <col min="9481" max="9481" width="8.7109375" style="684" customWidth="1"/>
    <col min="9482" max="9729" width="9.140625" style="684"/>
    <col min="9730" max="9730" width="46.7109375" style="684" customWidth="1"/>
    <col min="9731" max="9731" width="18" style="684" customWidth="1"/>
    <col min="9732" max="9732" width="12.42578125" style="684" customWidth="1"/>
    <col min="9733" max="9734" width="9.140625" style="684"/>
    <col min="9735" max="9736" width="15.7109375" style="684" customWidth="1"/>
    <col min="9737" max="9737" width="8.7109375" style="684" customWidth="1"/>
    <col min="9738" max="9985" width="9.140625" style="684"/>
    <col min="9986" max="9986" width="46.7109375" style="684" customWidth="1"/>
    <col min="9987" max="9987" width="18" style="684" customWidth="1"/>
    <col min="9988" max="9988" width="12.42578125" style="684" customWidth="1"/>
    <col min="9989" max="9990" width="9.140625" style="684"/>
    <col min="9991" max="9992" width="15.7109375" style="684" customWidth="1"/>
    <col min="9993" max="9993" width="8.7109375" style="684" customWidth="1"/>
    <col min="9994" max="10241" width="9.140625" style="684"/>
    <col min="10242" max="10242" width="46.7109375" style="684" customWidth="1"/>
    <col min="10243" max="10243" width="18" style="684" customWidth="1"/>
    <col min="10244" max="10244" width="12.42578125" style="684" customWidth="1"/>
    <col min="10245" max="10246" width="9.140625" style="684"/>
    <col min="10247" max="10248" width="15.7109375" style="684" customWidth="1"/>
    <col min="10249" max="10249" width="8.7109375" style="684" customWidth="1"/>
    <col min="10250" max="10497" width="9.140625" style="684"/>
    <col min="10498" max="10498" width="46.7109375" style="684" customWidth="1"/>
    <col min="10499" max="10499" width="18" style="684" customWidth="1"/>
    <col min="10500" max="10500" width="12.42578125" style="684" customWidth="1"/>
    <col min="10501" max="10502" width="9.140625" style="684"/>
    <col min="10503" max="10504" width="15.7109375" style="684" customWidth="1"/>
    <col min="10505" max="10505" width="8.7109375" style="684" customWidth="1"/>
    <col min="10506" max="10753" width="9.140625" style="684"/>
    <col min="10754" max="10754" width="46.7109375" style="684" customWidth="1"/>
    <col min="10755" max="10755" width="18" style="684" customWidth="1"/>
    <col min="10756" max="10756" width="12.42578125" style="684" customWidth="1"/>
    <col min="10757" max="10758" width="9.140625" style="684"/>
    <col min="10759" max="10760" width="15.7109375" style="684" customWidth="1"/>
    <col min="10761" max="10761" width="8.7109375" style="684" customWidth="1"/>
    <col min="10762" max="11009" width="9.140625" style="684"/>
    <col min="11010" max="11010" width="46.7109375" style="684" customWidth="1"/>
    <col min="11011" max="11011" width="18" style="684" customWidth="1"/>
    <col min="11012" max="11012" width="12.42578125" style="684" customWidth="1"/>
    <col min="11013" max="11014" width="9.140625" style="684"/>
    <col min="11015" max="11016" width="15.7109375" style="684" customWidth="1"/>
    <col min="11017" max="11017" width="8.7109375" style="684" customWidth="1"/>
    <col min="11018" max="11265" width="9.140625" style="684"/>
    <col min="11266" max="11266" width="46.7109375" style="684" customWidth="1"/>
    <col min="11267" max="11267" width="18" style="684" customWidth="1"/>
    <col min="11268" max="11268" width="12.42578125" style="684" customWidth="1"/>
    <col min="11269" max="11270" width="9.140625" style="684"/>
    <col min="11271" max="11272" width="15.7109375" style="684" customWidth="1"/>
    <col min="11273" max="11273" width="8.7109375" style="684" customWidth="1"/>
    <col min="11274" max="11521" width="9.140625" style="684"/>
    <col min="11522" max="11522" width="46.7109375" style="684" customWidth="1"/>
    <col min="11523" max="11523" width="18" style="684" customWidth="1"/>
    <col min="11524" max="11524" width="12.42578125" style="684" customWidth="1"/>
    <col min="11525" max="11526" width="9.140625" style="684"/>
    <col min="11527" max="11528" width="15.7109375" style="684" customWidth="1"/>
    <col min="11529" max="11529" width="8.7109375" style="684" customWidth="1"/>
    <col min="11530" max="11777" width="9.140625" style="684"/>
    <col min="11778" max="11778" width="46.7109375" style="684" customWidth="1"/>
    <col min="11779" max="11779" width="18" style="684" customWidth="1"/>
    <col min="11780" max="11780" width="12.42578125" style="684" customWidth="1"/>
    <col min="11781" max="11782" width="9.140625" style="684"/>
    <col min="11783" max="11784" width="15.7109375" style="684" customWidth="1"/>
    <col min="11785" max="11785" width="8.7109375" style="684" customWidth="1"/>
    <col min="11786" max="12033" width="9.140625" style="684"/>
    <col min="12034" max="12034" width="46.7109375" style="684" customWidth="1"/>
    <col min="12035" max="12035" width="18" style="684" customWidth="1"/>
    <col min="12036" max="12036" width="12.42578125" style="684" customWidth="1"/>
    <col min="12037" max="12038" width="9.140625" style="684"/>
    <col min="12039" max="12040" width="15.7109375" style="684" customWidth="1"/>
    <col min="12041" max="12041" width="8.7109375" style="684" customWidth="1"/>
    <col min="12042" max="12289" width="9.140625" style="684"/>
    <col min="12290" max="12290" width="46.7109375" style="684" customWidth="1"/>
    <col min="12291" max="12291" width="18" style="684" customWidth="1"/>
    <col min="12292" max="12292" width="12.42578125" style="684" customWidth="1"/>
    <col min="12293" max="12294" width="9.140625" style="684"/>
    <col min="12295" max="12296" width="15.7109375" style="684" customWidth="1"/>
    <col min="12297" max="12297" width="8.7109375" style="684" customWidth="1"/>
    <col min="12298" max="12545" width="9.140625" style="684"/>
    <col min="12546" max="12546" width="46.7109375" style="684" customWidth="1"/>
    <col min="12547" max="12547" width="18" style="684" customWidth="1"/>
    <col min="12548" max="12548" width="12.42578125" style="684" customWidth="1"/>
    <col min="12549" max="12550" width="9.140625" style="684"/>
    <col min="12551" max="12552" width="15.7109375" style="684" customWidth="1"/>
    <col min="12553" max="12553" width="8.7109375" style="684" customWidth="1"/>
    <col min="12554" max="12801" width="9.140625" style="684"/>
    <col min="12802" max="12802" width="46.7109375" style="684" customWidth="1"/>
    <col min="12803" max="12803" width="18" style="684" customWidth="1"/>
    <col min="12804" max="12804" width="12.42578125" style="684" customWidth="1"/>
    <col min="12805" max="12806" width="9.140625" style="684"/>
    <col min="12807" max="12808" width="15.7109375" style="684" customWidth="1"/>
    <col min="12809" max="12809" width="8.7109375" style="684" customWidth="1"/>
    <col min="12810" max="13057" width="9.140625" style="684"/>
    <col min="13058" max="13058" width="46.7109375" style="684" customWidth="1"/>
    <col min="13059" max="13059" width="18" style="684" customWidth="1"/>
    <col min="13060" max="13060" width="12.42578125" style="684" customWidth="1"/>
    <col min="13061" max="13062" width="9.140625" style="684"/>
    <col min="13063" max="13064" width="15.7109375" style="684" customWidth="1"/>
    <col min="13065" max="13065" width="8.7109375" style="684" customWidth="1"/>
    <col min="13066" max="13313" width="9.140625" style="684"/>
    <col min="13314" max="13314" width="46.7109375" style="684" customWidth="1"/>
    <col min="13315" max="13315" width="18" style="684" customWidth="1"/>
    <col min="13316" max="13316" width="12.42578125" style="684" customWidth="1"/>
    <col min="13317" max="13318" width="9.140625" style="684"/>
    <col min="13319" max="13320" width="15.7109375" style="684" customWidth="1"/>
    <col min="13321" max="13321" width="8.7109375" style="684" customWidth="1"/>
    <col min="13322" max="13569" width="9.140625" style="684"/>
    <col min="13570" max="13570" width="46.7109375" style="684" customWidth="1"/>
    <col min="13571" max="13571" width="18" style="684" customWidth="1"/>
    <col min="13572" max="13572" width="12.42578125" style="684" customWidth="1"/>
    <col min="13573" max="13574" width="9.140625" style="684"/>
    <col min="13575" max="13576" width="15.7109375" style="684" customWidth="1"/>
    <col min="13577" max="13577" width="8.7109375" style="684" customWidth="1"/>
    <col min="13578" max="13825" width="9.140625" style="684"/>
    <col min="13826" max="13826" width="46.7109375" style="684" customWidth="1"/>
    <col min="13827" max="13827" width="18" style="684" customWidth="1"/>
    <col min="13828" max="13828" width="12.42578125" style="684" customWidth="1"/>
    <col min="13829" max="13830" width="9.140625" style="684"/>
    <col min="13831" max="13832" width="15.7109375" style="684" customWidth="1"/>
    <col min="13833" max="13833" width="8.7109375" style="684" customWidth="1"/>
    <col min="13834" max="14081" width="9.140625" style="684"/>
    <col min="14082" max="14082" width="46.7109375" style="684" customWidth="1"/>
    <col min="14083" max="14083" width="18" style="684" customWidth="1"/>
    <col min="14084" max="14084" width="12.42578125" style="684" customWidth="1"/>
    <col min="14085" max="14086" width="9.140625" style="684"/>
    <col min="14087" max="14088" width="15.7109375" style="684" customWidth="1"/>
    <col min="14089" max="14089" width="8.7109375" style="684" customWidth="1"/>
    <col min="14090" max="14337" width="9.140625" style="684"/>
    <col min="14338" max="14338" width="46.7109375" style="684" customWidth="1"/>
    <col min="14339" max="14339" width="18" style="684" customWidth="1"/>
    <col min="14340" max="14340" width="12.42578125" style="684" customWidth="1"/>
    <col min="14341" max="14342" width="9.140625" style="684"/>
    <col min="14343" max="14344" width="15.7109375" style="684" customWidth="1"/>
    <col min="14345" max="14345" width="8.7109375" style="684" customWidth="1"/>
    <col min="14346" max="14593" width="9.140625" style="684"/>
    <col min="14594" max="14594" width="46.7109375" style="684" customWidth="1"/>
    <col min="14595" max="14595" width="18" style="684" customWidth="1"/>
    <col min="14596" max="14596" width="12.42578125" style="684" customWidth="1"/>
    <col min="14597" max="14598" width="9.140625" style="684"/>
    <col min="14599" max="14600" width="15.7109375" style="684" customWidth="1"/>
    <col min="14601" max="14601" width="8.7109375" style="684" customWidth="1"/>
    <col min="14602" max="14849" width="9.140625" style="684"/>
    <col min="14850" max="14850" width="46.7109375" style="684" customWidth="1"/>
    <col min="14851" max="14851" width="18" style="684" customWidth="1"/>
    <col min="14852" max="14852" width="12.42578125" style="684" customWidth="1"/>
    <col min="14853" max="14854" width="9.140625" style="684"/>
    <col min="14855" max="14856" width="15.7109375" style="684" customWidth="1"/>
    <col min="14857" max="14857" width="8.7109375" style="684" customWidth="1"/>
    <col min="14858" max="15105" width="9.140625" style="684"/>
    <col min="15106" max="15106" width="46.7109375" style="684" customWidth="1"/>
    <col min="15107" max="15107" width="18" style="684" customWidth="1"/>
    <col min="15108" max="15108" width="12.42578125" style="684" customWidth="1"/>
    <col min="15109" max="15110" width="9.140625" style="684"/>
    <col min="15111" max="15112" width="15.7109375" style="684" customWidth="1"/>
    <col min="15113" max="15113" width="8.7109375" style="684" customWidth="1"/>
    <col min="15114" max="15361" width="9.140625" style="684"/>
    <col min="15362" max="15362" width="46.7109375" style="684" customWidth="1"/>
    <col min="15363" max="15363" width="18" style="684" customWidth="1"/>
    <col min="15364" max="15364" width="12.42578125" style="684" customWidth="1"/>
    <col min="15365" max="15366" width="9.140625" style="684"/>
    <col min="15367" max="15368" width="15.7109375" style="684" customWidth="1"/>
    <col min="15369" max="15369" width="8.7109375" style="684" customWidth="1"/>
    <col min="15370" max="15617" width="9.140625" style="684"/>
    <col min="15618" max="15618" width="46.7109375" style="684" customWidth="1"/>
    <col min="15619" max="15619" width="18" style="684" customWidth="1"/>
    <col min="15620" max="15620" width="12.42578125" style="684" customWidth="1"/>
    <col min="15621" max="15622" width="9.140625" style="684"/>
    <col min="15623" max="15624" width="15.7109375" style="684" customWidth="1"/>
    <col min="15625" max="15625" width="8.7109375" style="684" customWidth="1"/>
    <col min="15626" max="15873" width="9.140625" style="684"/>
    <col min="15874" max="15874" width="46.7109375" style="684" customWidth="1"/>
    <col min="15875" max="15875" width="18" style="684" customWidth="1"/>
    <col min="15876" max="15876" width="12.42578125" style="684" customWidth="1"/>
    <col min="15877" max="15878" width="9.140625" style="684"/>
    <col min="15879" max="15880" width="15.7109375" style="684" customWidth="1"/>
    <col min="15881" max="15881" width="8.7109375" style="684" customWidth="1"/>
    <col min="15882" max="16129" width="9.140625" style="684"/>
    <col min="16130" max="16130" width="46.7109375" style="684" customWidth="1"/>
    <col min="16131" max="16131" width="18" style="684" customWidth="1"/>
    <col min="16132" max="16132" width="12.42578125" style="684" customWidth="1"/>
    <col min="16133" max="16134" width="9.140625" style="684"/>
    <col min="16135" max="16136" width="15.7109375" style="684" customWidth="1"/>
    <col min="16137" max="16137" width="8.7109375" style="684" customWidth="1"/>
    <col min="16138" max="16384" width="9.140625" style="684"/>
  </cols>
  <sheetData>
    <row r="1" spans="1:8" ht="15" customHeight="1">
      <c r="A1" s="38" t="s">
        <v>221</v>
      </c>
      <c r="C1" s="38"/>
    </row>
    <row r="2" spans="1:8" ht="15" customHeight="1">
      <c r="A2" s="38"/>
      <c r="C2" s="214">
        <f>Rashodi!I9/(Prihodi!G243-Prihodi!G49-Prihodi!G53-Prihodi!G59-Prihodi!G60-Prihodi!G66-Prihodi!G87-Prihodi!G92-Prihodi!G95-Prihodi!G107-Prihodi!G118-Prihodi!G123-Prihodi!G125-Prihodi!G135-Prihodi!G167-Prihodi!G178-Prihodi!G185-Prihodi!G194)*100</f>
        <v>1.3754999364960796</v>
      </c>
    </row>
    <row r="3" spans="1:8" ht="15" customHeight="1">
      <c r="A3" s="693" t="s">
        <v>857</v>
      </c>
      <c r="C3" s="214"/>
    </row>
    <row r="4" spans="1:8" ht="17.25" customHeight="1">
      <c r="A4" s="949" t="str">
        <f>CONCATENATE("     U tekuću pričuvu Vlade izdvojit će se ",TEXT(C2,"#.##0,00"),"% prihoda bez namjenskih prihoda, vlastitih prihoda i primitaka Proračuna.")</f>
        <v xml:space="preserve">     U tekuću pričuvu Vlade izdvojit će se 1,38% prihoda bez namjenskih prihoda, vlastitih prihoda i primitaka Proračuna.</v>
      </c>
      <c r="B4" s="950"/>
      <c r="C4" s="950"/>
      <c r="D4" s="951"/>
      <c r="E4" s="951"/>
      <c r="F4" s="951"/>
      <c r="G4" s="951"/>
      <c r="H4" s="951"/>
    </row>
    <row r="5" spans="1:8" ht="15" customHeight="1">
      <c r="G5" s="45"/>
      <c r="H5" s="45"/>
    </row>
    <row r="6" spans="1:8" ht="15" customHeight="1">
      <c r="A6" s="38" t="s">
        <v>222</v>
      </c>
      <c r="C6" s="38"/>
    </row>
    <row r="7" spans="1:8" ht="6.75" customHeight="1">
      <c r="A7" s="38"/>
      <c r="C7" s="38"/>
      <c r="E7" s="213"/>
    </row>
    <row r="8" spans="1:8" ht="15" customHeight="1">
      <c r="A8" s="947" t="s">
        <v>946</v>
      </c>
      <c r="B8" s="948"/>
      <c r="C8" s="948"/>
      <c r="D8" s="842"/>
      <c r="E8" s="842"/>
      <c r="F8" s="842"/>
      <c r="G8" s="842"/>
      <c r="H8" s="842"/>
    </row>
    <row r="9" spans="1:8" ht="15" customHeight="1">
      <c r="A9" s="948"/>
      <c r="B9" s="948"/>
      <c r="C9" s="948"/>
      <c r="D9" s="842"/>
      <c r="E9" s="842"/>
      <c r="F9" s="842"/>
      <c r="G9" s="842"/>
      <c r="H9" s="842"/>
    </row>
    <row r="14" spans="1:8" ht="15" customHeight="1">
      <c r="A14" s="684" t="s">
        <v>171</v>
      </c>
    </row>
    <row r="15" spans="1:8" ht="15" customHeight="1">
      <c r="A15" s="684" t="s">
        <v>844</v>
      </c>
    </row>
    <row r="16" spans="1:8" ht="15" customHeight="1">
      <c r="A16" s="684" t="s">
        <v>172</v>
      </c>
    </row>
    <row r="17" spans="1:8" ht="15" customHeight="1">
      <c r="A17" s="684" t="s">
        <v>173</v>
      </c>
    </row>
    <row r="18" spans="1:8" ht="15" customHeight="1">
      <c r="A18" s="545" t="s">
        <v>949</v>
      </c>
    </row>
    <row r="19" spans="1:8" ht="15" customHeight="1">
      <c r="A19" s="545" t="s">
        <v>950</v>
      </c>
    </row>
    <row r="20" spans="1:8" ht="15" customHeight="1">
      <c r="G20" s="952" t="s">
        <v>858</v>
      </c>
      <c r="H20" s="842"/>
    </row>
    <row r="21" spans="1:8" ht="15" customHeight="1">
      <c r="G21" s="945"/>
      <c r="H21" s="945"/>
    </row>
    <row r="22" spans="1:8" ht="15" customHeight="1">
      <c r="G22" s="946" t="s">
        <v>845</v>
      </c>
      <c r="H22" s="945"/>
    </row>
    <row r="25" spans="1:8" ht="15" customHeight="1">
      <c r="C25" s="687"/>
    </row>
    <row r="28" spans="1:8" ht="15" customHeight="1">
      <c r="C28" s="687"/>
    </row>
    <row r="38" ht="12.75"/>
  </sheetData>
  <mergeCells count="5">
    <mergeCell ref="G21:H21"/>
    <mergeCell ref="G22:H22"/>
    <mergeCell ref="A8:H9"/>
    <mergeCell ref="A4:H4"/>
    <mergeCell ref="G20:H20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O246"/>
  <sheetViews>
    <sheetView topLeftCell="B229" zoomScaleNormal="100" workbookViewId="0">
      <selection activeCell="E254" sqref="E254"/>
    </sheetView>
  </sheetViews>
  <sheetFormatPr defaultColWidth="9.140625" defaultRowHeight="14.25"/>
  <cols>
    <col min="1" max="1" width="0.42578125" style="822" hidden="1" customWidth="1"/>
    <col min="2" max="2" width="13.28515625" style="687" customWidth="1"/>
    <col min="3" max="3" width="63.140625" style="822" customWidth="1"/>
    <col min="4" max="6" width="15.7109375" style="822" customWidth="1"/>
    <col min="7" max="7" width="19" style="464" customWidth="1"/>
    <col min="8" max="8" width="9" style="822" customWidth="1"/>
    <col min="9" max="9" width="11" style="185" customWidth="1"/>
    <col min="10" max="10" width="17.28515625" style="185" customWidth="1"/>
    <col min="11" max="11" width="19.85546875" style="185" customWidth="1"/>
    <col min="12" max="12" width="16.42578125" style="185" customWidth="1"/>
    <col min="13" max="13" width="16.42578125" style="822" bestFit="1" customWidth="1"/>
    <col min="14" max="16384" width="9.140625" style="822"/>
  </cols>
  <sheetData>
    <row r="2" spans="2:14" ht="18.75" customHeight="1" thickBot="1">
      <c r="B2" s="874" t="s">
        <v>75</v>
      </c>
      <c r="C2" s="874"/>
      <c r="D2" s="874"/>
      <c r="E2" s="874"/>
      <c r="F2" s="874"/>
      <c r="G2" s="875"/>
      <c r="H2" s="875"/>
    </row>
    <row r="3" spans="2:14" ht="76.5" customHeight="1">
      <c r="B3" s="57" t="s">
        <v>157</v>
      </c>
      <c r="C3" s="58" t="s">
        <v>79</v>
      </c>
      <c r="D3" s="94" t="s">
        <v>904</v>
      </c>
      <c r="E3" s="94" t="s">
        <v>849</v>
      </c>
      <c r="F3" s="94" t="s">
        <v>909</v>
      </c>
      <c r="G3" s="451" t="s">
        <v>915</v>
      </c>
      <c r="H3" s="218" t="s">
        <v>532</v>
      </c>
      <c r="I3" s="285"/>
      <c r="J3" s="550"/>
      <c r="K3" s="551"/>
      <c r="L3" s="551"/>
      <c r="M3" s="545"/>
    </row>
    <row r="4" spans="2:14" ht="12.75" customHeight="1">
      <c r="B4" s="151">
        <v>1</v>
      </c>
      <c r="C4" s="152">
        <v>2</v>
      </c>
      <c r="D4" s="152">
        <v>3</v>
      </c>
      <c r="E4" s="152">
        <v>4</v>
      </c>
      <c r="F4" s="284">
        <v>5</v>
      </c>
      <c r="G4" s="465">
        <v>6</v>
      </c>
      <c r="H4" s="184">
        <v>7</v>
      </c>
    </row>
    <row r="5" spans="2:14" s="36" customFormat="1" ht="17.25" customHeight="1">
      <c r="B5" s="219">
        <v>710000</v>
      </c>
      <c r="C5" s="220" t="s">
        <v>156</v>
      </c>
      <c r="D5" s="452">
        <f>D6+D16+D20+D28+D38+D47+D56</f>
        <v>31336530</v>
      </c>
      <c r="E5" s="452">
        <f>E6+E16+E20+E28+E38+E47+E56</f>
        <v>31336530</v>
      </c>
      <c r="F5" s="452">
        <f>F6+F16+F20+F28+F38+F47+F56</f>
        <v>25175572</v>
      </c>
      <c r="G5" s="452">
        <f>G6+G16+G20+G28+G38+G47+G56</f>
        <v>32350710</v>
      </c>
      <c r="H5" s="204">
        <f t="shared" ref="H5:H69" si="0">IF(E5=0,"",G5/E5*100)</f>
        <v>103.23641449771242</v>
      </c>
      <c r="I5" s="286"/>
      <c r="J5" s="186"/>
      <c r="K5" s="186"/>
      <c r="L5" s="186"/>
    </row>
    <row r="6" spans="2:14" s="124" customFormat="1" ht="17.100000000000001" customHeight="1">
      <c r="B6" s="222">
        <v>711000</v>
      </c>
      <c r="C6" s="223" t="s">
        <v>161</v>
      </c>
      <c r="D6" s="224">
        <f>D7+D13</f>
        <v>1191450</v>
      </c>
      <c r="E6" s="224">
        <f>E7+E13</f>
        <v>1191450</v>
      </c>
      <c r="F6" s="224">
        <f>F7+F13</f>
        <v>2167397</v>
      </c>
      <c r="G6" s="453">
        <f>G7+G13</f>
        <v>2864060</v>
      </c>
      <c r="H6" s="205">
        <f t="shared" si="0"/>
        <v>240.38440555625499</v>
      </c>
      <c r="I6" s="287"/>
      <c r="J6" s="187"/>
      <c r="K6" s="188"/>
      <c r="L6" s="188"/>
    </row>
    <row r="7" spans="2:14" s="124" customFormat="1" ht="15" customHeight="1">
      <c r="B7" s="125">
        <v>711100</v>
      </c>
      <c r="C7" s="126" t="s">
        <v>223</v>
      </c>
      <c r="D7" s="122">
        <f>SUM(D8:D12)</f>
        <v>1070</v>
      </c>
      <c r="E7" s="122">
        <f>SUM(E8:E12)</f>
        <v>1070</v>
      </c>
      <c r="F7" s="122">
        <f>SUM(F8:F12)</f>
        <v>595</v>
      </c>
      <c r="G7" s="454">
        <f>SUM(G8:G12)</f>
        <v>1380</v>
      </c>
      <c r="H7" s="135">
        <f t="shared" si="0"/>
        <v>128.97196261682242</v>
      </c>
      <c r="I7" s="287"/>
      <c r="J7" s="188"/>
      <c r="K7" s="188"/>
      <c r="L7" s="188"/>
    </row>
    <row r="8" spans="2:14" ht="15" customHeight="1">
      <c r="B8" s="121">
        <v>711111</v>
      </c>
      <c r="C8" s="189" t="s">
        <v>224</v>
      </c>
      <c r="D8" s="688">
        <v>640</v>
      </c>
      <c r="E8" s="688">
        <v>640</v>
      </c>
      <c r="F8" s="688">
        <v>552</v>
      </c>
      <c r="G8" s="455">
        <v>920</v>
      </c>
      <c r="H8" s="127">
        <f t="shared" si="0"/>
        <v>143.75</v>
      </c>
      <c r="I8" s="287"/>
      <c r="K8" s="241"/>
    </row>
    <row r="9" spans="2:14" s="827" customFormat="1" ht="15" customHeight="1">
      <c r="B9" s="121">
        <v>711112</v>
      </c>
      <c r="C9" s="189" t="s">
        <v>913</v>
      </c>
      <c r="D9" s="688">
        <v>0</v>
      </c>
      <c r="E9" s="688">
        <v>0</v>
      </c>
      <c r="F9" s="688">
        <v>0</v>
      </c>
      <c r="G9" s="455">
        <v>270</v>
      </c>
      <c r="H9" s="127" t="str">
        <f t="shared" ref="H9" si="1">IF(E9=0,"",G9/E9*100)</f>
        <v/>
      </c>
      <c r="I9" s="287"/>
      <c r="J9" s="185"/>
      <c r="K9" s="241"/>
      <c r="L9" s="185"/>
    </row>
    <row r="10" spans="2:14" ht="15" customHeight="1">
      <c r="B10" s="121">
        <v>711113</v>
      </c>
      <c r="C10" s="189" t="s">
        <v>547</v>
      </c>
      <c r="D10" s="688">
        <v>400</v>
      </c>
      <c r="E10" s="688">
        <v>400</v>
      </c>
      <c r="F10" s="688">
        <v>10</v>
      </c>
      <c r="G10" s="455">
        <v>10</v>
      </c>
      <c r="H10" s="127">
        <f t="shared" si="0"/>
        <v>2.5</v>
      </c>
      <c r="I10" s="287"/>
      <c r="K10" s="241"/>
    </row>
    <row r="11" spans="2:14" ht="15" customHeight="1">
      <c r="B11" s="121">
        <v>711114</v>
      </c>
      <c r="C11" s="189" t="s">
        <v>457</v>
      </c>
      <c r="D11" s="688">
        <v>20</v>
      </c>
      <c r="E11" s="688">
        <v>20</v>
      </c>
      <c r="F11" s="688">
        <v>0</v>
      </c>
      <c r="G11" s="455">
        <v>0</v>
      </c>
      <c r="H11" s="127">
        <f t="shared" si="0"/>
        <v>0</v>
      </c>
      <c r="I11" s="287"/>
      <c r="K11" s="241"/>
    </row>
    <row r="12" spans="2:14" ht="15" customHeight="1">
      <c r="B12" s="121">
        <v>711115</v>
      </c>
      <c r="C12" s="189" t="s">
        <v>225</v>
      </c>
      <c r="D12" s="548">
        <v>10</v>
      </c>
      <c r="E12" s="548">
        <v>10</v>
      </c>
      <c r="F12" s="548">
        <v>33</v>
      </c>
      <c r="G12" s="456">
        <v>180</v>
      </c>
      <c r="H12" s="127">
        <f t="shared" si="0"/>
        <v>1800</v>
      </c>
      <c r="I12" s="287"/>
      <c r="K12" s="241"/>
    </row>
    <row r="13" spans="2:14" s="124" customFormat="1" ht="15" customHeight="1">
      <c r="B13" s="125">
        <v>711200</v>
      </c>
      <c r="C13" s="126" t="s">
        <v>228</v>
      </c>
      <c r="D13" s="122">
        <f>SUM(D14:D15)</f>
        <v>1190380</v>
      </c>
      <c r="E13" s="122">
        <f>SUM(E14:E15)</f>
        <v>1190380</v>
      </c>
      <c r="F13" s="122">
        <f>SUM(F14:F15)</f>
        <v>2166802</v>
      </c>
      <c r="G13" s="457">
        <f>SUM(G14:G15)</f>
        <v>2862680</v>
      </c>
      <c r="H13" s="135">
        <f t="shared" si="0"/>
        <v>240.48455115173306</v>
      </c>
      <c r="I13" s="287"/>
      <c r="J13" s="188"/>
      <c r="K13" s="824"/>
      <c r="L13" s="188"/>
      <c r="M13" s="822"/>
    </row>
    <row r="14" spans="2:14" ht="15" customHeight="1">
      <c r="B14" s="121">
        <v>711211</v>
      </c>
      <c r="C14" s="189" t="s">
        <v>226</v>
      </c>
      <c r="D14" s="548">
        <v>1140370</v>
      </c>
      <c r="E14" s="548">
        <v>1140370</v>
      </c>
      <c r="F14" s="548">
        <v>2118978</v>
      </c>
      <c r="G14" s="456">
        <v>2806920</v>
      </c>
      <c r="H14" s="127">
        <f t="shared" si="0"/>
        <v>246.14116470969947</v>
      </c>
      <c r="I14" s="287"/>
      <c r="J14" s="241"/>
      <c r="K14" s="241"/>
    </row>
    <row r="15" spans="2:14" ht="15" customHeight="1">
      <c r="B15" s="121">
        <v>711212</v>
      </c>
      <c r="C15" s="189" t="s">
        <v>227</v>
      </c>
      <c r="D15" s="548">
        <v>50010</v>
      </c>
      <c r="E15" s="548">
        <v>50010</v>
      </c>
      <c r="F15" s="548">
        <v>47824</v>
      </c>
      <c r="G15" s="456">
        <v>55760</v>
      </c>
      <c r="H15" s="127">
        <f t="shared" si="0"/>
        <v>111.49770045990802</v>
      </c>
      <c r="I15" s="287"/>
      <c r="K15" s="241"/>
      <c r="N15" s="74"/>
    </row>
    <row r="16" spans="2:14" s="124" customFormat="1" ht="17.100000000000001" customHeight="1">
      <c r="B16" s="222">
        <v>713000</v>
      </c>
      <c r="C16" s="225" t="s">
        <v>229</v>
      </c>
      <c r="D16" s="224">
        <f>D17</f>
        <v>780</v>
      </c>
      <c r="E16" s="224">
        <f>E17</f>
        <v>780</v>
      </c>
      <c r="F16" s="224">
        <f>F17</f>
        <v>766</v>
      </c>
      <c r="G16" s="453">
        <f>G17</f>
        <v>1540</v>
      </c>
      <c r="H16" s="205">
        <f t="shared" si="0"/>
        <v>197.43589743589746</v>
      </c>
      <c r="I16" s="287"/>
      <c r="J16" s="188"/>
      <c r="K16" s="241"/>
      <c r="L16" s="188"/>
      <c r="M16" s="822"/>
    </row>
    <row r="17" spans="2:13" s="124" customFormat="1" ht="15" customHeight="1">
      <c r="B17" s="125">
        <v>713100</v>
      </c>
      <c r="C17" s="137" t="s">
        <v>329</v>
      </c>
      <c r="D17" s="138">
        <f>SUM(D18:D19)</f>
        <v>780</v>
      </c>
      <c r="E17" s="138">
        <f>SUM(E18:E19)</f>
        <v>780</v>
      </c>
      <c r="F17" s="138">
        <f>SUM(F18:F19)</f>
        <v>766</v>
      </c>
      <c r="G17" s="457">
        <f>SUM(G18:G19)</f>
        <v>1540</v>
      </c>
      <c r="H17" s="135">
        <f t="shared" si="0"/>
        <v>197.43589743589746</v>
      </c>
      <c r="I17" s="287"/>
      <c r="J17" s="188"/>
      <c r="K17" s="241"/>
      <c r="L17" s="188"/>
      <c r="M17" s="822"/>
    </row>
    <row r="18" spans="2:13" ht="15" customHeight="1">
      <c r="B18" s="121">
        <v>713111</v>
      </c>
      <c r="C18" s="189" t="s">
        <v>230</v>
      </c>
      <c r="D18" s="688">
        <v>470</v>
      </c>
      <c r="E18" s="688">
        <v>470</v>
      </c>
      <c r="F18" s="688">
        <v>401</v>
      </c>
      <c r="G18" s="455">
        <v>980</v>
      </c>
      <c r="H18" s="127">
        <f t="shared" si="0"/>
        <v>208.51063829787236</v>
      </c>
      <c r="I18" s="241"/>
      <c r="K18" s="241"/>
    </row>
    <row r="19" spans="2:13" ht="15" customHeight="1">
      <c r="B19" s="121">
        <v>713113</v>
      </c>
      <c r="C19" s="189" t="s">
        <v>231</v>
      </c>
      <c r="D19" s="688">
        <v>310</v>
      </c>
      <c r="E19" s="688">
        <v>310</v>
      </c>
      <c r="F19" s="688">
        <v>365</v>
      </c>
      <c r="G19" s="455">
        <v>560</v>
      </c>
      <c r="H19" s="127">
        <f t="shared" si="0"/>
        <v>180.64516129032256</v>
      </c>
      <c r="I19" s="241"/>
      <c r="K19" s="241"/>
    </row>
    <row r="20" spans="2:13" s="124" customFormat="1" ht="17.100000000000001" customHeight="1">
      <c r="B20" s="222">
        <v>714000</v>
      </c>
      <c r="C20" s="225" t="s">
        <v>162</v>
      </c>
      <c r="D20" s="224">
        <f>D21</f>
        <v>148430</v>
      </c>
      <c r="E20" s="224">
        <f>E21</f>
        <v>148430</v>
      </c>
      <c r="F20" s="224">
        <f>F21</f>
        <v>122859</v>
      </c>
      <c r="G20" s="453">
        <f>G21</f>
        <v>176300</v>
      </c>
      <c r="H20" s="205">
        <f t="shared" si="0"/>
        <v>118.77652765613421</v>
      </c>
      <c r="I20" s="287"/>
      <c r="J20" s="188"/>
      <c r="K20" s="241"/>
      <c r="L20" s="188"/>
      <c r="M20" s="822"/>
    </row>
    <row r="21" spans="2:13" s="124" customFormat="1" ht="15" customHeight="1">
      <c r="B21" s="125">
        <v>714100</v>
      </c>
      <c r="C21" s="137" t="s">
        <v>328</v>
      </c>
      <c r="D21" s="138">
        <f>SUM(D22:D27)</f>
        <v>148430</v>
      </c>
      <c r="E21" s="138">
        <f>SUM(E22:E27)</f>
        <v>148430</v>
      </c>
      <c r="F21" s="138">
        <f>SUM(F22:F27)</f>
        <v>122859</v>
      </c>
      <c r="G21" s="457">
        <f>SUM(G22:G27)</f>
        <v>176300</v>
      </c>
      <c r="H21" s="135">
        <f t="shared" si="0"/>
        <v>118.77652765613421</v>
      </c>
      <c r="I21" s="287"/>
      <c r="J21" s="188"/>
      <c r="K21" s="241"/>
      <c r="L21" s="188"/>
      <c r="M21" s="822"/>
    </row>
    <row r="22" spans="2:13" ht="15" customHeight="1">
      <c r="B22" s="121">
        <v>714111</v>
      </c>
      <c r="C22" s="189" t="s">
        <v>232</v>
      </c>
      <c r="D22" s="688">
        <v>32090</v>
      </c>
      <c r="E22" s="688">
        <v>32090</v>
      </c>
      <c r="F22" s="688">
        <v>30860</v>
      </c>
      <c r="G22" s="455">
        <v>39590</v>
      </c>
      <c r="H22" s="127">
        <f t="shared" si="0"/>
        <v>123.37176690557806</v>
      </c>
      <c r="I22" s="241"/>
      <c r="K22" s="241"/>
    </row>
    <row r="23" spans="2:13" ht="15" customHeight="1">
      <c r="B23" s="121">
        <v>714112</v>
      </c>
      <c r="C23" s="189" t="s">
        <v>233</v>
      </c>
      <c r="D23" s="548">
        <v>7460</v>
      </c>
      <c r="E23" s="548">
        <v>7460</v>
      </c>
      <c r="F23" s="548">
        <v>6168</v>
      </c>
      <c r="G23" s="456">
        <v>7330</v>
      </c>
      <c r="H23" s="127">
        <f t="shared" si="0"/>
        <v>98.257372654155489</v>
      </c>
      <c r="I23" s="241"/>
      <c r="K23" s="241"/>
    </row>
    <row r="24" spans="2:13" ht="15" customHeight="1">
      <c r="B24" s="121">
        <v>714113</v>
      </c>
      <c r="C24" s="189" t="s">
        <v>234</v>
      </c>
      <c r="D24" s="688">
        <v>950</v>
      </c>
      <c r="E24" s="688">
        <v>950</v>
      </c>
      <c r="F24" s="688">
        <v>2420</v>
      </c>
      <c r="G24" s="455">
        <v>3440</v>
      </c>
      <c r="H24" s="127">
        <f t="shared" si="0"/>
        <v>362.10526315789474</v>
      </c>
      <c r="I24" s="241"/>
      <c r="K24" s="241"/>
    </row>
    <row r="25" spans="2:13" ht="15" customHeight="1">
      <c r="B25" s="121">
        <v>714121</v>
      </c>
      <c r="C25" s="189" t="s">
        <v>235</v>
      </c>
      <c r="D25" s="548">
        <v>10700</v>
      </c>
      <c r="E25" s="548">
        <v>10700</v>
      </c>
      <c r="F25" s="548">
        <v>7806</v>
      </c>
      <c r="G25" s="456">
        <v>13170</v>
      </c>
      <c r="H25" s="127">
        <f t="shared" si="0"/>
        <v>123.08411214953271</v>
      </c>
      <c r="I25" s="241"/>
      <c r="K25" s="241"/>
    </row>
    <row r="26" spans="2:13" ht="15" customHeight="1">
      <c r="B26" s="121">
        <v>714131</v>
      </c>
      <c r="C26" s="189" t="s">
        <v>236</v>
      </c>
      <c r="D26" s="548">
        <v>67180</v>
      </c>
      <c r="E26" s="548">
        <v>67180</v>
      </c>
      <c r="F26" s="548">
        <v>57221</v>
      </c>
      <c r="G26" s="456">
        <v>74590</v>
      </c>
      <c r="H26" s="127">
        <f t="shared" si="0"/>
        <v>111.03006847275975</v>
      </c>
      <c r="I26" s="241"/>
      <c r="K26" s="241"/>
    </row>
    <row r="27" spans="2:13" ht="15" customHeight="1">
      <c r="B27" s="121">
        <v>714132</v>
      </c>
      <c r="C27" s="189" t="s">
        <v>237</v>
      </c>
      <c r="D27" s="688">
        <v>30050</v>
      </c>
      <c r="E27" s="688">
        <v>30050</v>
      </c>
      <c r="F27" s="688">
        <v>18384</v>
      </c>
      <c r="G27" s="455">
        <v>38180</v>
      </c>
      <c r="H27" s="127">
        <f t="shared" si="0"/>
        <v>127.0549084858569</v>
      </c>
      <c r="I27" s="241"/>
      <c r="K27" s="241"/>
    </row>
    <row r="28" spans="2:13" s="124" customFormat="1" ht="25.5" customHeight="1">
      <c r="B28" s="222">
        <v>715000</v>
      </c>
      <c r="C28" s="223" t="s">
        <v>238</v>
      </c>
      <c r="D28" s="224">
        <f>D29+D34+D36</f>
        <v>1550</v>
      </c>
      <c r="E28" s="224">
        <f>E29+E34+E36</f>
        <v>1550</v>
      </c>
      <c r="F28" s="224">
        <f>F29+F34+F36</f>
        <v>1721</v>
      </c>
      <c r="G28" s="453">
        <f>G29+G34+G36</f>
        <v>17910</v>
      </c>
      <c r="H28" s="205">
        <f t="shared" si="0"/>
        <v>1155.483870967742</v>
      </c>
      <c r="I28" s="287"/>
      <c r="J28" s="188"/>
      <c r="K28" s="241"/>
      <c r="L28" s="188"/>
      <c r="M28" s="822"/>
    </row>
    <row r="29" spans="2:13" s="124" customFormat="1" ht="26.25" customHeight="1">
      <c r="B29" s="125">
        <v>715100</v>
      </c>
      <c r="C29" s="190" t="s">
        <v>242</v>
      </c>
      <c r="D29" s="122">
        <f>SUM(D30:D33)</f>
        <v>820</v>
      </c>
      <c r="E29" s="122">
        <f>SUM(E30:E33)</f>
        <v>820</v>
      </c>
      <c r="F29" s="122">
        <f>SUM(F30:F33)</f>
        <v>935</v>
      </c>
      <c r="G29" s="454">
        <f>SUM(G30:G33)</f>
        <v>16850</v>
      </c>
      <c r="H29" s="135">
        <f t="shared" si="0"/>
        <v>2054.8780487804875</v>
      </c>
      <c r="I29" s="287"/>
      <c r="J29" s="188"/>
      <c r="K29" s="241"/>
      <c r="L29" s="188"/>
      <c r="M29" s="822"/>
    </row>
    <row r="30" spans="2:13" ht="15" customHeight="1">
      <c r="B30" s="121">
        <v>715131</v>
      </c>
      <c r="C30" s="189" t="s">
        <v>239</v>
      </c>
      <c r="D30" s="688">
        <v>320</v>
      </c>
      <c r="E30" s="688">
        <v>320</v>
      </c>
      <c r="F30" s="688">
        <v>487</v>
      </c>
      <c r="G30" s="455">
        <v>680</v>
      </c>
      <c r="H30" s="127">
        <f t="shared" si="0"/>
        <v>212.5</v>
      </c>
      <c r="I30" s="241"/>
      <c r="K30" s="241"/>
    </row>
    <row r="31" spans="2:13" ht="15" customHeight="1">
      <c r="B31" s="121">
        <v>715132</v>
      </c>
      <c r="C31" s="189" t="s">
        <v>458</v>
      </c>
      <c r="D31" s="688">
        <v>30</v>
      </c>
      <c r="E31" s="688">
        <v>30</v>
      </c>
      <c r="F31" s="688">
        <v>0</v>
      </c>
      <c r="G31" s="455">
        <v>10</v>
      </c>
      <c r="H31" s="127">
        <f t="shared" si="0"/>
        <v>33.333333333333329</v>
      </c>
      <c r="I31" s="241"/>
      <c r="K31" s="241"/>
    </row>
    <row r="32" spans="2:13" ht="15" customHeight="1">
      <c r="B32" s="121">
        <v>715137</v>
      </c>
      <c r="C32" s="189" t="s">
        <v>240</v>
      </c>
      <c r="D32" s="688">
        <v>50</v>
      </c>
      <c r="E32" s="688">
        <v>50</v>
      </c>
      <c r="F32" s="688">
        <v>34</v>
      </c>
      <c r="G32" s="455">
        <v>50</v>
      </c>
      <c r="H32" s="127">
        <f t="shared" si="0"/>
        <v>100</v>
      </c>
      <c r="I32" s="241"/>
      <c r="K32" s="241"/>
    </row>
    <row r="33" spans="2:13" ht="15" customHeight="1">
      <c r="B33" s="121">
        <v>715141</v>
      </c>
      <c r="C33" s="189" t="s">
        <v>241</v>
      </c>
      <c r="D33" s="688">
        <v>420</v>
      </c>
      <c r="E33" s="688">
        <v>420</v>
      </c>
      <c r="F33" s="688">
        <v>414</v>
      </c>
      <c r="G33" s="455">
        <v>16110</v>
      </c>
      <c r="H33" s="127">
        <f t="shared" si="0"/>
        <v>3835.7142857142853</v>
      </c>
      <c r="I33" s="241"/>
      <c r="K33" s="241"/>
    </row>
    <row r="34" spans="2:13" s="124" customFormat="1" ht="15" customHeight="1">
      <c r="B34" s="125">
        <v>715200</v>
      </c>
      <c r="C34" s="191" t="s">
        <v>243</v>
      </c>
      <c r="D34" s="122">
        <f>D35</f>
        <v>550</v>
      </c>
      <c r="E34" s="122">
        <f>E35</f>
        <v>550</v>
      </c>
      <c r="F34" s="122">
        <f>F35</f>
        <v>619</v>
      </c>
      <c r="G34" s="454">
        <f>G35</f>
        <v>810</v>
      </c>
      <c r="H34" s="135">
        <f t="shared" si="0"/>
        <v>147.27272727272725</v>
      </c>
      <c r="I34" s="287"/>
      <c r="J34" s="188"/>
      <c r="K34" s="241"/>
      <c r="L34" s="188"/>
      <c r="M34" s="822"/>
    </row>
    <row r="35" spans="2:13" ht="15" customHeight="1">
      <c r="B35" s="121">
        <v>715211</v>
      </c>
      <c r="C35" s="189" t="s">
        <v>244</v>
      </c>
      <c r="D35" s="688">
        <v>550</v>
      </c>
      <c r="E35" s="688">
        <v>550</v>
      </c>
      <c r="F35" s="688">
        <v>619</v>
      </c>
      <c r="G35" s="455">
        <v>810</v>
      </c>
      <c r="H35" s="127">
        <f t="shared" si="0"/>
        <v>147.27272727272725</v>
      </c>
      <c r="I35" s="241"/>
      <c r="K35" s="241"/>
    </row>
    <row r="36" spans="2:13" s="124" customFormat="1" ht="15" customHeight="1">
      <c r="B36" s="125">
        <v>715900</v>
      </c>
      <c r="C36" s="191" t="s">
        <v>245</v>
      </c>
      <c r="D36" s="122">
        <f>D37</f>
        <v>180</v>
      </c>
      <c r="E36" s="122">
        <f>E37</f>
        <v>180</v>
      </c>
      <c r="F36" s="122">
        <f>F37</f>
        <v>167</v>
      </c>
      <c r="G36" s="454">
        <f>G37</f>
        <v>250</v>
      </c>
      <c r="H36" s="135">
        <f t="shared" si="0"/>
        <v>138.88888888888889</v>
      </c>
      <c r="I36" s="287"/>
      <c r="J36" s="188"/>
      <c r="K36" s="241"/>
      <c r="L36" s="188"/>
      <c r="M36" s="822"/>
    </row>
    <row r="37" spans="2:13" ht="27" customHeight="1">
      <c r="B37" s="121">
        <v>715914</v>
      </c>
      <c r="C37" s="192" t="s">
        <v>246</v>
      </c>
      <c r="D37" s="548">
        <v>180</v>
      </c>
      <c r="E37" s="548">
        <v>180</v>
      </c>
      <c r="F37" s="548">
        <v>167</v>
      </c>
      <c r="G37" s="456">
        <v>250</v>
      </c>
      <c r="H37" s="127">
        <f t="shared" si="0"/>
        <v>138.88888888888889</v>
      </c>
      <c r="I37" s="241"/>
      <c r="K37" s="241"/>
    </row>
    <row r="38" spans="2:13" s="124" customFormat="1" ht="17.100000000000001" customHeight="1">
      <c r="B38" s="222">
        <v>716000</v>
      </c>
      <c r="C38" s="225" t="s">
        <v>163</v>
      </c>
      <c r="D38" s="224">
        <f>D39</f>
        <v>2139070</v>
      </c>
      <c r="E38" s="224">
        <f>E39</f>
        <v>2139070</v>
      </c>
      <c r="F38" s="224">
        <f>F39</f>
        <v>2247225</v>
      </c>
      <c r="G38" s="453">
        <f>G39</f>
        <v>2959430</v>
      </c>
      <c r="H38" s="205">
        <f t="shared" si="0"/>
        <v>138.35124610227808</v>
      </c>
      <c r="I38" s="287"/>
      <c r="J38" s="194"/>
      <c r="K38" s="837"/>
      <c r="L38" s="188"/>
      <c r="M38" s="822"/>
    </row>
    <row r="39" spans="2:13" s="124" customFormat="1" ht="15" customHeight="1">
      <c r="B39" s="125">
        <v>716100</v>
      </c>
      <c r="C39" s="191" t="s">
        <v>247</v>
      </c>
      <c r="D39" s="122">
        <f>SUM(D40:D46)</f>
        <v>2139070</v>
      </c>
      <c r="E39" s="122">
        <f>SUM(E40:E46)</f>
        <v>2139070</v>
      </c>
      <c r="F39" s="122">
        <f>SUM(F40:F46)</f>
        <v>2247225</v>
      </c>
      <c r="G39" s="454">
        <f>SUM(G40:G46)</f>
        <v>2959430</v>
      </c>
      <c r="H39" s="135">
        <f t="shared" si="0"/>
        <v>138.35124610227808</v>
      </c>
      <c r="I39" s="288"/>
      <c r="J39" s="193"/>
      <c r="K39" s="241"/>
      <c r="L39" s="188"/>
      <c r="M39" s="822"/>
    </row>
    <row r="40" spans="2:13" ht="15" customHeight="1">
      <c r="B40" s="121">
        <v>716111</v>
      </c>
      <c r="C40" s="189" t="s">
        <v>249</v>
      </c>
      <c r="D40" s="548">
        <v>1539160</v>
      </c>
      <c r="E40" s="548">
        <v>1539160</v>
      </c>
      <c r="F40" s="548">
        <v>1645647</v>
      </c>
      <c r="G40" s="456">
        <v>2198640</v>
      </c>
      <c r="H40" s="127">
        <f t="shared" si="0"/>
        <v>142.84674757660022</v>
      </c>
      <c r="I40" s="287"/>
      <c r="J40" s="554"/>
      <c r="K40" s="241"/>
    </row>
    <row r="41" spans="2:13" ht="15" customHeight="1">
      <c r="B41" s="121">
        <v>716112</v>
      </c>
      <c r="C41" s="189" t="s">
        <v>250</v>
      </c>
      <c r="D41" s="548">
        <v>61570</v>
      </c>
      <c r="E41" s="548">
        <v>61570</v>
      </c>
      <c r="F41" s="548">
        <v>74732</v>
      </c>
      <c r="G41" s="456">
        <v>95060</v>
      </c>
      <c r="H41" s="127">
        <f t="shared" si="0"/>
        <v>154.39337339613448</v>
      </c>
      <c r="I41" s="287"/>
      <c r="J41" s="554"/>
      <c r="K41" s="241"/>
      <c r="L41" s="241"/>
    </row>
    <row r="42" spans="2:13" ht="15" customHeight="1">
      <c r="B42" s="121">
        <v>716113</v>
      </c>
      <c r="C42" s="189" t="s">
        <v>251</v>
      </c>
      <c r="D42" s="548">
        <v>94650</v>
      </c>
      <c r="E42" s="548">
        <v>94650</v>
      </c>
      <c r="F42" s="548">
        <v>95543</v>
      </c>
      <c r="G42" s="456">
        <v>127980</v>
      </c>
      <c r="H42" s="127">
        <f t="shared" si="0"/>
        <v>135.21394611727416</v>
      </c>
      <c r="I42" s="287"/>
      <c r="J42" s="554"/>
      <c r="K42" s="241"/>
    </row>
    <row r="43" spans="2:13" ht="15" customHeight="1">
      <c r="B43" s="121">
        <v>716114</v>
      </c>
      <c r="C43" s="189" t="s">
        <v>252</v>
      </c>
      <c r="D43" s="548">
        <v>700</v>
      </c>
      <c r="E43" s="548">
        <v>700</v>
      </c>
      <c r="F43" s="548">
        <v>618</v>
      </c>
      <c r="G43" s="456">
        <v>660</v>
      </c>
      <c r="H43" s="127">
        <f t="shared" si="0"/>
        <v>94.285714285714278</v>
      </c>
      <c r="I43" s="287"/>
      <c r="J43" s="554"/>
      <c r="K43" s="241"/>
    </row>
    <row r="44" spans="2:13" ht="25.5" customHeight="1">
      <c r="B44" s="121">
        <v>716115</v>
      </c>
      <c r="C44" s="192" t="s">
        <v>253</v>
      </c>
      <c r="D44" s="548">
        <v>195000</v>
      </c>
      <c r="E44" s="548">
        <v>195000</v>
      </c>
      <c r="F44" s="548">
        <v>161445</v>
      </c>
      <c r="G44" s="456">
        <f>210420+1650</f>
        <v>212070</v>
      </c>
      <c r="H44" s="127">
        <f t="shared" si="0"/>
        <v>108.75384615384615</v>
      </c>
      <c r="I44" s="287"/>
      <c r="J44" s="554"/>
      <c r="K44" s="241"/>
    </row>
    <row r="45" spans="2:13" ht="15" customHeight="1">
      <c r="B45" s="121">
        <v>716116</v>
      </c>
      <c r="C45" s="189" t="s">
        <v>254</v>
      </c>
      <c r="D45" s="548">
        <v>151000</v>
      </c>
      <c r="E45" s="548">
        <v>151000</v>
      </c>
      <c r="F45" s="548">
        <v>141210</v>
      </c>
      <c r="G45" s="456">
        <v>189440</v>
      </c>
      <c r="H45" s="127">
        <f t="shared" si="0"/>
        <v>125.45695364238412</v>
      </c>
      <c r="I45" s="287"/>
      <c r="J45" s="554"/>
      <c r="K45" s="241"/>
    </row>
    <row r="46" spans="2:13" ht="15" customHeight="1">
      <c r="B46" s="121">
        <v>716117</v>
      </c>
      <c r="C46" s="189" t="s">
        <v>248</v>
      </c>
      <c r="D46" s="548">
        <v>96990</v>
      </c>
      <c r="E46" s="548">
        <v>96990</v>
      </c>
      <c r="F46" s="548">
        <v>128030</v>
      </c>
      <c r="G46" s="456">
        <v>135580</v>
      </c>
      <c r="H46" s="127">
        <f t="shared" si="0"/>
        <v>139.78760696979069</v>
      </c>
      <c r="I46" s="287"/>
      <c r="J46" s="554"/>
      <c r="K46" s="241"/>
    </row>
    <row r="47" spans="2:13" s="124" customFormat="1" ht="17.100000000000001" customHeight="1">
      <c r="B47" s="222">
        <v>717000</v>
      </c>
      <c r="C47" s="225" t="s">
        <v>164</v>
      </c>
      <c r="D47" s="224">
        <f>D48</f>
        <v>27855160</v>
      </c>
      <c r="E47" s="224">
        <f>E48</f>
        <v>27855160</v>
      </c>
      <c r="F47" s="224">
        <f>F48</f>
        <v>20635561</v>
      </c>
      <c r="G47" s="453">
        <f>G48</f>
        <v>26331400</v>
      </c>
      <c r="H47" s="205">
        <f t="shared" si="0"/>
        <v>94.529702934752478</v>
      </c>
      <c r="I47" s="287"/>
      <c r="J47" s="552"/>
      <c r="K47" s="241"/>
      <c r="L47" s="188"/>
      <c r="M47" s="822"/>
    </row>
    <row r="48" spans="2:13" s="124" customFormat="1" ht="15" customHeight="1">
      <c r="B48" s="125">
        <v>717100</v>
      </c>
      <c r="C48" s="191" t="s">
        <v>255</v>
      </c>
      <c r="D48" s="122">
        <f>D49+D52+D53</f>
        <v>27855160</v>
      </c>
      <c r="E48" s="122">
        <f t="shared" ref="E48:G48" si="2">E49+E52+E53</f>
        <v>27855160</v>
      </c>
      <c r="F48" s="122">
        <f t="shared" si="2"/>
        <v>20635561</v>
      </c>
      <c r="G48" s="454">
        <f t="shared" si="2"/>
        <v>26331400</v>
      </c>
      <c r="H48" s="135">
        <f t="shared" si="0"/>
        <v>94.529702934752478</v>
      </c>
      <c r="I48" s="287"/>
      <c r="J48" s="552"/>
      <c r="K48" s="241"/>
      <c r="L48" s="188"/>
      <c r="M48" s="822"/>
    </row>
    <row r="49" spans="1:13" ht="15" customHeight="1">
      <c r="B49" s="121">
        <v>717114</v>
      </c>
      <c r="C49" s="189" t="s">
        <v>548</v>
      </c>
      <c r="D49" s="548">
        <f>SUM(D50:D51)</f>
        <v>823760</v>
      </c>
      <c r="E49" s="548">
        <f t="shared" ref="E49:G49" si="3">SUM(E50:E51)</f>
        <v>823760</v>
      </c>
      <c r="F49" s="548">
        <f t="shared" si="3"/>
        <v>761694</v>
      </c>
      <c r="G49" s="456">
        <f t="shared" si="3"/>
        <v>823760</v>
      </c>
      <c r="H49" s="127">
        <f t="shared" si="0"/>
        <v>100</v>
      </c>
      <c r="I49" s="241"/>
      <c r="J49" s="554"/>
      <c r="K49" s="241"/>
    </row>
    <row r="50" spans="1:13" s="805" customFormat="1" ht="15" customHeight="1">
      <c r="B50" s="806"/>
      <c r="C50" s="807" t="s">
        <v>880</v>
      </c>
      <c r="D50" s="804">
        <v>549390</v>
      </c>
      <c r="E50" s="804">
        <v>549390</v>
      </c>
      <c r="F50" s="804">
        <v>549390</v>
      </c>
      <c r="G50" s="803">
        <v>549390</v>
      </c>
      <c r="H50" s="808">
        <f t="shared" si="0"/>
        <v>100</v>
      </c>
      <c r="I50" s="809"/>
      <c r="J50" s="810"/>
      <c r="K50" s="241"/>
      <c r="L50" s="811"/>
    </row>
    <row r="51" spans="1:13" s="805" customFormat="1" ht="15" customHeight="1">
      <c r="B51" s="806"/>
      <c r="C51" s="807" t="s">
        <v>878</v>
      </c>
      <c r="D51" s="804">
        <v>274370</v>
      </c>
      <c r="E51" s="804">
        <v>274370</v>
      </c>
      <c r="F51" s="804">
        <v>212304</v>
      </c>
      <c r="G51" s="803">
        <v>274370</v>
      </c>
      <c r="H51" s="808">
        <f t="shared" si="0"/>
        <v>100</v>
      </c>
      <c r="I51" s="809"/>
      <c r="J51" s="810"/>
      <c r="K51" s="241"/>
      <c r="L51" s="811"/>
    </row>
    <row r="52" spans="1:13" ht="15" customHeight="1">
      <c r="B52" s="121">
        <v>717121</v>
      </c>
      <c r="C52" s="189" t="s">
        <v>256</v>
      </c>
      <c r="D52" s="548">
        <v>25844280</v>
      </c>
      <c r="E52" s="548">
        <v>25844280</v>
      </c>
      <c r="F52" s="548">
        <v>18988512</v>
      </c>
      <c r="G52" s="456">
        <v>24361880</v>
      </c>
      <c r="H52" s="127">
        <f t="shared" si="0"/>
        <v>94.264107957350717</v>
      </c>
      <c r="I52" s="241"/>
      <c r="J52" s="554"/>
      <c r="K52" s="241"/>
    </row>
    <row r="53" spans="1:13" ht="15" customHeight="1">
      <c r="B53" s="121">
        <v>717131</v>
      </c>
      <c r="C53" s="189" t="s">
        <v>257</v>
      </c>
      <c r="D53" s="548">
        <f>D54+D55</f>
        <v>1187120</v>
      </c>
      <c r="E53" s="548">
        <f t="shared" ref="E53:G53" si="4">E54+E55</f>
        <v>1187120</v>
      </c>
      <c r="F53" s="548">
        <f t="shared" si="4"/>
        <v>885355</v>
      </c>
      <c r="G53" s="456">
        <f t="shared" si="4"/>
        <v>1145760</v>
      </c>
      <c r="H53" s="127">
        <f t="shared" si="0"/>
        <v>96.515937731653082</v>
      </c>
      <c r="I53" s="241"/>
      <c r="J53" s="552"/>
      <c r="K53" s="241"/>
    </row>
    <row r="54" spans="1:13" s="805" customFormat="1" ht="15" customHeight="1">
      <c r="B54" s="806"/>
      <c r="C54" s="807" t="s">
        <v>881</v>
      </c>
      <c r="D54" s="804">
        <v>465870</v>
      </c>
      <c r="E54" s="804">
        <v>465870</v>
      </c>
      <c r="F54" s="804">
        <v>355433</v>
      </c>
      <c r="G54" s="803">
        <f>355440+110440</f>
        <v>465880</v>
      </c>
      <c r="H54" s="808">
        <f t="shared" si="0"/>
        <v>100.00214652156181</v>
      </c>
      <c r="I54" s="809"/>
      <c r="J54" s="809"/>
      <c r="K54" s="241"/>
      <c r="L54" s="811"/>
    </row>
    <row r="55" spans="1:13" s="805" customFormat="1" ht="15" customHeight="1">
      <c r="B55" s="806"/>
      <c r="C55" s="807" t="s">
        <v>879</v>
      </c>
      <c r="D55" s="804">
        <v>721250</v>
      </c>
      <c r="E55" s="804">
        <v>721250</v>
      </c>
      <c r="F55" s="804">
        <v>529922</v>
      </c>
      <c r="G55" s="803">
        <v>679880</v>
      </c>
      <c r="H55" s="808">
        <f t="shared" si="0"/>
        <v>94.264124783362206</v>
      </c>
      <c r="I55" s="809"/>
      <c r="J55" s="809"/>
      <c r="K55" s="241"/>
      <c r="L55" s="811"/>
    </row>
    <row r="56" spans="1:13" s="124" customFormat="1" ht="17.100000000000001" customHeight="1">
      <c r="B56" s="222">
        <v>719000</v>
      </c>
      <c r="C56" s="225" t="s">
        <v>165</v>
      </c>
      <c r="D56" s="224">
        <f>D57</f>
        <v>90</v>
      </c>
      <c r="E56" s="224">
        <f>E57</f>
        <v>90</v>
      </c>
      <c r="F56" s="224">
        <f>F57</f>
        <v>43</v>
      </c>
      <c r="G56" s="453">
        <f>G57</f>
        <v>70</v>
      </c>
      <c r="H56" s="205">
        <f t="shared" si="0"/>
        <v>77.777777777777786</v>
      </c>
      <c r="I56" s="287"/>
      <c r="J56" s="553"/>
      <c r="K56" s="241"/>
      <c r="L56" s="188"/>
      <c r="M56" s="822"/>
    </row>
    <row r="57" spans="1:13" s="124" customFormat="1" ht="15" customHeight="1">
      <c r="B57" s="125">
        <v>719100</v>
      </c>
      <c r="C57" s="191" t="s">
        <v>258</v>
      </c>
      <c r="D57" s="122">
        <f>SUM(D58:D60)</f>
        <v>90</v>
      </c>
      <c r="E57" s="122">
        <f>SUM(E58:E60)</f>
        <v>90</v>
      </c>
      <c r="F57" s="122">
        <f>SUM(F58:F60)</f>
        <v>43</v>
      </c>
      <c r="G57" s="454">
        <f>SUM(G58:G60)</f>
        <v>70</v>
      </c>
      <c r="H57" s="135">
        <f t="shared" si="0"/>
        <v>77.777777777777786</v>
      </c>
      <c r="I57" s="287"/>
      <c r="J57" s="552"/>
      <c r="K57" s="241"/>
      <c r="L57" s="188"/>
      <c r="M57" s="822"/>
    </row>
    <row r="58" spans="1:13" ht="15" customHeight="1" thickBot="1">
      <c r="A58" s="164"/>
      <c r="B58" s="121">
        <v>719111</v>
      </c>
      <c r="C58" s="189" t="s">
        <v>258</v>
      </c>
      <c r="D58" s="688">
        <v>50</v>
      </c>
      <c r="E58" s="688">
        <v>50</v>
      </c>
      <c r="F58" s="688">
        <v>0</v>
      </c>
      <c r="G58" s="455">
        <v>10</v>
      </c>
      <c r="H58" s="127">
        <f t="shared" si="0"/>
        <v>20</v>
      </c>
      <c r="I58" s="241"/>
      <c r="J58" s="552"/>
      <c r="K58" s="241"/>
    </row>
    <row r="59" spans="1:13" ht="15" customHeight="1">
      <c r="B59" s="199">
        <v>719114</v>
      </c>
      <c r="C59" s="200" t="s">
        <v>259</v>
      </c>
      <c r="D59" s="549">
        <v>20</v>
      </c>
      <c r="E59" s="549">
        <v>20</v>
      </c>
      <c r="F59" s="549">
        <v>1</v>
      </c>
      <c r="G59" s="458">
        <v>10</v>
      </c>
      <c r="H59" s="206">
        <f t="shared" si="0"/>
        <v>50</v>
      </c>
      <c r="J59" s="552"/>
      <c r="K59" s="241"/>
    </row>
    <row r="60" spans="1:13" ht="25.5">
      <c r="B60" s="121">
        <v>719115</v>
      </c>
      <c r="C60" s="192" t="s">
        <v>260</v>
      </c>
      <c r="D60" s="548">
        <v>20</v>
      </c>
      <c r="E60" s="548">
        <v>20</v>
      </c>
      <c r="F60" s="548">
        <v>42</v>
      </c>
      <c r="G60" s="456">
        <v>50</v>
      </c>
      <c r="H60" s="130">
        <f t="shared" si="0"/>
        <v>250</v>
      </c>
      <c r="I60" s="289"/>
      <c r="J60" s="552"/>
      <c r="K60" s="241"/>
    </row>
    <row r="61" spans="1:13">
      <c r="B61" s="121"/>
      <c r="C61" s="23"/>
      <c r="D61" s="455"/>
      <c r="E61" s="455"/>
      <c r="F61" s="66"/>
      <c r="G61" s="455"/>
      <c r="H61" s="130" t="str">
        <f t="shared" si="0"/>
        <v/>
      </c>
      <c r="I61" s="289"/>
      <c r="J61" s="552"/>
      <c r="K61" s="241"/>
    </row>
    <row r="62" spans="1:13" ht="17.100000000000001" customHeight="1">
      <c r="B62" s="219">
        <v>720000</v>
      </c>
      <c r="C62" s="220" t="s">
        <v>160</v>
      </c>
      <c r="D62" s="452">
        <f>D63+D79+D156</f>
        <v>2642220</v>
      </c>
      <c r="E62" s="452">
        <f>E63+E79+E156</f>
        <v>2642220</v>
      </c>
      <c r="F62" s="452">
        <f>F63+F79+F156</f>
        <v>1957627</v>
      </c>
      <c r="G62" s="452">
        <f>G63+G79+G156</f>
        <v>2731240</v>
      </c>
      <c r="H62" s="204">
        <f t="shared" si="0"/>
        <v>103.36913655940837</v>
      </c>
      <c r="I62" s="290"/>
      <c r="J62" s="552"/>
      <c r="K62" s="241"/>
    </row>
    <row r="63" spans="1:13" ht="26.25">
      <c r="B63" s="222">
        <v>721000</v>
      </c>
      <c r="C63" s="226" t="s">
        <v>185</v>
      </c>
      <c r="D63" s="224">
        <f>D64+D68+D72+D75+D77</f>
        <v>115660</v>
      </c>
      <c r="E63" s="224">
        <f>E64+E68+E72+E75+E77</f>
        <v>115660</v>
      </c>
      <c r="F63" s="224">
        <f>F64+F68+F72+F75+F77</f>
        <v>52588</v>
      </c>
      <c r="G63" s="453">
        <f>G64+G68+G72+G75+G77</f>
        <v>108870</v>
      </c>
      <c r="H63" s="205">
        <f t="shared" si="0"/>
        <v>94.129344630814458</v>
      </c>
      <c r="J63" s="552"/>
      <c r="K63" s="241"/>
    </row>
    <row r="64" spans="1:13" ht="15" customHeight="1">
      <c r="B64" s="125">
        <v>721100</v>
      </c>
      <c r="C64" s="191" t="s">
        <v>261</v>
      </c>
      <c r="D64" s="122">
        <f>SUM(D65:D67)</f>
        <v>105100</v>
      </c>
      <c r="E64" s="122">
        <f t="shared" ref="E64:G64" si="5">SUM(E65:E67)</f>
        <v>105100</v>
      </c>
      <c r="F64" s="122">
        <f t="shared" si="5"/>
        <v>42655</v>
      </c>
      <c r="G64" s="454">
        <f t="shared" si="5"/>
        <v>97730</v>
      </c>
      <c r="H64" s="243">
        <f t="shared" si="0"/>
        <v>92.987630827783065</v>
      </c>
      <c r="J64" s="552"/>
      <c r="K64" s="241"/>
    </row>
    <row r="65" spans="2:12" ht="15" customHeight="1">
      <c r="B65" s="121">
        <v>721112</v>
      </c>
      <c r="C65" s="189" t="s">
        <v>262</v>
      </c>
      <c r="D65" s="548">
        <v>50</v>
      </c>
      <c r="E65" s="548">
        <v>50</v>
      </c>
      <c r="F65" s="548">
        <v>97</v>
      </c>
      <c r="G65" s="456">
        <v>110</v>
      </c>
      <c r="H65" s="130">
        <f t="shared" si="0"/>
        <v>220.00000000000003</v>
      </c>
      <c r="I65" s="291"/>
      <c r="J65" s="552"/>
      <c r="K65" s="241"/>
    </row>
    <row r="66" spans="2:12" ht="15" customHeight="1">
      <c r="B66" s="121">
        <v>721121</v>
      </c>
      <c r="C66" s="189" t="s">
        <v>684</v>
      </c>
      <c r="D66" s="548">
        <v>105000</v>
      </c>
      <c r="E66" s="548">
        <v>105000</v>
      </c>
      <c r="F66" s="548">
        <v>42508</v>
      </c>
      <c r="G66" s="456">
        <f>105000-7430</f>
        <v>97570</v>
      </c>
      <c r="H66" s="216">
        <f t="shared" si="0"/>
        <v>92.923809523809524</v>
      </c>
      <c r="I66" s="551"/>
      <c r="J66" s="552"/>
      <c r="K66" s="241"/>
    </row>
    <row r="67" spans="2:12" ht="15" customHeight="1">
      <c r="B67" s="121">
        <v>721123</v>
      </c>
      <c r="C67" s="189" t="s">
        <v>870</v>
      </c>
      <c r="D67" s="548">
        <v>50</v>
      </c>
      <c r="E67" s="548">
        <v>50</v>
      </c>
      <c r="F67" s="548">
        <v>50</v>
      </c>
      <c r="G67" s="456">
        <v>50</v>
      </c>
      <c r="H67" s="216">
        <f t="shared" si="0"/>
        <v>100</v>
      </c>
      <c r="I67" s="551"/>
      <c r="J67" s="552"/>
      <c r="K67" s="241"/>
    </row>
    <row r="68" spans="2:12" ht="15" customHeight="1">
      <c r="B68" s="132">
        <v>721200</v>
      </c>
      <c r="C68" s="191" t="s">
        <v>263</v>
      </c>
      <c r="D68" s="122">
        <f>SUM(D69:D71)</f>
        <v>10500</v>
      </c>
      <c r="E68" s="122">
        <f>SUM(E69:E71)</f>
        <v>10500</v>
      </c>
      <c r="F68" s="122">
        <f>SUM(F69:F71)</f>
        <v>9829</v>
      </c>
      <c r="G68" s="454">
        <f>SUM(G69:G71)</f>
        <v>11010</v>
      </c>
      <c r="H68" s="123">
        <f t="shared" si="0"/>
        <v>104.85714285714285</v>
      </c>
      <c r="J68" s="552"/>
      <c r="K68" s="241"/>
    </row>
    <row r="69" spans="2:12" ht="15" customHeight="1">
      <c r="B69" s="133">
        <v>721211</v>
      </c>
      <c r="C69" s="189" t="s">
        <v>264</v>
      </c>
      <c r="D69" s="688">
        <v>370</v>
      </c>
      <c r="E69" s="688">
        <v>370</v>
      </c>
      <c r="F69" s="688">
        <v>317</v>
      </c>
      <c r="G69" s="456">
        <v>450</v>
      </c>
      <c r="H69" s="130">
        <f t="shared" si="0"/>
        <v>121.62162162162163</v>
      </c>
      <c r="J69" s="552"/>
      <c r="K69" s="241"/>
    </row>
    <row r="70" spans="2:12" ht="15" customHeight="1">
      <c r="B70" s="133">
        <v>721225</v>
      </c>
      <c r="C70" s="189" t="s">
        <v>530</v>
      </c>
      <c r="D70" s="548">
        <v>8010</v>
      </c>
      <c r="E70" s="548">
        <v>8010</v>
      </c>
      <c r="F70" s="548">
        <v>8006</v>
      </c>
      <c r="G70" s="456">
        <v>8010</v>
      </c>
      <c r="H70" s="130">
        <f t="shared" ref="H70:H142" si="6">IF(E70=0,"",G70/E70*100)</f>
        <v>100</v>
      </c>
      <c r="J70" s="552"/>
      <c r="K70" s="241"/>
    </row>
    <row r="71" spans="2:12" ht="15" customHeight="1">
      <c r="B71" s="133">
        <v>721227</v>
      </c>
      <c r="C71" s="189" t="s">
        <v>549</v>
      </c>
      <c r="D71" s="548">
        <v>2120</v>
      </c>
      <c r="E71" s="548">
        <v>2120</v>
      </c>
      <c r="F71" s="548">
        <v>1506</v>
      </c>
      <c r="G71" s="456">
        <v>2550</v>
      </c>
      <c r="H71" s="130">
        <f t="shared" si="6"/>
        <v>120.28301886792451</v>
      </c>
      <c r="J71" s="552"/>
      <c r="K71" s="241"/>
    </row>
    <row r="72" spans="2:12" ht="15" customHeight="1">
      <c r="B72" s="132">
        <v>721300</v>
      </c>
      <c r="C72" s="191" t="s">
        <v>265</v>
      </c>
      <c r="D72" s="122">
        <f>SUM(D73:D74)</f>
        <v>0</v>
      </c>
      <c r="E72" s="122">
        <f>SUM(E73:E74)</f>
        <v>0</v>
      </c>
      <c r="F72" s="122">
        <f>SUM(F73:F74)</f>
        <v>0</v>
      </c>
      <c r="G72" s="454">
        <f>SUM(G73:G74)</f>
        <v>0</v>
      </c>
      <c r="H72" s="123" t="str">
        <f t="shared" si="6"/>
        <v/>
      </c>
      <c r="J72" s="552"/>
      <c r="K72" s="241"/>
    </row>
    <row r="73" spans="2:12" ht="15" customHeight="1">
      <c r="B73" s="133">
        <v>721311</v>
      </c>
      <c r="C73" s="189" t="s">
        <v>700</v>
      </c>
      <c r="D73" s="688">
        <v>0</v>
      </c>
      <c r="E73" s="688">
        <v>0</v>
      </c>
      <c r="F73" s="688">
        <v>0</v>
      </c>
      <c r="G73" s="455">
        <v>0</v>
      </c>
      <c r="H73" s="130" t="str">
        <f t="shared" si="6"/>
        <v/>
      </c>
      <c r="J73" s="552"/>
      <c r="K73" s="241"/>
    </row>
    <row r="74" spans="2:12" ht="15" customHeight="1">
      <c r="B74" s="133">
        <v>721312</v>
      </c>
      <c r="C74" s="189" t="s">
        <v>266</v>
      </c>
      <c r="D74" s="688">
        <v>0</v>
      </c>
      <c r="E74" s="688">
        <v>0</v>
      </c>
      <c r="F74" s="688">
        <v>0</v>
      </c>
      <c r="G74" s="455">
        <v>0</v>
      </c>
      <c r="H74" s="130" t="str">
        <f t="shared" si="6"/>
        <v/>
      </c>
      <c r="J74" s="552"/>
      <c r="K74" s="241"/>
    </row>
    <row r="75" spans="2:12" ht="15" customHeight="1">
      <c r="B75" s="132">
        <v>721500</v>
      </c>
      <c r="C75" s="191" t="s">
        <v>267</v>
      </c>
      <c r="D75" s="122">
        <f>D76</f>
        <v>60</v>
      </c>
      <c r="E75" s="122">
        <f>E76</f>
        <v>60</v>
      </c>
      <c r="F75" s="122">
        <f>F76</f>
        <v>77</v>
      </c>
      <c r="G75" s="454">
        <f>G76</f>
        <v>100</v>
      </c>
      <c r="H75" s="123">
        <f t="shared" si="6"/>
        <v>166.66666666666669</v>
      </c>
      <c r="J75" s="552"/>
      <c r="K75" s="241"/>
    </row>
    <row r="76" spans="2:12" ht="15" customHeight="1">
      <c r="B76" s="133">
        <v>721511</v>
      </c>
      <c r="C76" s="189" t="s">
        <v>267</v>
      </c>
      <c r="D76" s="688">
        <v>60</v>
      </c>
      <c r="E76" s="688">
        <v>60</v>
      </c>
      <c r="F76" s="688">
        <v>77</v>
      </c>
      <c r="G76" s="455">
        <v>100</v>
      </c>
      <c r="H76" s="130">
        <f t="shared" si="6"/>
        <v>166.66666666666669</v>
      </c>
      <c r="J76" s="552"/>
      <c r="K76" s="241"/>
    </row>
    <row r="77" spans="2:12" s="826" customFormat="1" ht="15" customHeight="1">
      <c r="B77" s="132">
        <v>721700</v>
      </c>
      <c r="C77" s="191" t="s">
        <v>906</v>
      </c>
      <c r="D77" s="122">
        <f>D78</f>
        <v>0</v>
      </c>
      <c r="E77" s="122">
        <f>E78</f>
        <v>0</v>
      </c>
      <c r="F77" s="122">
        <f>F78</f>
        <v>27</v>
      </c>
      <c r="G77" s="454">
        <f>G78</f>
        <v>30</v>
      </c>
      <c r="H77" s="123" t="str">
        <f t="shared" ref="H77:H78" si="7">IF(E77=0,"",G77/E77*100)</f>
        <v/>
      </c>
      <c r="I77" s="185"/>
      <c r="J77" s="552"/>
      <c r="K77" s="241"/>
      <c r="L77" s="185"/>
    </row>
    <row r="78" spans="2:12" s="826" customFormat="1" ht="15" customHeight="1">
      <c r="B78" s="133">
        <v>721712</v>
      </c>
      <c r="C78" s="189" t="s">
        <v>907</v>
      </c>
      <c r="D78" s="688">
        <v>0</v>
      </c>
      <c r="E78" s="688">
        <v>0</v>
      </c>
      <c r="F78" s="688">
        <v>27</v>
      </c>
      <c r="G78" s="455">
        <v>30</v>
      </c>
      <c r="H78" s="130" t="str">
        <f t="shared" si="7"/>
        <v/>
      </c>
      <c r="I78" s="185"/>
      <c r="J78" s="552"/>
      <c r="K78" s="241"/>
      <c r="L78" s="185"/>
    </row>
    <row r="79" spans="2:12" ht="15">
      <c r="B79" s="222">
        <v>722000</v>
      </c>
      <c r="C79" s="223" t="s">
        <v>330</v>
      </c>
      <c r="D79" s="227">
        <f>D80+D82+D84+D101+D143+D151</f>
        <v>2059260</v>
      </c>
      <c r="E79" s="227">
        <f>E80+E82+E84+E101+E143+E151</f>
        <v>2059260</v>
      </c>
      <c r="F79" s="227">
        <f>F80+F82+F84+F101+F143+F151</f>
        <v>1521919</v>
      </c>
      <c r="G79" s="452">
        <f>G80+G82+G84+G101+G143+G151</f>
        <v>2100400</v>
      </c>
      <c r="H79" s="205">
        <f t="shared" si="6"/>
        <v>101.99780503676077</v>
      </c>
      <c r="J79" s="552"/>
      <c r="K79" s="241"/>
    </row>
    <row r="80" spans="2:12" ht="15" customHeight="1">
      <c r="B80" s="125">
        <v>722100</v>
      </c>
      <c r="C80" s="140" t="s">
        <v>268</v>
      </c>
      <c r="D80" s="138">
        <f>D81</f>
        <v>84000</v>
      </c>
      <c r="E80" s="138">
        <f>E81</f>
        <v>84000</v>
      </c>
      <c r="F80" s="138">
        <f>F81</f>
        <v>70210</v>
      </c>
      <c r="G80" s="457">
        <f>G81</f>
        <v>99980</v>
      </c>
      <c r="H80" s="123">
        <f t="shared" si="6"/>
        <v>119.02380952380953</v>
      </c>
      <c r="J80" s="552"/>
      <c r="K80" s="241"/>
    </row>
    <row r="81" spans="2:15" ht="15" customHeight="1">
      <c r="B81" s="128">
        <v>722121</v>
      </c>
      <c r="C81" s="195" t="s">
        <v>269</v>
      </c>
      <c r="D81" s="548">
        <v>84000</v>
      </c>
      <c r="E81" s="548">
        <v>84000</v>
      </c>
      <c r="F81" s="548">
        <v>70210</v>
      </c>
      <c r="G81" s="456">
        <v>99980</v>
      </c>
      <c r="H81" s="130">
        <f t="shared" si="6"/>
        <v>119.02380952380953</v>
      </c>
      <c r="J81" s="552"/>
      <c r="K81" s="241"/>
    </row>
    <row r="82" spans="2:15" ht="15" customHeight="1">
      <c r="B82" s="125">
        <v>722200</v>
      </c>
      <c r="C82" s="140" t="s">
        <v>270</v>
      </c>
      <c r="D82" s="138">
        <f>D83</f>
        <v>276280</v>
      </c>
      <c r="E82" s="138">
        <f>E83</f>
        <v>276280</v>
      </c>
      <c r="F82" s="138">
        <f>F83</f>
        <v>283190</v>
      </c>
      <c r="G82" s="457">
        <f>G83</f>
        <v>403760</v>
      </c>
      <c r="H82" s="123">
        <f t="shared" si="6"/>
        <v>146.14159548284348</v>
      </c>
      <c r="J82" s="552"/>
      <c r="K82" s="241"/>
      <c r="L82" s="292"/>
    </row>
    <row r="83" spans="2:15" ht="15" customHeight="1">
      <c r="B83" s="128">
        <v>722221</v>
      </c>
      <c r="C83" s="195" t="s">
        <v>271</v>
      </c>
      <c r="D83" s="548">
        <v>276280</v>
      </c>
      <c r="E83" s="548">
        <v>276280</v>
      </c>
      <c r="F83" s="548">
        <v>283190</v>
      </c>
      <c r="G83" s="456">
        <v>403760</v>
      </c>
      <c r="H83" s="130">
        <f t="shared" si="6"/>
        <v>146.14159548284348</v>
      </c>
      <c r="J83" s="552"/>
      <c r="K83" s="241"/>
    </row>
    <row r="84" spans="2:15" ht="15" customHeight="1">
      <c r="B84" s="125">
        <v>722400</v>
      </c>
      <c r="C84" s="140" t="s">
        <v>272</v>
      </c>
      <c r="D84" s="138">
        <f>D85+D92+D95</f>
        <v>192560</v>
      </c>
      <c r="E84" s="138">
        <f>E85+E92+E95</f>
        <v>192560</v>
      </c>
      <c r="F84" s="138">
        <f>F85+F92+F95</f>
        <v>143247</v>
      </c>
      <c r="G84" s="457">
        <f>G85+G92+G95</f>
        <v>260870</v>
      </c>
      <c r="H84" s="123">
        <f t="shared" si="6"/>
        <v>135.47465724968842</v>
      </c>
      <c r="J84" s="552"/>
      <c r="K84" s="241"/>
      <c r="O84" s="74"/>
    </row>
    <row r="85" spans="2:15" ht="15" customHeight="1">
      <c r="B85" s="141">
        <v>722420</v>
      </c>
      <c r="C85" s="196" t="s">
        <v>273</v>
      </c>
      <c r="D85" s="129">
        <f>D86+D87+D90+D91</f>
        <v>42860</v>
      </c>
      <c r="E85" s="129">
        <f>E86+E87+E90+E91</f>
        <v>42860</v>
      </c>
      <c r="F85" s="129">
        <f>F86+F87+F90+F91</f>
        <v>41135</v>
      </c>
      <c r="G85" s="459">
        <f>G86+G87+G90+G91</f>
        <v>111070</v>
      </c>
      <c r="H85" s="123">
        <f t="shared" si="6"/>
        <v>259.14605692953802</v>
      </c>
      <c r="J85" s="552"/>
      <c r="K85" s="241"/>
    </row>
    <row r="86" spans="2:15" ht="15" customHeight="1">
      <c r="B86" s="128">
        <v>722421</v>
      </c>
      <c r="C86" s="195" t="s">
        <v>273</v>
      </c>
      <c r="D86" s="548">
        <v>20</v>
      </c>
      <c r="E86" s="548">
        <v>20</v>
      </c>
      <c r="F86" s="548">
        <v>0</v>
      </c>
      <c r="G86" s="456">
        <v>10</v>
      </c>
      <c r="H86" s="130">
        <f>IF(E86=0,"",G86/E86*100)</f>
        <v>50</v>
      </c>
      <c r="J86" s="552"/>
      <c r="K86" s="241"/>
    </row>
    <row r="87" spans="2:15" ht="15" customHeight="1">
      <c r="B87" s="128">
        <v>722422</v>
      </c>
      <c r="C87" s="195" t="s">
        <v>337</v>
      </c>
      <c r="D87" s="548">
        <f t="shared" ref="D87:F87" si="8">SUM(D88:D89)</f>
        <v>37950</v>
      </c>
      <c r="E87" s="548">
        <f t="shared" si="8"/>
        <v>37950</v>
      </c>
      <c r="F87" s="548">
        <f t="shared" si="8"/>
        <v>34524</v>
      </c>
      <c r="G87" s="456">
        <f>SUM(G88:G89)</f>
        <v>102430</v>
      </c>
      <c r="H87" s="130">
        <f t="shared" si="6"/>
        <v>269.90777338603425</v>
      </c>
      <c r="J87" s="552"/>
      <c r="K87" s="241"/>
    </row>
    <row r="88" spans="2:15" s="805" customFormat="1" ht="15" customHeight="1">
      <c r="B88" s="806"/>
      <c r="C88" s="812" t="s">
        <v>883</v>
      </c>
      <c r="D88" s="804">
        <v>7330</v>
      </c>
      <c r="E88" s="804">
        <v>7330</v>
      </c>
      <c r="F88" s="804">
        <v>0</v>
      </c>
      <c r="G88" s="803">
        <v>7340</v>
      </c>
      <c r="H88" s="813">
        <f t="shared" si="6"/>
        <v>100.13642564802183</v>
      </c>
      <c r="I88" s="811"/>
      <c r="J88" s="809"/>
      <c r="K88" s="241"/>
      <c r="L88" s="811"/>
    </row>
    <row r="89" spans="2:15" s="805" customFormat="1" ht="15" customHeight="1">
      <c r="B89" s="806"/>
      <c r="C89" s="812" t="s">
        <v>876</v>
      </c>
      <c r="D89" s="804">
        <v>30620</v>
      </c>
      <c r="E89" s="804">
        <v>30620</v>
      </c>
      <c r="F89" s="804">
        <v>34524</v>
      </c>
      <c r="G89" s="803">
        <v>95090</v>
      </c>
      <c r="H89" s="813">
        <f t="shared" si="6"/>
        <v>310.5486610058785</v>
      </c>
      <c r="I89" s="811"/>
      <c r="J89" s="809"/>
      <c r="K89" s="241"/>
      <c r="L89" s="811"/>
    </row>
    <row r="90" spans="2:15" ht="15" customHeight="1">
      <c r="B90" s="128">
        <v>722424</v>
      </c>
      <c r="C90" s="195" t="s">
        <v>276</v>
      </c>
      <c r="D90" s="548">
        <v>4860</v>
      </c>
      <c r="E90" s="548">
        <v>4860</v>
      </c>
      <c r="F90" s="548">
        <v>5609</v>
      </c>
      <c r="G90" s="456">
        <v>7520</v>
      </c>
      <c r="H90" s="130">
        <f t="shared" si="6"/>
        <v>154.73251028806584</v>
      </c>
      <c r="J90" s="552"/>
      <c r="K90" s="241"/>
    </row>
    <row r="91" spans="2:15" ht="15" customHeight="1">
      <c r="B91" s="128">
        <v>722429</v>
      </c>
      <c r="C91" s="195" t="s">
        <v>274</v>
      </c>
      <c r="D91" s="548">
        <v>30</v>
      </c>
      <c r="E91" s="548">
        <v>30</v>
      </c>
      <c r="F91" s="548">
        <v>1002</v>
      </c>
      <c r="G91" s="456">
        <v>1110</v>
      </c>
      <c r="H91" s="130">
        <f t="shared" si="6"/>
        <v>3700</v>
      </c>
      <c r="J91" s="552"/>
      <c r="K91" s="241"/>
    </row>
    <row r="92" spans="2:15" ht="15" customHeight="1">
      <c r="B92" s="139">
        <v>722450</v>
      </c>
      <c r="C92" s="196" t="s">
        <v>275</v>
      </c>
      <c r="D92" s="129">
        <f>SUM(D93:D94)</f>
        <v>2540</v>
      </c>
      <c r="E92" s="129">
        <f>SUM(E93:E94)</f>
        <v>2540</v>
      </c>
      <c r="F92" s="129">
        <f>SUM(F93:F94)</f>
        <v>1028</v>
      </c>
      <c r="G92" s="459">
        <f>SUM(G93:G94)</f>
        <v>1170</v>
      </c>
      <c r="H92" s="123">
        <f t="shared" si="6"/>
        <v>46.062992125984252</v>
      </c>
      <c r="J92" s="552"/>
      <c r="K92" s="241"/>
    </row>
    <row r="93" spans="2:15" ht="15" customHeight="1">
      <c r="B93" s="128">
        <v>722451</v>
      </c>
      <c r="C93" s="195" t="s">
        <v>277</v>
      </c>
      <c r="D93" s="548">
        <v>1390</v>
      </c>
      <c r="E93" s="548">
        <v>1390</v>
      </c>
      <c r="F93" s="548">
        <v>1028</v>
      </c>
      <c r="G93" s="456">
        <v>1170</v>
      </c>
      <c r="H93" s="130">
        <f t="shared" si="6"/>
        <v>84.172661870503589</v>
      </c>
      <c r="J93" s="552"/>
      <c r="K93" s="241"/>
    </row>
    <row r="94" spans="2:15" ht="15" customHeight="1">
      <c r="B94" s="128">
        <v>722454</v>
      </c>
      <c r="C94" s="195" t="s">
        <v>278</v>
      </c>
      <c r="D94" s="548">
        <v>1150</v>
      </c>
      <c r="E94" s="548">
        <v>1150</v>
      </c>
      <c r="F94" s="548">
        <v>0</v>
      </c>
      <c r="G94" s="456">
        <v>0</v>
      </c>
      <c r="H94" s="130">
        <f t="shared" si="6"/>
        <v>0</v>
      </c>
      <c r="I94" s="551"/>
      <c r="J94" s="552"/>
      <c r="K94" s="241"/>
    </row>
    <row r="95" spans="2:15" ht="25.5">
      <c r="B95" s="139">
        <v>722470</v>
      </c>
      <c r="C95" s="198" t="s">
        <v>331</v>
      </c>
      <c r="D95" s="129">
        <f>D96+D99+D100</f>
        <v>147160</v>
      </c>
      <c r="E95" s="129">
        <f>E96+E99+E100</f>
        <v>147160</v>
      </c>
      <c r="F95" s="129">
        <f>F96+F99+F100</f>
        <v>101084</v>
      </c>
      <c r="G95" s="459">
        <f>G96+G99+G100</f>
        <v>148630</v>
      </c>
      <c r="H95" s="123">
        <f t="shared" si="6"/>
        <v>100.99891274802934</v>
      </c>
      <c r="J95" s="552"/>
      <c r="K95" s="241"/>
    </row>
    <row r="96" spans="2:15" ht="15" customHeight="1">
      <c r="B96" s="128">
        <v>722471</v>
      </c>
      <c r="C96" s="195" t="s">
        <v>279</v>
      </c>
      <c r="D96" s="548">
        <f>D97+D98</f>
        <v>116030</v>
      </c>
      <c r="E96" s="548">
        <f t="shared" ref="E96:G96" si="9">E97+E98</f>
        <v>116030</v>
      </c>
      <c r="F96" s="548">
        <f t="shared" si="9"/>
        <v>75322</v>
      </c>
      <c r="G96" s="456">
        <f t="shared" si="9"/>
        <v>114590</v>
      </c>
      <c r="H96" s="130">
        <f t="shared" si="6"/>
        <v>98.75894165302077</v>
      </c>
      <c r="J96" s="552"/>
      <c r="K96" s="241"/>
    </row>
    <row r="97" spans="2:12" s="805" customFormat="1" ht="15" customHeight="1">
      <c r="B97" s="806"/>
      <c r="C97" s="812" t="s">
        <v>882</v>
      </c>
      <c r="D97" s="804">
        <v>0</v>
      </c>
      <c r="E97" s="804">
        <v>0</v>
      </c>
      <c r="F97" s="804">
        <v>0</v>
      </c>
      <c r="G97" s="803">
        <v>17750</v>
      </c>
      <c r="H97" s="813" t="str">
        <f t="shared" si="6"/>
        <v/>
      </c>
      <c r="I97" s="811"/>
      <c r="J97" s="809"/>
      <c r="K97" s="241"/>
      <c r="L97" s="811"/>
    </row>
    <row r="98" spans="2:12" s="805" customFormat="1" ht="15" customHeight="1">
      <c r="B98" s="806"/>
      <c r="C98" s="812" t="s">
        <v>877</v>
      </c>
      <c r="D98" s="804">
        <v>116030</v>
      </c>
      <c r="E98" s="804">
        <v>116030</v>
      </c>
      <c r="F98" s="804">
        <v>75322</v>
      </c>
      <c r="G98" s="803">
        <v>96840</v>
      </c>
      <c r="H98" s="813">
        <f t="shared" si="6"/>
        <v>83.46117383435319</v>
      </c>
      <c r="I98" s="811"/>
      <c r="J98" s="809"/>
      <c r="K98" s="241"/>
      <c r="L98" s="811"/>
    </row>
    <row r="99" spans="2:12" ht="25.5">
      <c r="B99" s="128">
        <v>722472</v>
      </c>
      <c r="C99" s="197" t="s">
        <v>280</v>
      </c>
      <c r="D99" s="548">
        <v>30630</v>
      </c>
      <c r="E99" s="548">
        <v>30630</v>
      </c>
      <c r="F99" s="548">
        <v>25622</v>
      </c>
      <c r="G99" s="456">
        <v>33880</v>
      </c>
      <c r="H99" s="130">
        <f t="shared" si="6"/>
        <v>110.61051256937643</v>
      </c>
      <c r="J99" s="552"/>
      <c r="K99" s="241"/>
    </row>
    <row r="100" spans="2:12" ht="17.100000000000001" customHeight="1">
      <c r="B100" s="128">
        <v>722479</v>
      </c>
      <c r="C100" s="197" t="s">
        <v>531</v>
      </c>
      <c r="D100" s="548">
        <v>500</v>
      </c>
      <c r="E100" s="548">
        <v>500</v>
      </c>
      <c r="F100" s="548">
        <v>140</v>
      </c>
      <c r="G100" s="456">
        <v>160</v>
      </c>
      <c r="H100" s="130">
        <f t="shared" si="6"/>
        <v>32</v>
      </c>
      <c r="J100" s="552"/>
      <c r="K100" s="241"/>
    </row>
    <row r="101" spans="2:12" ht="17.100000000000001" customHeight="1">
      <c r="B101" s="125">
        <v>722500</v>
      </c>
      <c r="C101" s="50" t="s">
        <v>539</v>
      </c>
      <c r="D101" s="138">
        <f>D102+D107+D118+D123+D125+D135</f>
        <v>1254610</v>
      </c>
      <c r="E101" s="138">
        <f>E102+E107+E118+E123+E125+E135</f>
        <v>1254610</v>
      </c>
      <c r="F101" s="138">
        <f>F102+F107+F118+F123+F125+F135</f>
        <v>744243</v>
      </c>
      <c r="G101" s="457">
        <f>G102+G107+G118+G123+G125+G135</f>
        <v>945120</v>
      </c>
      <c r="H101" s="123">
        <f t="shared" si="6"/>
        <v>75.331776408605066</v>
      </c>
      <c r="J101" s="552"/>
      <c r="K101" s="241"/>
    </row>
    <row r="102" spans="2:12" ht="27" customHeight="1">
      <c r="B102" s="139">
        <v>722510</v>
      </c>
      <c r="C102" s="143" t="s">
        <v>332</v>
      </c>
      <c r="D102" s="129">
        <f t="shared" ref="D102:E102" si="10">SUM(D103:D106)</f>
        <v>8250</v>
      </c>
      <c r="E102" s="129">
        <f t="shared" si="10"/>
        <v>8250</v>
      </c>
      <c r="F102" s="129">
        <f t="shared" ref="F102:G102" si="11">SUM(F103:F106)</f>
        <v>7405</v>
      </c>
      <c r="G102" s="459">
        <f t="shared" si="11"/>
        <v>11150</v>
      </c>
      <c r="H102" s="123">
        <f t="shared" si="6"/>
        <v>135.15151515151516</v>
      </c>
      <c r="J102" s="552"/>
      <c r="K102" s="241"/>
    </row>
    <row r="103" spans="2:12" ht="25.5">
      <c r="B103" s="121">
        <v>722511</v>
      </c>
      <c r="C103" s="82" t="s">
        <v>550</v>
      </c>
      <c r="D103" s="548">
        <v>100</v>
      </c>
      <c r="E103" s="548">
        <v>100</v>
      </c>
      <c r="F103" s="548">
        <v>60</v>
      </c>
      <c r="G103" s="456">
        <v>70</v>
      </c>
      <c r="H103" s="130">
        <f t="shared" si="6"/>
        <v>70</v>
      </c>
      <c r="J103" s="552"/>
      <c r="K103" s="241"/>
    </row>
    <row r="104" spans="2:12" ht="25.5">
      <c r="B104" s="121">
        <v>722514</v>
      </c>
      <c r="C104" s="82" t="s">
        <v>295</v>
      </c>
      <c r="D104" s="548">
        <v>1390</v>
      </c>
      <c r="E104" s="548">
        <v>1390</v>
      </c>
      <c r="F104" s="548">
        <v>2128</v>
      </c>
      <c r="G104" s="456">
        <v>2550</v>
      </c>
      <c r="H104" s="130">
        <f t="shared" si="6"/>
        <v>183.45323741007192</v>
      </c>
      <c r="J104" s="552"/>
      <c r="K104" s="241"/>
    </row>
    <row r="105" spans="2:12" ht="15" customHeight="1">
      <c r="B105" s="121">
        <v>722515</v>
      </c>
      <c r="C105" s="83" t="s">
        <v>281</v>
      </c>
      <c r="D105" s="548">
        <v>6700</v>
      </c>
      <c r="E105" s="548">
        <v>6700</v>
      </c>
      <c r="F105" s="548">
        <v>5181</v>
      </c>
      <c r="G105" s="456">
        <v>8480</v>
      </c>
      <c r="H105" s="130">
        <f t="shared" si="6"/>
        <v>126.56716417910448</v>
      </c>
      <c r="J105" s="552"/>
      <c r="K105" s="241"/>
    </row>
    <row r="106" spans="2:12" ht="15" customHeight="1">
      <c r="B106" s="121">
        <v>722516</v>
      </c>
      <c r="C106" s="83" t="s">
        <v>282</v>
      </c>
      <c r="D106" s="548">
        <v>60</v>
      </c>
      <c r="E106" s="548">
        <v>60</v>
      </c>
      <c r="F106" s="548">
        <v>36</v>
      </c>
      <c r="G106" s="456">
        <v>50</v>
      </c>
      <c r="H106" s="130">
        <f t="shared" si="6"/>
        <v>83.333333333333343</v>
      </c>
      <c r="J106" s="552"/>
      <c r="K106" s="241"/>
    </row>
    <row r="107" spans="2:12" ht="15" customHeight="1">
      <c r="B107" s="139">
        <v>722520</v>
      </c>
      <c r="C107" s="144" t="s">
        <v>283</v>
      </c>
      <c r="D107" s="129">
        <f>D108+D110+D111+D112+D113+D114+D115+D116+D117</f>
        <v>180000</v>
      </c>
      <c r="E107" s="129">
        <f>E108+E110+E111+E112+E113+E114+E115+E116+E117</f>
        <v>180000</v>
      </c>
      <c r="F107" s="129">
        <f>F108+F110+F111+F112+F113+F114+F115+F116+F117</f>
        <v>207486</v>
      </c>
      <c r="G107" s="459">
        <f>G108+G110+G111+G112+G113+G114+G115+G116+G117</f>
        <v>180000</v>
      </c>
      <c r="H107" s="123">
        <f t="shared" si="6"/>
        <v>100</v>
      </c>
      <c r="J107" s="552"/>
      <c r="K107" s="241"/>
    </row>
    <row r="108" spans="2:12" ht="25.5">
      <c r="B108" s="121">
        <v>722521</v>
      </c>
      <c r="C108" s="82" t="s">
        <v>296</v>
      </c>
      <c r="D108" s="548">
        <f>D109</f>
        <v>40190</v>
      </c>
      <c r="E108" s="548">
        <f>E109</f>
        <v>40190</v>
      </c>
      <c r="F108" s="548">
        <f>F109</f>
        <v>71350</v>
      </c>
      <c r="G108" s="456">
        <f>G109</f>
        <v>21350</v>
      </c>
      <c r="H108" s="130">
        <f t="shared" si="6"/>
        <v>53.122667330181642</v>
      </c>
      <c r="J108" s="552"/>
      <c r="K108" s="241"/>
    </row>
    <row r="109" spans="2:12" s="805" customFormat="1" ht="15" customHeight="1">
      <c r="B109" s="806"/>
      <c r="C109" s="812" t="s">
        <v>680</v>
      </c>
      <c r="D109" s="804">
        <v>40190</v>
      </c>
      <c r="E109" s="804">
        <v>40190</v>
      </c>
      <c r="F109" s="804">
        <v>71350</v>
      </c>
      <c r="G109" s="803">
        <f>93440-72090</f>
        <v>21350</v>
      </c>
      <c r="H109" s="813">
        <f t="shared" si="6"/>
        <v>53.122667330181642</v>
      </c>
      <c r="I109" s="811"/>
      <c r="J109" s="809"/>
      <c r="K109" s="241"/>
      <c r="L109" s="811"/>
    </row>
    <row r="110" spans="2:12" ht="25.5" customHeight="1">
      <c r="B110" s="199">
        <v>722522</v>
      </c>
      <c r="C110" s="201" t="s">
        <v>297</v>
      </c>
      <c r="D110" s="549">
        <v>19550</v>
      </c>
      <c r="E110" s="549">
        <v>19550</v>
      </c>
      <c r="F110" s="549">
        <v>18337</v>
      </c>
      <c r="G110" s="458">
        <v>23320</v>
      </c>
      <c r="H110" s="207">
        <f t="shared" si="6"/>
        <v>119.28388746803068</v>
      </c>
      <c r="J110" s="552"/>
      <c r="K110" s="241"/>
    </row>
    <row r="111" spans="2:12" ht="25.5">
      <c r="B111" s="121">
        <v>722523</v>
      </c>
      <c r="C111" s="82" t="s">
        <v>298</v>
      </c>
      <c r="D111" s="548">
        <v>3380</v>
      </c>
      <c r="E111" s="548">
        <v>3380</v>
      </c>
      <c r="F111" s="548">
        <v>4035</v>
      </c>
      <c r="G111" s="456">
        <v>5400</v>
      </c>
      <c r="H111" s="127">
        <f t="shared" si="6"/>
        <v>159.76331360946745</v>
      </c>
      <c r="J111" s="552"/>
      <c r="K111" s="241"/>
    </row>
    <row r="112" spans="2:12" ht="27" customHeight="1">
      <c r="B112" s="121">
        <v>722524</v>
      </c>
      <c r="C112" s="295" t="s">
        <v>536</v>
      </c>
      <c r="D112" s="548">
        <v>100</v>
      </c>
      <c r="E112" s="548">
        <v>100</v>
      </c>
      <c r="F112" s="548">
        <v>56</v>
      </c>
      <c r="G112" s="456">
        <v>60</v>
      </c>
      <c r="H112" s="127">
        <f t="shared" si="6"/>
        <v>60</v>
      </c>
      <c r="J112" s="552"/>
      <c r="K112" s="241"/>
    </row>
    <row r="113" spans="2:11" ht="25.5">
      <c r="B113" s="121">
        <v>722525</v>
      </c>
      <c r="C113" s="295" t="s">
        <v>535</v>
      </c>
      <c r="D113" s="548">
        <v>50</v>
      </c>
      <c r="E113" s="548">
        <v>50</v>
      </c>
      <c r="F113" s="548">
        <v>58</v>
      </c>
      <c r="G113" s="456">
        <v>80</v>
      </c>
      <c r="H113" s="127">
        <f t="shared" si="6"/>
        <v>160</v>
      </c>
      <c r="J113" s="552"/>
      <c r="K113" s="241"/>
    </row>
    <row r="114" spans="2:11" ht="25.5">
      <c r="B114" s="121">
        <v>722526</v>
      </c>
      <c r="C114" s="82" t="s">
        <v>538</v>
      </c>
      <c r="D114" s="548">
        <v>0</v>
      </c>
      <c r="E114" s="548">
        <v>0</v>
      </c>
      <c r="F114" s="548">
        <v>0</v>
      </c>
      <c r="G114" s="456">
        <v>0</v>
      </c>
      <c r="H114" s="127" t="str">
        <f t="shared" si="6"/>
        <v/>
      </c>
      <c r="J114" s="552"/>
      <c r="K114" s="241"/>
    </row>
    <row r="115" spans="2:11" ht="15" customHeight="1">
      <c r="B115" s="121">
        <v>722527</v>
      </c>
      <c r="C115" s="83" t="s">
        <v>459</v>
      </c>
      <c r="D115" s="548">
        <v>53100</v>
      </c>
      <c r="E115" s="548">
        <v>53100</v>
      </c>
      <c r="F115" s="548">
        <v>53063</v>
      </c>
      <c r="G115" s="456">
        <v>53070</v>
      </c>
      <c r="H115" s="217">
        <f t="shared" si="6"/>
        <v>99.943502824858754</v>
      </c>
      <c r="J115" s="552"/>
      <c r="K115" s="241"/>
    </row>
    <row r="116" spans="2:11" ht="15" customHeight="1">
      <c r="B116" s="121">
        <v>722528</v>
      </c>
      <c r="C116" s="83" t="s">
        <v>284</v>
      </c>
      <c r="D116" s="548">
        <v>690</v>
      </c>
      <c r="E116" s="548">
        <v>690</v>
      </c>
      <c r="F116" s="548">
        <v>746</v>
      </c>
      <c r="G116" s="456">
        <v>910</v>
      </c>
      <c r="H116" s="127">
        <f t="shared" si="6"/>
        <v>131.8840579710145</v>
      </c>
      <c r="J116" s="552"/>
      <c r="K116" s="241"/>
    </row>
    <row r="117" spans="2:11" ht="15" customHeight="1">
      <c r="B117" s="121">
        <v>722529</v>
      </c>
      <c r="C117" s="83" t="s">
        <v>285</v>
      </c>
      <c r="D117" s="548">
        <v>62940</v>
      </c>
      <c r="E117" s="548">
        <v>62940</v>
      </c>
      <c r="F117" s="548">
        <v>59841</v>
      </c>
      <c r="G117" s="456">
        <v>75810</v>
      </c>
      <c r="H117" s="127">
        <f t="shared" si="6"/>
        <v>120.44804575786463</v>
      </c>
      <c r="J117" s="552"/>
      <c r="K117" s="241"/>
    </row>
    <row r="118" spans="2:11" ht="15" customHeight="1">
      <c r="B118" s="139">
        <v>722530</v>
      </c>
      <c r="C118" s="144" t="s">
        <v>286</v>
      </c>
      <c r="D118" s="129">
        <f>SUM(D119:D122)</f>
        <v>278380</v>
      </c>
      <c r="E118" s="129">
        <f>SUM(E119:E122)</f>
        <v>278380</v>
      </c>
      <c r="F118" s="129">
        <f>SUM(F119:F122)</f>
        <v>267445</v>
      </c>
      <c r="G118" s="459">
        <f>SUM(G119:G122)</f>
        <v>347270</v>
      </c>
      <c r="H118" s="135">
        <f t="shared" si="6"/>
        <v>124.7467490480638</v>
      </c>
      <c r="J118" s="552"/>
      <c r="K118" s="241"/>
    </row>
    <row r="119" spans="2:11" ht="15" customHeight="1">
      <c r="B119" s="121">
        <v>722531</v>
      </c>
      <c r="C119" s="83" t="s">
        <v>287</v>
      </c>
      <c r="D119" s="548">
        <v>92600</v>
      </c>
      <c r="E119" s="548">
        <v>92600</v>
      </c>
      <c r="F119" s="548">
        <v>81538</v>
      </c>
      <c r="G119" s="456">
        <v>104450</v>
      </c>
      <c r="H119" s="127">
        <f t="shared" si="6"/>
        <v>112.79697624190064</v>
      </c>
      <c r="J119" s="552"/>
      <c r="K119" s="241"/>
    </row>
    <row r="120" spans="2:11" ht="15" customHeight="1">
      <c r="B120" s="121">
        <v>722532</v>
      </c>
      <c r="C120" s="83" t="s">
        <v>288</v>
      </c>
      <c r="D120" s="548">
        <v>185750</v>
      </c>
      <c r="E120" s="548">
        <v>185750</v>
      </c>
      <c r="F120" s="548">
        <v>185907</v>
      </c>
      <c r="G120" s="456">
        <v>242820</v>
      </c>
      <c r="H120" s="127">
        <f t="shared" si="6"/>
        <v>130.72409152086138</v>
      </c>
      <c r="J120" s="552"/>
      <c r="K120" s="241"/>
    </row>
    <row r="121" spans="2:11" ht="15" customHeight="1">
      <c r="B121" s="121">
        <v>722538</v>
      </c>
      <c r="C121" s="83" t="s">
        <v>289</v>
      </c>
      <c r="D121" s="548">
        <v>20</v>
      </c>
      <c r="E121" s="548">
        <v>20</v>
      </c>
      <c r="F121" s="548">
        <v>0</v>
      </c>
      <c r="G121" s="456">
        <v>0</v>
      </c>
      <c r="H121" s="127">
        <f t="shared" si="6"/>
        <v>0</v>
      </c>
      <c r="J121" s="552"/>
      <c r="K121" s="241"/>
    </row>
    <row r="122" spans="2:11" ht="15" customHeight="1">
      <c r="B122" s="121">
        <v>722539</v>
      </c>
      <c r="C122" s="83" t="s">
        <v>462</v>
      </c>
      <c r="D122" s="548">
        <v>10</v>
      </c>
      <c r="E122" s="548">
        <v>10</v>
      </c>
      <c r="F122" s="548">
        <v>0</v>
      </c>
      <c r="G122" s="456">
        <v>0</v>
      </c>
      <c r="H122" s="127">
        <f t="shared" si="6"/>
        <v>0</v>
      </c>
      <c r="J122" s="552"/>
      <c r="K122" s="241"/>
    </row>
    <row r="123" spans="2:11" ht="15" customHeight="1">
      <c r="B123" s="139">
        <v>722540</v>
      </c>
      <c r="C123" s="144" t="s">
        <v>290</v>
      </c>
      <c r="D123" s="129">
        <f>D124</f>
        <v>300</v>
      </c>
      <c r="E123" s="129">
        <f>E124</f>
        <v>300</v>
      </c>
      <c r="F123" s="129">
        <f>F124</f>
        <v>182</v>
      </c>
      <c r="G123" s="459">
        <f>G124</f>
        <v>200</v>
      </c>
      <c r="H123" s="135">
        <f t="shared" si="6"/>
        <v>66.666666666666657</v>
      </c>
      <c r="J123" s="552"/>
      <c r="K123" s="241"/>
    </row>
    <row r="124" spans="2:11" ht="15" customHeight="1">
      <c r="B124" s="121">
        <v>722541</v>
      </c>
      <c r="C124" s="83" t="s">
        <v>291</v>
      </c>
      <c r="D124" s="548">
        <v>300</v>
      </c>
      <c r="E124" s="548">
        <v>300</v>
      </c>
      <c r="F124" s="548">
        <v>182</v>
      </c>
      <c r="G124" s="456">
        <v>200</v>
      </c>
      <c r="H124" s="127">
        <f t="shared" si="6"/>
        <v>66.666666666666657</v>
      </c>
      <c r="J124" s="552"/>
      <c r="K124" s="241"/>
    </row>
    <row r="125" spans="2:11" ht="15" customHeight="1">
      <c r="B125" s="139">
        <v>722550</v>
      </c>
      <c r="C125" s="144" t="s">
        <v>292</v>
      </c>
      <c r="D125" s="129">
        <f>D126+D128+D130+D132</f>
        <v>681090</v>
      </c>
      <c r="E125" s="129">
        <f>E126+E128+E130+E132</f>
        <v>681090</v>
      </c>
      <c r="F125" s="129">
        <f>F126+F128+F130+F132</f>
        <v>152401</v>
      </c>
      <c r="G125" s="459">
        <f>G126+G128+G130+G132</f>
        <v>300000</v>
      </c>
      <c r="H125" s="135">
        <f t="shared" si="6"/>
        <v>44.047042241113509</v>
      </c>
      <c r="J125" s="553"/>
      <c r="K125" s="241"/>
    </row>
    <row r="126" spans="2:11" ht="15" customHeight="1">
      <c r="B126" s="121">
        <v>722551</v>
      </c>
      <c r="C126" s="83" t="s">
        <v>293</v>
      </c>
      <c r="D126" s="548">
        <f>D127</f>
        <v>910</v>
      </c>
      <c r="E126" s="548">
        <f>E127</f>
        <v>910</v>
      </c>
      <c r="F126" s="548">
        <f>F127</f>
        <v>14419</v>
      </c>
      <c r="G126" s="456">
        <f>G127</f>
        <v>15310</v>
      </c>
      <c r="H126" s="127">
        <f t="shared" si="6"/>
        <v>1682.4175824175825</v>
      </c>
      <c r="J126" s="552"/>
      <c r="K126" s="241"/>
    </row>
    <row r="127" spans="2:11" ht="15" customHeight="1">
      <c r="B127" s="128"/>
      <c r="C127" s="197" t="s">
        <v>680</v>
      </c>
      <c r="D127" s="548">
        <v>910</v>
      </c>
      <c r="E127" s="548">
        <v>910</v>
      </c>
      <c r="F127" s="548">
        <v>14419</v>
      </c>
      <c r="G127" s="456">
        <v>15310</v>
      </c>
      <c r="H127" s="127">
        <f t="shared" si="6"/>
        <v>1682.4175824175825</v>
      </c>
      <c r="J127" s="552"/>
      <c r="K127" s="241"/>
    </row>
    <row r="128" spans="2:11" ht="15" customHeight="1">
      <c r="B128" s="121">
        <v>722552</v>
      </c>
      <c r="C128" s="547" t="s">
        <v>698</v>
      </c>
      <c r="D128" s="548">
        <f>D129</f>
        <v>40</v>
      </c>
      <c r="E128" s="548">
        <f>E129</f>
        <v>40</v>
      </c>
      <c r="F128" s="548">
        <f>F129</f>
        <v>40</v>
      </c>
      <c r="G128" s="456">
        <f>G129</f>
        <v>40</v>
      </c>
      <c r="H128" s="127">
        <f t="shared" si="6"/>
        <v>100</v>
      </c>
      <c r="J128" s="552"/>
      <c r="K128" s="241"/>
    </row>
    <row r="129" spans="2:12" ht="15" customHeight="1">
      <c r="B129" s="128"/>
      <c r="C129" s="197" t="s">
        <v>680</v>
      </c>
      <c r="D129" s="548">
        <v>40</v>
      </c>
      <c r="E129" s="548">
        <v>40</v>
      </c>
      <c r="F129" s="548">
        <v>40</v>
      </c>
      <c r="G129" s="456">
        <v>40</v>
      </c>
      <c r="H129" s="127">
        <f t="shared" si="6"/>
        <v>100</v>
      </c>
      <c r="J129" s="552"/>
      <c r="K129" s="241"/>
    </row>
    <row r="130" spans="2:12" ht="25.5">
      <c r="B130" s="121">
        <v>722555</v>
      </c>
      <c r="C130" s="82" t="s">
        <v>299</v>
      </c>
      <c r="D130" s="548">
        <f>D131</f>
        <v>52820</v>
      </c>
      <c r="E130" s="548">
        <f>E131</f>
        <v>52820</v>
      </c>
      <c r="F130" s="548">
        <f>F131</f>
        <v>45962</v>
      </c>
      <c r="G130" s="456">
        <f>G131</f>
        <v>58760</v>
      </c>
      <c r="H130" s="127">
        <f t="shared" si="6"/>
        <v>111.24574024990534</v>
      </c>
      <c r="J130" s="552"/>
      <c r="K130" s="241"/>
    </row>
    <row r="131" spans="2:12" ht="17.100000000000001" customHeight="1">
      <c r="B131" s="128"/>
      <c r="C131" s="197" t="s">
        <v>680</v>
      </c>
      <c r="D131" s="548">
        <v>52820</v>
      </c>
      <c r="E131" s="548">
        <v>52820</v>
      </c>
      <c r="F131" s="548">
        <v>45962</v>
      </c>
      <c r="G131" s="456">
        <v>58760</v>
      </c>
      <c r="H131" s="127">
        <f t="shared" si="6"/>
        <v>111.24574024990534</v>
      </c>
      <c r="J131" s="552"/>
      <c r="K131" s="241"/>
    </row>
    <row r="132" spans="2:12" ht="25.5">
      <c r="B132" s="121">
        <v>722556</v>
      </c>
      <c r="C132" s="82" t="s">
        <v>300</v>
      </c>
      <c r="D132" s="548">
        <f>SUM(D133:D134)</f>
        <v>627320</v>
      </c>
      <c r="E132" s="548">
        <f t="shared" ref="E132:G132" si="12">SUM(E133:E134)</f>
        <v>627320</v>
      </c>
      <c r="F132" s="548">
        <f t="shared" si="12"/>
        <v>91980</v>
      </c>
      <c r="G132" s="456">
        <f t="shared" si="12"/>
        <v>225890</v>
      </c>
      <c r="H132" s="127">
        <f t="shared" si="6"/>
        <v>36.008735573550979</v>
      </c>
      <c r="J132" s="552"/>
      <c r="K132" s="241"/>
    </row>
    <row r="133" spans="2:12" s="805" customFormat="1" ht="15" customHeight="1">
      <c r="B133" s="806"/>
      <c r="C133" s="812" t="s">
        <v>884</v>
      </c>
      <c r="D133" s="804">
        <v>534140</v>
      </c>
      <c r="E133" s="804">
        <v>534140</v>
      </c>
      <c r="F133" s="804">
        <v>0</v>
      </c>
      <c r="G133" s="803">
        <v>105610</v>
      </c>
      <c r="H133" s="808">
        <f>IF(E133=0,"",G133/E133*100)</f>
        <v>19.771969895533008</v>
      </c>
      <c r="I133" s="811"/>
      <c r="J133" s="809"/>
      <c r="K133" s="241"/>
      <c r="L133" s="811"/>
    </row>
    <row r="134" spans="2:12" s="805" customFormat="1" ht="15" customHeight="1">
      <c r="B134" s="806"/>
      <c r="C134" s="812" t="s">
        <v>680</v>
      </c>
      <c r="D134" s="804">
        <v>93180</v>
      </c>
      <c r="E134" s="804">
        <v>93180</v>
      </c>
      <c r="F134" s="804">
        <v>91980</v>
      </c>
      <c r="G134" s="803">
        <v>120280</v>
      </c>
      <c r="H134" s="808">
        <f t="shared" si="6"/>
        <v>129.08349431208416</v>
      </c>
      <c r="I134" s="811"/>
      <c r="J134" s="809"/>
      <c r="K134" s="241"/>
      <c r="L134" s="811"/>
    </row>
    <row r="135" spans="2:12" ht="15" customHeight="1">
      <c r="B135" s="139">
        <v>722580</v>
      </c>
      <c r="C135" s="144" t="s">
        <v>301</v>
      </c>
      <c r="D135" s="129">
        <f>D136+D139+D140+D141+D142</f>
        <v>106590</v>
      </c>
      <c r="E135" s="129">
        <f>E136+E139+E140+E141+E142</f>
        <v>106590</v>
      </c>
      <c r="F135" s="129">
        <f>F136+F139+F140+F141+F142</f>
        <v>109324</v>
      </c>
      <c r="G135" s="459">
        <f>G136+G139+G140+G141+G142</f>
        <v>106500</v>
      </c>
      <c r="H135" s="135">
        <f t="shared" si="6"/>
        <v>99.915564311849138</v>
      </c>
      <c r="J135" s="552"/>
      <c r="K135" s="241"/>
    </row>
    <row r="136" spans="2:12" ht="25.5">
      <c r="B136" s="121">
        <v>722581</v>
      </c>
      <c r="C136" s="82" t="s">
        <v>537</v>
      </c>
      <c r="D136" s="548">
        <f t="shared" ref="D136:F136" si="13">SUM(D137:D138)</f>
        <v>100910</v>
      </c>
      <c r="E136" s="548">
        <f t="shared" si="13"/>
        <v>100910</v>
      </c>
      <c r="F136" s="548">
        <f t="shared" si="13"/>
        <v>105797</v>
      </c>
      <c r="G136" s="456">
        <f>SUM(G137:G138)</f>
        <v>102010</v>
      </c>
      <c r="H136" s="127">
        <f t="shared" si="6"/>
        <v>101.09008026954712</v>
      </c>
      <c r="J136" s="552"/>
      <c r="K136" s="241"/>
    </row>
    <row r="137" spans="2:12" s="805" customFormat="1" ht="15" customHeight="1">
      <c r="B137" s="806"/>
      <c r="C137" s="812" t="s">
        <v>885</v>
      </c>
      <c r="D137" s="804">
        <v>60000</v>
      </c>
      <c r="E137" s="804">
        <v>60000</v>
      </c>
      <c r="F137" s="804">
        <v>60000</v>
      </c>
      <c r="G137" s="803">
        <v>60000</v>
      </c>
      <c r="H137" s="808">
        <f t="shared" si="6"/>
        <v>100</v>
      </c>
      <c r="I137" s="811"/>
      <c r="J137" s="814"/>
      <c r="K137" s="241"/>
      <c r="L137" s="811"/>
    </row>
    <row r="138" spans="2:12" s="805" customFormat="1" ht="15" customHeight="1">
      <c r="B138" s="806"/>
      <c r="C138" s="812" t="s">
        <v>679</v>
      </c>
      <c r="D138" s="804">
        <v>40910</v>
      </c>
      <c r="E138" s="804">
        <v>40910</v>
      </c>
      <c r="F138" s="804">
        <v>45797</v>
      </c>
      <c r="G138" s="803">
        <f>57820-15810</f>
        <v>42010</v>
      </c>
      <c r="H138" s="808">
        <f t="shared" si="6"/>
        <v>102.68882913713028</v>
      </c>
      <c r="I138" s="811"/>
      <c r="J138" s="814"/>
      <c r="K138" s="241"/>
      <c r="L138" s="811"/>
    </row>
    <row r="139" spans="2:12" ht="37.5" customHeight="1">
      <c r="B139" s="121">
        <v>722582</v>
      </c>
      <c r="C139" s="295" t="s">
        <v>534</v>
      </c>
      <c r="D139" s="548">
        <v>4050</v>
      </c>
      <c r="E139" s="548">
        <v>4050</v>
      </c>
      <c r="F139" s="548">
        <v>2403</v>
      </c>
      <c r="G139" s="456">
        <v>2930</v>
      </c>
      <c r="H139" s="127">
        <f t="shared" si="6"/>
        <v>72.34567901234567</v>
      </c>
      <c r="I139" s="838"/>
      <c r="J139" s="552"/>
      <c r="K139" s="241"/>
    </row>
    <row r="140" spans="2:12" ht="26.25" customHeight="1">
      <c r="B140" s="121">
        <v>722583</v>
      </c>
      <c r="C140" s="82" t="s">
        <v>302</v>
      </c>
      <c r="D140" s="548">
        <v>720</v>
      </c>
      <c r="E140" s="548">
        <v>720</v>
      </c>
      <c r="F140" s="548">
        <v>599</v>
      </c>
      <c r="G140" s="456">
        <v>630</v>
      </c>
      <c r="H140" s="127">
        <f t="shared" si="6"/>
        <v>87.5</v>
      </c>
      <c r="J140" s="552"/>
      <c r="K140" s="241"/>
    </row>
    <row r="141" spans="2:12" ht="25.5">
      <c r="B141" s="121">
        <v>722584</v>
      </c>
      <c r="C141" s="82" t="s">
        <v>303</v>
      </c>
      <c r="D141" s="548">
        <v>600</v>
      </c>
      <c r="E141" s="548">
        <v>600</v>
      </c>
      <c r="F141" s="548">
        <v>457</v>
      </c>
      <c r="G141" s="456">
        <v>560</v>
      </c>
      <c r="H141" s="127">
        <f t="shared" si="6"/>
        <v>93.333333333333329</v>
      </c>
      <c r="J141" s="552"/>
      <c r="K141" s="241"/>
    </row>
    <row r="142" spans="2:12" ht="25.5">
      <c r="B142" s="121">
        <v>722585</v>
      </c>
      <c r="C142" s="82" t="s">
        <v>304</v>
      </c>
      <c r="D142" s="548">
        <v>310</v>
      </c>
      <c r="E142" s="548">
        <v>310</v>
      </c>
      <c r="F142" s="548">
        <v>68</v>
      </c>
      <c r="G142" s="456">
        <v>370</v>
      </c>
      <c r="H142" s="127">
        <f t="shared" si="6"/>
        <v>119.35483870967742</v>
      </c>
      <c r="J142" s="552"/>
      <c r="K142" s="241"/>
    </row>
    <row r="143" spans="2:12" ht="15" customHeight="1">
      <c r="B143" s="125">
        <v>722600</v>
      </c>
      <c r="C143" s="50" t="s">
        <v>294</v>
      </c>
      <c r="D143" s="138">
        <f>SUM(D144:D150)</f>
        <v>218560</v>
      </c>
      <c r="E143" s="138">
        <f>SUM(E144:E150)</f>
        <v>218560</v>
      </c>
      <c r="F143" s="138">
        <f>SUM(F144:F150)</f>
        <v>235681</v>
      </c>
      <c r="G143" s="457">
        <f>SUM(G144:G150)</f>
        <v>341440</v>
      </c>
      <c r="H143" s="135">
        <f t="shared" ref="H143:H209" si="14">IF(E143=0,"",G143/E143*100)</f>
        <v>156.2225475841874</v>
      </c>
      <c r="J143" s="552"/>
      <c r="K143" s="241"/>
    </row>
    <row r="144" spans="2:12" ht="15" customHeight="1">
      <c r="B144" s="128">
        <v>722611</v>
      </c>
      <c r="C144" s="83" t="s">
        <v>305</v>
      </c>
      <c r="D144" s="548">
        <v>62060</v>
      </c>
      <c r="E144" s="548">
        <v>62060</v>
      </c>
      <c r="F144" s="548">
        <v>62399</v>
      </c>
      <c r="G144" s="456">
        <v>96680</v>
      </c>
      <c r="H144" s="127">
        <f t="shared" si="14"/>
        <v>155.78472446019981</v>
      </c>
      <c r="J144" s="552"/>
      <c r="K144" s="241"/>
    </row>
    <row r="145" spans="2:11" ht="15" customHeight="1">
      <c r="B145" s="128">
        <v>722612</v>
      </c>
      <c r="C145" s="83" t="s">
        <v>306</v>
      </c>
      <c r="D145" s="548">
        <v>31270</v>
      </c>
      <c r="E145" s="548">
        <v>31270</v>
      </c>
      <c r="F145" s="548">
        <v>23865</v>
      </c>
      <c r="G145" s="456">
        <v>32940</v>
      </c>
      <c r="H145" s="127">
        <f t="shared" si="14"/>
        <v>105.34058202750241</v>
      </c>
      <c r="J145" s="552"/>
      <c r="K145" s="241"/>
    </row>
    <row r="146" spans="2:11" ht="15" customHeight="1">
      <c r="B146" s="128">
        <v>722613</v>
      </c>
      <c r="C146" s="83" t="s">
        <v>307</v>
      </c>
      <c r="D146" s="548">
        <v>5620</v>
      </c>
      <c r="E146" s="548">
        <v>5620</v>
      </c>
      <c r="F146" s="548">
        <v>20695</v>
      </c>
      <c r="G146" s="456">
        <v>27600</v>
      </c>
      <c r="H146" s="127">
        <f t="shared" si="14"/>
        <v>491.10320284697508</v>
      </c>
      <c r="J146" s="552"/>
      <c r="K146" s="241"/>
    </row>
    <row r="147" spans="2:11" ht="15" customHeight="1">
      <c r="B147" s="128">
        <v>722621</v>
      </c>
      <c r="C147" s="83" t="s">
        <v>308</v>
      </c>
      <c r="D147" s="548">
        <v>94730</v>
      </c>
      <c r="E147" s="548">
        <v>94730</v>
      </c>
      <c r="F147" s="548">
        <v>105366</v>
      </c>
      <c r="G147" s="456">
        <v>147260</v>
      </c>
      <c r="H147" s="127">
        <f t="shared" si="14"/>
        <v>155.45233822442731</v>
      </c>
      <c r="J147" s="552"/>
      <c r="K147" s="241"/>
    </row>
    <row r="148" spans="2:11" ht="15" customHeight="1">
      <c r="B148" s="128">
        <v>722631</v>
      </c>
      <c r="C148" s="83" t="s">
        <v>309</v>
      </c>
      <c r="D148" s="548">
        <v>24810</v>
      </c>
      <c r="E148" s="548">
        <v>24810</v>
      </c>
      <c r="F148" s="548">
        <v>23326</v>
      </c>
      <c r="G148" s="456">
        <v>36930</v>
      </c>
      <c r="H148" s="127">
        <f t="shared" si="14"/>
        <v>148.85126964933494</v>
      </c>
      <c r="J148" s="552"/>
      <c r="K148" s="241"/>
    </row>
    <row r="149" spans="2:11" ht="15" customHeight="1">
      <c r="B149" s="128">
        <v>722632</v>
      </c>
      <c r="C149" s="83" t="s">
        <v>463</v>
      </c>
      <c r="D149" s="548">
        <v>20</v>
      </c>
      <c r="E149" s="548">
        <v>20</v>
      </c>
      <c r="F149" s="548">
        <v>0</v>
      </c>
      <c r="G149" s="456">
        <v>0</v>
      </c>
      <c r="H149" s="127">
        <f t="shared" si="14"/>
        <v>0</v>
      </c>
      <c r="J149" s="552"/>
      <c r="K149" s="241"/>
    </row>
    <row r="150" spans="2:11" ht="15" customHeight="1">
      <c r="B150" s="128">
        <v>722633</v>
      </c>
      <c r="C150" s="547" t="s">
        <v>699</v>
      </c>
      <c r="D150" s="548">
        <v>50</v>
      </c>
      <c r="E150" s="548">
        <v>50</v>
      </c>
      <c r="F150" s="548">
        <v>30</v>
      </c>
      <c r="G150" s="456">
        <v>30</v>
      </c>
      <c r="H150" s="127">
        <f t="shared" si="14"/>
        <v>60</v>
      </c>
      <c r="J150" s="552"/>
      <c r="K150" s="241"/>
    </row>
    <row r="151" spans="2:11" ht="15" customHeight="1">
      <c r="B151" s="139">
        <v>722700</v>
      </c>
      <c r="C151" s="50" t="s">
        <v>310</v>
      </c>
      <c r="D151" s="138">
        <f t="shared" ref="D151:G151" si="15">SUM(D152:D155)</f>
        <v>33250</v>
      </c>
      <c r="E151" s="138">
        <f t="shared" si="15"/>
        <v>33250</v>
      </c>
      <c r="F151" s="138">
        <f t="shared" si="15"/>
        <v>45348</v>
      </c>
      <c r="G151" s="457">
        <f t="shared" si="15"/>
        <v>49230</v>
      </c>
      <c r="H151" s="135">
        <f t="shared" si="14"/>
        <v>148.06015037593986</v>
      </c>
      <c r="J151" s="552"/>
      <c r="K151" s="241"/>
    </row>
    <row r="152" spans="2:11" ht="15" customHeight="1">
      <c r="B152" s="128">
        <v>722715</v>
      </c>
      <c r="C152" s="83" t="s">
        <v>551</v>
      </c>
      <c r="D152" s="548">
        <v>0</v>
      </c>
      <c r="E152" s="548">
        <v>0</v>
      </c>
      <c r="F152" s="548">
        <v>0</v>
      </c>
      <c r="G152" s="456">
        <v>0</v>
      </c>
      <c r="H152" s="127" t="str">
        <f t="shared" si="14"/>
        <v/>
      </c>
      <c r="J152" s="552"/>
      <c r="K152" s="241"/>
    </row>
    <row r="153" spans="2:11" ht="15" customHeight="1">
      <c r="B153" s="128">
        <v>722719</v>
      </c>
      <c r="C153" s="83" t="s">
        <v>460</v>
      </c>
      <c r="D153" s="548">
        <v>31250</v>
      </c>
      <c r="E153" s="548">
        <v>31250</v>
      </c>
      <c r="F153" s="548">
        <v>39606</v>
      </c>
      <c r="G153" s="456">
        <f>39610+2000</f>
        <v>41610</v>
      </c>
      <c r="H153" s="127">
        <f t="shared" si="14"/>
        <v>133.15200000000002</v>
      </c>
      <c r="J153" s="552"/>
      <c r="K153" s="241"/>
    </row>
    <row r="154" spans="2:11" ht="15" customHeight="1">
      <c r="B154" s="128">
        <v>722732</v>
      </c>
      <c r="C154" s="83" t="s">
        <v>311</v>
      </c>
      <c r="D154" s="548">
        <v>0</v>
      </c>
      <c r="E154" s="548">
        <v>0</v>
      </c>
      <c r="F154" s="548">
        <v>0</v>
      </c>
      <c r="G154" s="456">
        <v>0</v>
      </c>
      <c r="H154" s="127" t="str">
        <f t="shared" si="14"/>
        <v/>
      </c>
      <c r="J154" s="552"/>
      <c r="K154" s="241"/>
    </row>
    <row r="155" spans="2:11" ht="15" customHeight="1">
      <c r="B155" s="128">
        <v>722791</v>
      </c>
      <c r="C155" s="83" t="s">
        <v>312</v>
      </c>
      <c r="D155" s="548">
        <v>2000</v>
      </c>
      <c r="E155" s="548">
        <v>2000</v>
      </c>
      <c r="F155" s="548">
        <v>5742</v>
      </c>
      <c r="G155" s="456">
        <v>7620</v>
      </c>
      <c r="H155" s="127">
        <f t="shared" si="14"/>
        <v>381</v>
      </c>
      <c r="J155" s="552"/>
      <c r="K155" s="241"/>
    </row>
    <row r="156" spans="2:11" ht="17.100000000000001" customHeight="1">
      <c r="B156" s="222">
        <v>723000</v>
      </c>
      <c r="C156" s="223" t="s">
        <v>166</v>
      </c>
      <c r="D156" s="224">
        <f>D157</f>
        <v>467300</v>
      </c>
      <c r="E156" s="224">
        <f>E157</f>
        <v>467300</v>
      </c>
      <c r="F156" s="224">
        <f>F157</f>
        <v>383120</v>
      </c>
      <c r="G156" s="453">
        <f>G157</f>
        <v>521970</v>
      </c>
      <c r="H156" s="205">
        <f t="shared" si="14"/>
        <v>111.69912261930237</v>
      </c>
      <c r="J156" s="552"/>
      <c r="K156" s="241"/>
    </row>
    <row r="157" spans="2:11" ht="15" customHeight="1">
      <c r="B157" s="132">
        <v>723100</v>
      </c>
      <c r="C157" s="143" t="s">
        <v>313</v>
      </c>
      <c r="D157" s="129">
        <f>SUM(D158:D161)</f>
        <v>467300</v>
      </c>
      <c r="E157" s="129">
        <f>SUM(E158:E161)</f>
        <v>467300</v>
      </c>
      <c r="F157" s="129">
        <f>SUM(F158:F161)</f>
        <v>383120</v>
      </c>
      <c r="G157" s="459">
        <f>SUM(G158:G161)</f>
        <v>521970</v>
      </c>
      <c r="H157" s="127">
        <f t="shared" si="14"/>
        <v>111.69912261930237</v>
      </c>
      <c r="J157" s="552"/>
      <c r="K157" s="241"/>
    </row>
    <row r="158" spans="2:11" ht="15" customHeight="1">
      <c r="B158" s="128">
        <v>723121</v>
      </c>
      <c r="C158" s="23" t="s">
        <v>314</v>
      </c>
      <c r="D158" s="688">
        <v>580</v>
      </c>
      <c r="E158" s="688">
        <v>580</v>
      </c>
      <c r="F158" s="688">
        <v>350</v>
      </c>
      <c r="G158" s="455">
        <v>390</v>
      </c>
      <c r="H158" s="127">
        <f t="shared" si="14"/>
        <v>67.241379310344826</v>
      </c>
      <c r="J158" s="552"/>
      <c r="K158" s="241"/>
    </row>
    <row r="159" spans="2:11" ht="15" customHeight="1">
      <c r="B159" s="128">
        <v>723122</v>
      </c>
      <c r="C159" s="23" t="s">
        <v>315</v>
      </c>
      <c r="D159" s="548">
        <v>20</v>
      </c>
      <c r="E159" s="548">
        <v>20</v>
      </c>
      <c r="F159" s="548">
        <v>15000</v>
      </c>
      <c r="G159" s="456">
        <v>15000</v>
      </c>
      <c r="H159" s="127">
        <f t="shared" si="14"/>
        <v>75000</v>
      </c>
      <c r="J159" s="552"/>
      <c r="K159" s="241"/>
    </row>
    <row r="160" spans="2:11" ht="25.5">
      <c r="B160" s="128">
        <v>723123</v>
      </c>
      <c r="C160" s="48" t="s">
        <v>317</v>
      </c>
      <c r="D160" s="688">
        <v>461570</v>
      </c>
      <c r="E160" s="688">
        <v>461570</v>
      </c>
      <c r="F160" s="688">
        <v>351729</v>
      </c>
      <c r="G160" s="455">
        <v>490160</v>
      </c>
      <c r="H160" s="127">
        <f t="shared" si="14"/>
        <v>106.19407673808956</v>
      </c>
      <c r="J160" s="552"/>
      <c r="K160" s="241"/>
    </row>
    <row r="161" spans="2:11" ht="15" customHeight="1">
      <c r="B161" s="202">
        <v>723129</v>
      </c>
      <c r="C161" s="203" t="s">
        <v>316</v>
      </c>
      <c r="D161" s="689">
        <v>5130</v>
      </c>
      <c r="E161" s="689">
        <v>5130</v>
      </c>
      <c r="F161" s="689">
        <v>16041</v>
      </c>
      <c r="G161" s="460">
        <v>16420</v>
      </c>
      <c r="H161" s="206">
        <f t="shared" si="14"/>
        <v>320.07797270955166</v>
      </c>
      <c r="J161" s="552"/>
      <c r="K161" s="241"/>
    </row>
    <row r="162" spans="2:11">
      <c r="B162" s="128"/>
      <c r="C162" s="120"/>
      <c r="D162" s="455"/>
      <c r="E162" s="455"/>
      <c r="F162" s="131"/>
      <c r="G162" s="455"/>
      <c r="H162" s="130" t="str">
        <f t="shared" si="14"/>
        <v/>
      </c>
      <c r="J162" s="552"/>
      <c r="K162" s="241"/>
    </row>
    <row r="163" spans="2:11" ht="17.100000000000001" customHeight="1">
      <c r="B163" s="876" t="s">
        <v>335</v>
      </c>
      <c r="C163" s="877"/>
      <c r="D163" s="461">
        <f>D5+D62</f>
        <v>33978750</v>
      </c>
      <c r="E163" s="461">
        <f>E5+E62</f>
        <v>33978750</v>
      </c>
      <c r="F163" s="147">
        <f>F5+F62</f>
        <v>27133199</v>
      </c>
      <c r="G163" s="461">
        <f>G5+G62</f>
        <v>35081950</v>
      </c>
      <c r="H163" s="208">
        <f t="shared" si="14"/>
        <v>103.2467350917853</v>
      </c>
      <c r="J163" s="552"/>
      <c r="K163" s="241"/>
    </row>
    <row r="164" spans="2:11">
      <c r="B164" s="51"/>
      <c r="C164" s="49"/>
      <c r="D164" s="455"/>
      <c r="E164" s="455"/>
      <c r="F164" s="66"/>
      <c r="G164" s="455"/>
      <c r="H164" s="130" t="str">
        <f t="shared" si="14"/>
        <v/>
      </c>
      <c r="J164" s="552"/>
      <c r="K164" s="241"/>
    </row>
    <row r="165" spans="2:11" ht="17.100000000000001" customHeight="1">
      <c r="B165" s="219">
        <v>730000</v>
      </c>
      <c r="C165" s="228" t="s">
        <v>376</v>
      </c>
      <c r="D165" s="452">
        <f>D166+D173+D189</f>
        <v>9251620</v>
      </c>
      <c r="E165" s="452">
        <f>E166+E173+E189</f>
        <v>9260249</v>
      </c>
      <c r="F165" s="221">
        <f>F166+F173+F189</f>
        <v>8411529</v>
      </c>
      <c r="G165" s="452">
        <f>G166+G173+G189</f>
        <v>8254570</v>
      </c>
      <c r="H165" s="204">
        <f t="shared" si="14"/>
        <v>89.139827665541176</v>
      </c>
      <c r="J165" s="552"/>
      <c r="K165" s="241"/>
    </row>
    <row r="166" spans="2:11" ht="26.25">
      <c r="B166" s="229">
        <v>731000</v>
      </c>
      <c r="C166" s="230" t="s">
        <v>359</v>
      </c>
      <c r="D166" s="224">
        <f>D167</f>
        <v>50120</v>
      </c>
      <c r="E166" s="224">
        <f>E167</f>
        <v>51405</v>
      </c>
      <c r="F166" s="231">
        <f>F167</f>
        <v>1400</v>
      </c>
      <c r="G166" s="453">
        <f>G167</f>
        <v>1410</v>
      </c>
      <c r="H166" s="205">
        <f t="shared" si="14"/>
        <v>2.742923840093376</v>
      </c>
      <c r="J166" s="552"/>
      <c r="K166" s="241"/>
    </row>
    <row r="167" spans="2:11" ht="15" customHeight="1">
      <c r="B167" s="139">
        <v>731100</v>
      </c>
      <c r="C167" s="196" t="s">
        <v>360</v>
      </c>
      <c r="D167" s="129">
        <f>D168+D170</f>
        <v>50120</v>
      </c>
      <c r="E167" s="129">
        <f>E168+E170</f>
        <v>51405</v>
      </c>
      <c r="F167" s="136">
        <f>F168+F170</f>
        <v>1400</v>
      </c>
      <c r="G167" s="459">
        <f>G168+G170</f>
        <v>1410</v>
      </c>
      <c r="H167" s="123">
        <f t="shared" si="14"/>
        <v>2.742923840093376</v>
      </c>
      <c r="J167" s="552"/>
      <c r="K167" s="241"/>
    </row>
    <row r="168" spans="2:11" ht="15" customHeight="1">
      <c r="B168" s="244">
        <v>731111</v>
      </c>
      <c r="C168" s="189" t="s">
        <v>471</v>
      </c>
      <c r="D168" s="688">
        <f>D169</f>
        <v>0</v>
      </c>
      <c r="E168" s="688">
        <f t="shared" ref="E168:G168" si="16">E169</f>
        <v>1285</v>
      </c>
      <c r="F168" s="245">
        <f t="shared" si="16"/>
        <v>1285</v>
      </c>
      <c r="G168" s="455">
        <f t="shared" si="16"/>
        <v>1290</v>
      </c>
      <c r="H168" s="246">
        <f>IF(E168=0,"",G168/E168*100)</f>
        <v>100.38910505836576</v>
      </c>
      <c r="J168" s="552"/>
      <c r="K168" s="241"/>
    </row>
    <row r="169" spans="2:11" ht="15" customHeight="1">
      <c r="B169" s="244"/>
      <c r="C169" s="197" t="s">
        <v>873</v>
      </c>
      <c r="D169" s="688">
        <v>0</v>
      </c>
      <c r="E169" s="688">
        <v>1285</v>
      </c>
      <c r="F169" s="245">
        <v>1285</v>
      </c>
      <c r="G169" s="455">
        <v>1290</v>
      </c>
      <c r="H169" s="246">
        <f>IF(E169=0,"",G169/E169*100)</f>
        <v>100.38910505836576</v>
      </c>
      <c r="J169" s="552"/>
      <c r="K169" s="241"/>
    </row>
    <row r="170" spans="2:11" ht="15" customHeight="1">
      <c r="B170" s="244">
        <v>731121</v>
      </c>
      <c r="C170" s="189" t="s">
        <v>361</v>
      </c>
      <c r="D170" s="688">
        <f>SUM(D171:D172)</f>
        <v>50120</v>
      </c>
      <c r="E170" s="688">
        <f>SUM(E171:E172)</f>
        <v>50120</v>
      </c>
      <c r="F170" s="245">
        <f>SUM(F171:F172)</f>
        <v>115</v>
      </c>
      <c r="G170" s="455">
        <f>SUM(G171:G172)</f>
        <v>120</v>
      </c>
      <c r="H170" s="246">
        <f t="shared" si="14"/>
        <v>0.23942537909018355</v>
      </c>
      <c r="J170" s="552"/>
      <c r="K170" s="241"/>
    </row>
    <row r="171" spans="2:11" ht="15" customHeight="1">
      <c r="B171" s="244"/>
      <c r="C171" s="398" t="s">
        <v>713</v>
      </c>
      <c r="D171" s="548">
        <v>50000</v>
      </c>
      <c r="E171" s="548">
        <v>50000</v>
      </c>
      <c r="F171" s="247">
        <v>0</v>
      </c>
      <c r="G171" s="456">
        <v>0</v>
      </c>
      <c r="H171" s="246">
        <f t="shared" si="14"/>
        <v>0</v>
      </c>
      <c r="J171" s="552"/>
      <c r="K171" s="241"/>
    </row>
    <row r="172" spans="2:11" ht="15" customHeight="1">
      <c r="B172" s="244"/>
      <c r="C172" s="197" t="s">
        <v>691</v>
      </c>
      <c r="D172" s="548">
        <v>120</v>
      </c>
      <c r="E172" s="548">
        <v>120</v>
      </c>
      <c r="F172" s="247">
        <v>115</v>
      </c>
      <c r="G172" s="456">
        <v>120</v>
      </c>
      <c r="H172" s="246">
        <f t="shared" si="14"/>
        <v>100</v>
      </c>
      <c r="J172" s="552"/>
      <c r="K172" s="241"/>
    </row>
    <row r="173" spans="2:11" ht="17.100000000000001" customHeight="1">
      <c r="B173" s="232">
        <v>732000</v>
      </c>
      <c r="C173" s="230" t="s">
        <v>362</v>
      </c>
      <c r="D173" s="224">
        <f>D174</f>
        <v>9201500</v>
      </c>
      <c r="E173" s="224">
        <f>E174</f>
        <v>9208844</v>
      </c>
      <c r="F173" s="231">
        <f>F174</f>
        <v>8409902</v>
      </c>
      <c r="G173" s="453">
        <f>G174</f>
        <v>8252930</v>
      </c>
      <c r="H173" s="205">
        <f t="shared" si="14"/>
        <v>89.619609149639189</v>
      </c>
      <c r="J173" s="552"/>
      <c r="K173" s="241"/>
    </row>
    <row r="174" spans="2:11" ht="15" customHeight="1">
      <c r="B174" s="139">
        <v>732100</v>
      </c>
      <c r="C174" s="196" t="s">
        <v>363</v>
      </c>
      <c r="D174" s="129">
        <f>D175+D185</f>
        <v>9201500</v>
      </c>
      <c r="E174" s="129">
        <f>E175+E185</f>
        <v>9208844</v>
      </c>
      <c r="F174" s="136">
        <f t="shared" ref="F174" si="17">F175+F185</f>
        <v>8409902</v>
      </c>
      <c r="G174" s="459">
        <f>G175+G185</f>
        <v>8252930</v>
      </c>
      <c r="H174" s="123">
        <f t="shared" si="14"/>
        <v>89.619609149639189</v>
      </c>
      <c r="J174" s="552"/>
      <c r="K174" s="241"/>
    </row>
    <row r="175" spans="2:11" ht="15" customHeight="1">
      <c r="B175" s="125">
        <v>732110</v>
      </c>
      <c r="C175" s="134" t="s">
        <v>364</v>
      </c>
      <c r="D175" s="138">
        <f>D176+D183</f>
        <v>9192500</v>
      </c>
      <c r="E175" s="138">
        <f>E176+E183</f>
        <v>9199844</v>
      </c>
      <c r="F175" s="142">
        <f>F176+F183</f>
        <v>8399102</v>
      </c>
      <c r="G175" s="457">
        <f>G176+G183</f>
        <v>8242130</v>
      </c>
      <c r="H175" s="123">
        <f t="shared" si="14"/>
        <v>89.589888698112702</v>
      </c>
      <c r="J175" s="552"/>
      <c r="K175" s="241"/>
    </row>
    <row r="176" spans="2:11" ht="15" customHeight="1">
      <c r="B176" s="244">
        <v>732112</v>
      </c>
      <c r="C176" s="189" t="s">
        <v>365</v>
      </c>
      <c r="D176" s="688">
        <f>SUM(D177:D182)</f>
        <v>9192500</v>
      </c>
      <c r="E176" s="688">
        <f>SUM(E177:E182)</f>
        <v>9199844</v>
      </c>
      <c r="F176" s="245">
        <f>SUM(F177:F182)</f>
        <v>8399102</v>
      </c>
      <c r="G176" s="455">
        <f>SUM(G177:G182)</f>
        <v>8242130</v>
      </c>
      <c r="H176" s="246">
        <f t="shared" si="14"/>
        <v>89.589888698112702</v>
      </c>
      <c r="J176" s="552"/>
      <c r="K176" s="241"/>
    </row>
    <row r="177" spans="2:12" s="831" customFormat="1" ht="15" customHeight="1">
      <c r="B177" s="244"/>
      <c r="C177" s="398" t="s">
        <v>713</v>
      </c>
      <c r="D177" s="548">
        <v>0</v>
      </c>
      <c r="E177" s="548">
        <v>0</v>
      </c>
      <c r="F177" s="247">
        <v>7523</v>
      </c>
      <c r="G177" s="456">
        <v>50000</v>
      </c>
      <c r="H177" s="246" t="str">
        <f t="shared" ref="H177" si="18">IF(E177=0,"",G177/E177*100)</f>
        <v/>
      </c>
      <c r="I177" s="185"/>
      <c r="J177" s="833"/>
      <c r="K177" s="241"/>
      <c r="L177" s="185"/>
    </row>
    <row r="178" spans="2:12" ht="25.5">
      <c r="B178" s="244"/>
      <c r="C178" s="197" t="s">
        <v>701</v>
      </c>
      <c r="D178" s="548">
        <v>252500</v>
      </c>
      <c r="E178" s="548">
        <v>252500</v>
      </c>
      <c r="F178" s="247">
        <v>182264</v>
      </c>
      <c r="G178" s="456">
        <v>242810</v>
      </c>
      <c r="H178" s="246">
        <f t="shared" si="14"/>
        <v>96.162376237623761</v>
      </c>
      <c r="J178" s="552"/>
      <c r="K178" s="241"/>
    </row>
    <row r="179" spans="2:12" ht="25.5">
      <c r="B179" s="244"/>
      <c r="C179" s="197" t="s">
        <v>714</v>
      </c>
      <c r="D179" s="548">
        <v>0</v>
      </c>
      <c r="E179" s="548">
        <v>7344</v>
      </c>
      <c r="F179" s="247">
        <v>7344</v>
      </c>
      <c r="G179" s="456">
        <v>7350</v>
      </c>
      <c r="H179" s="246">
        <f>IF(E179=0,"",G179/E179*100)</f>
        <v>100.08169934640523</v>
      </c>
      <c r="J179" s="552"/>
      <c r="K179" s="241"/>
    </row>
    <row r="180" spans="2:12" ht="17.100000000000001" customHeight="1">
      <c r="B180" s="244"/>
      <c r="C180" s="197" t="s">
        <v>334</v>
      </c>
      <c r="D180" s="548">
        <v>600000</v>
      </c>
      <c r="E180" s="548">
        <v>600000</v>
      </c>
      <c r="F180" s="247">
        <v>600000</v>
      </c>
      <c r="G180" s="456">
        <v>600000</v>
      </c>
      <c r="H180" s="246">
        <f t="shared" si="14"/>
        <v>100</v>
      </c>
      <c r="J180" s="552"/>
      <c r="K180" s="241"/>
    </row>
    <row r="181" spans="2:12" s="823" customFormat="1" ht="17.100000000000001" customHeight="1">
      <c r="B181" s="244"/>
      <c r="C181" s="197" t="s">
        <v>890</v>
      </c>
      <c r="D181" s="548">
        <v>740000</v>
      </c>
      <c r="E181" s="548">
        <v>740000</v>
      </c>
      <c r="F181" s="247">
        <v>0</v>
      </c>
      <c r="G181" s="456">
        <v>740000</v>
      </c>
      <c r="H181" s="246">
        <f t="shared" ref="H181" si="19">IF(E181=0,"",G181/E181*100)</f>
        <v>100</v>
      </c>
      <c r="I181" s="185"/>
      <c r="J181" s="552"/>
      <c r="K181" s="241"/>
      <c r="L181" s="185"/>
    </row>
    <row r="182" spans="2:12" ht="17.100000000000001" customHeight="1">
      <c r="B182" s="244"/>
      <c r="C182" s="197" t="s">
        <v>891</v>
      </c>
      <c r="D182" s="548">
        <v>7600000</v>
      </c>
      <c r="E182" s="548">
        <v>7600000</v>
      </c>
      <c r="F182" s="247">
        <v>7601971</v>
      </c>
      <c r="G182" s="456">
        <f>7601970-1000000</f>
        <v>6601970</v>
      </c>
      <c r="H182" s="246">
        <f t="shared" si="14"/>
        <v>86.868026315789464</v>
      </c>
      <c r="J182" s="552"/>
      <c r="K182" s="241"/>
    </row>
    <row r="183" spans="2:12" ht="15" customHeight="1">
      <c r="B183" s="244">
        <v>732115</v>
      </c>
      <c r="C183" s="189" t="s">
        <v>554</v>
      </c>
      <c r="D183" s="688">
        <f>D184</f>
        <v>0</v>
      </c>
      <c r="E183" s="688">
        <f>E184</f>
        <v>0</v>
      </c>
      <c r="F183" s="245">
        <v>0</v>
      </c>
      <c r="G183" s="456">
        <f>G184</f>
        <v>0</v>
      </c>
      <c r="H183" s="246" t="str">
        <f t="shared" si="14"/>
        <v/>
      </c>
      <c r="J183" s="552"/>
      <c r="K183" s="241"/>
    </row>
    <row r="184" spans="2:12" ht="15" customHeight="1">
      <c r="B184" s="244">
        <v>732115</v>
      </c>
      <c r="C184" s="189" t="s">
        <v>702</v>
      </c>
      <c r="D184" s="688">
        <v>0</v>
      </c>
      <c r="E184" s="688">
        <v>0</v>
      </c>
      <c r="F184" s="245">
        <v>0</v>
      </c>
      <c r="G184" s="456">
        <v>0</v>
      </c>
      <c r="H184" s="246" t="str">
        <f t="shared" si="14"/>
        <v/>
      </c>
      <c r="J184" s="552"/>
      <c r="K184" s="241"/>
    </row>
    <row r="185" spans="2:12" ht="15" customHeight="1">
      <c r="B185" s="125">
        <v>732130</v>
      </c>
      <c r="C185" s="134" t="s">
        <v>523</v>
      </c>
      <c r="D185" s="138">
        <f t="shared" ref="D185:G185" si="20">SUM(D186:D188)</f>
        <v>9000</v>
      </c>
      <c r="E185" s="138">
        <f t="shared" si="20"/>
        <v>9000</v>
      </c>
      <c r="F185" s="142">
        <f t="shared" si="20"/>
        <v>10800</v>
      </c>
      <c r="G185" s="457">
        <f t="shared" si="20"/>
        <v>10800</v>
      </c>
      <c r="H185" s="123">
        <f t="shared" si="14"/>
        <v>120</v>
      </c>
      <c r="J185" s="552"/>
      <c r="K185" s="241"/>
    </row>
    <row r="186" spans="2:12" ht="15" customHeight="1">
      <c r="B186" s="133">
        <v>732131</v>
      </c>
      <c r="C186" s="195" t="s">
        <v>784</v>
      </c>
      <c r="D186" s="548">
        <v>0</v>
      </c>
      <c r="E186" s="548">
        <v>0</v>
      </c>
      <c r="F186" s="106">
        <v>0</v>
      </c>
      <c r="G186" s="456">
        <v>0</v>
      </c>
      <c r="H186" s="246" t="str">
        <f t="shared" si="14"/>
        <v/>
      </c>
      <c r="I186" s="551"/>
      <c r="J186" s="552"/>
      <c r="K186" s="241"/>
    </row>
    <row r="187" spans="2:12" ht="15" customHeight="1">
      <c r="B187" s="133">
        <v>732131</v>
      </c>
      <c r="C187" s="195" t="s">
        <v>544</v>
      </c>
      <c r="D187" s="548">
        <f>3*5*600</f>
        <v>9000</v>
      </c>
      <c r="E187" s="548">
        <f>3*5*600</f>
        <v>9000</v>
      </c>
      <c r="F187" s="106">
        <v>10800</v>
      </c>
      <c r="G187" s="456">
        <v>10800</v>
      </c>
      <c r="H187" s="246">
        <f t="shared" si="14"/>
        <v>120</v>
      </c>
      <c r="I187" s="551"/>
      <c r="J187" s="552"/>
      <c r="K187" s="241"/>
    </row>
    <row r="188" spans="2:12" ht="15" customHeight="1">
      <c r="B188" s="133">
        <v>732131</v>
      </c>
      <c r="C188" s="195" t="s">
        <v>715</v>
      </c>
      <c r="D188" s="548">
        <v>0</v>
      </c>
      <c r="E188" s="548">
        <v>0</v>
      </c>
      <c r="F188" s="106">
        <v>0</v>
      </c>
      <c r="G188" s="456"/>
      <c r="H188" s="246" t="str">
        <f t="shared" si="14"/>
        <v/>
      </c>
      <c r="J188" s="552"/>
      <c r="K188" s="241"/>
    </row>
    <row r="189" spans="2:12" ht="17.100000000000001" customHeight="1">
      <c r="B189" s="232">
        <v>733000</v>
      </c>
      <c r="C189" s="230" t="s">
        <v>318</v>
      </c>
      <c r="D189" s="224">
        <f>D190</f>
        <v>0</v>
      </c>
      <c r="E189" s="224">
        <f>E190</f>
        <v>0</v>
      </c>
      <c r="F189" s="231">
        <f>F190</f>
        <v>227</v>
      </c>
      <c r="G189" s="453">
        <f>G190</f>
        <v>230</v>
      </c>
      <c r="H189" s="205" t="str">
        <f t="shared" si="14"/>
        <v/>
      </c>
      <c r="J189" s="552"/>
      <c r="K189" s="241"/>
    </row>
    <row r="190" spans="2:12" ht="15" customHeight="1">
      <c r="B190" s="139">
        <v>733100</v>
      </c>
      <c r="C190" s="196" t="s">
        <v>319</v>
      </c>
      <c r="D190" s="129">
        <f>D191+D192</f>
        <v>0</v>
      </c>
      <c r="E190" s="129">
        <f>E191+E192</f>
        <v>0</v>
      </c>
      <c r="F190" s="136">
        <f>F191+F192</f>
        <v>227</v>
      </c>
      <c r="G190" s="459">
        <f>G191+G192</f>
        <v>230</v>
      </c>
      <c r="H190" s="123" t="str">
        <f t="shared" si="14"/>
        <v/>
      </c>
      <c r="J190" s="552"/>
      <c r="K190" s="241"/>
    </row>
    <row r="191" spans="2:12" ht="15" customHeight="1">
      <c r="B191" s="125">
        <v>733110</v>
      </c>
      <c r="C191" s="134" t="s">
        <v>320</v>
      </c>
      <c r="D191" s="138">
        <v>0</v>
      </c>
      <c r="E191" s="138">
        <v>0</v>
      </c>
      <c r="F191" s="142">
        <v>227</v>
      </c>
      <c r="G191" s="457">
        <v>230</v>
      </c>
      <c r="H191" s="123" t="str">
        <f t="shared" si="14"/>
        <v/>
      </c>
      <c r="J191" s="552"/>
      <c r="K191" s="241"/>
    </row>
    <row r="192" spans="2:12" ht="15" customHeight="1">
      <c r="B192" s="125">
        <v>733120</v>
      </c>
      <c r="C192" s="134" t="s">
        <v>321</v>
      </c>
      <c r="D192" s="138">
        <v>0</v>
      </c>
      <c r="E192" s="138">
        <v>0</v>
      </c>
      <c r="F192" s="142">
        <v>0</v>
      </c>
      <c r="G192" s="457">
        <v>0</v>
      </c>
      <c r="H192" s="123" t="str">
        <f t="shared" si="14"/>
        <v/>
      </c>
      <c r="J192" s="552"/>
      <c r="K192" s="241"/>
    </row>
    <row r="193" spans="2:12" ht="15">
      <c r="B193" s="35"/>
      <c r="C193" s="50"/>
      <c r="D193" s="122"/>
      <c r="E193" s="122"/>
      <c r="F193" s="65"/>
      <c r="G193" s="454"/>
      <c r="H193" s="246" t="str">
        <f t="shared" si="14"/>
        <v/>
      </c>
      <c r="J193" s="552"/>
      <c r="K193" s="241"/>
    </row>
    <row r="194" spans="2:12" ht="17.100000000000001" customHeight="1">
      <c r="B194" s="219">
        <v>740000</v>
      </c>
      <c r="C194" s="228" t="s">
        <v>366</v>
      </c>
      <c r="D194" s="227">
        <f>D195+D203</f>
        <v>350410</v>
      </c>
      <c r="E194" s="227">
        <f>E195+E203</f>
        <v>362256</v>
      </c>
      <c r="F194" s="221">
        <f>F195+F203</f>
        <v>367673</v>
      </c>
      <c r="G194" s="452">
        <f>G195+G203</f>
        <v>367700</v>
      </c>
      <c r="H194" s="204">
        <f t="shared" si="14"/>
        <v>101.50280464643788</v>
      </c>
      <c r="J194" s="552"/>
      <c r="K194" s="241"/>
    </row>
    <row r="195" spans="2:12" ht="26.25">
      <c r="B195" s="232">
        <v>741000</v>
      </c>
      <c r="C195" s="230" t="s">
        <v>367</v>
      </c>
      <c r="D195" s="224">
        <f t="shared" ref="D195:G196" si="21">D196</f>
        <v>132950</v>
      </c>
      <c r="E195" s="224">
        <f t="shared" si="21"/>
        <v>144796</v>
      </c>
      <c r="F195" s="231">
        <f t="shared" si="21"/>
        <v>144788</v>
      </c>
      <c r="G195" s="453">
        <f t="shared" si="21"/>
        <v>144800</v>
      </c>
      <c r="H195" s="205">
        <f t="shared" si="14"/>
        <v>100.00276250725157</v>
      </c>
      <c r="J195" s="552"/>
      <c r="K195" s="241"/>
    </row>
    <row r="196" spans="2:12" ht="25.5">
      <c r="B196" s="139">
        <v>741100</v>
      </c>
      <c r="C196" s="198" t="s">
        <v>368</v>
      </c>
      <c r="D196" s="129">
        <f t="shared" si="21"/>
        <v>132950</v>
      </c>
      <c r="E196" s="129">
        <f t="shared" si="21"/>
        <v>144796</v>
      </c>
      <c r="F196" s="136">
        <f t="shared" si="21"/>
        <v>144788</v>
      </c>
      <c r="G196" s="459">
        <f t="shared" si="21"/>
        <v>144800</v>
      </c>
      <c r="H196" s="123">
        <f t="shared" si="14"/>
        <v>100.00276250725157</v>
      </c>
      <c r="J196" s="552"/>
      <c r="K196" s="241"/>
    </row>
    <row r="197" spans="2:12" ht="15" customHeight="1">
      <c r="B197" s="133">
        <v>741111</v>
      </c>
      <c r="C197" s="189" t="s">
        <v>369</v>
      </c>
      <c r="D197" s="688">
        <f>SUM(D198:D202)</f>
        <v>132950</v>
      </c>
      <c r="E197" s="688">
        <f t="shared" ref="E197:G197" si="22">SUM(E198:E202)</f>
        <v>144796</v>
      </c>
      <c r="F197" s="688">
        <f t="shared" si="22"/>
        <v>144788</v>
      </c>
      <c r="G197" s="455">
        <f t="shared" si="22"/>
        <v>144800</v>
      </c>
      <c r="H197" s="246">
        <f t="shared" si="14"/>
        <v>100.00276250725157</v>
      </c>
      <c r="J197" s="552"/>
      <c r="K197" s="241"/>
    </row>
    <row r="198" spans="2:12" ht="24.75" customHeight="1">
      <c r="B198" s="244"/>
      <c r="C198" s="197" t="s">
        <v>703</v>
      </c>
      <c r="D198" s="548">
        <v>102330</v>
      </c>
      <c r="E198" s="548">
        <v>102330</v>
      </c>
      <c r="F198" s="247">
        <v>102330</v>
      </c>
      <c r="G198" s="456">
        <v>102330</v>
      </c>
      <c r="H198" s="246">
        <f t="shared" si="14"/>
        <v>100</v>
      </c>
      <c r="J198" s="552"/>
      <c r="K198" s="241"/>
    </row>
    <row r="199" spans="2:12" ht="24.75" customHeight="1">
      <c r="B199" s="244"/>
      <c r="C199" s="197" t="s">
        <v>868</v>
      </c>
      <c r="D199" s="548">
        <v>30620</v>
      </c>
      <c r="E199" s="548">
        <v>30620</v>
      </c>
      <c r="F199" s="247">
        <v>30612</v>
      </c>
      <c r="G199" s="456">
        <v>30620</v>
      </c>
      <c r="H199" s="246">
        <f t="shared" si="14"/>
        <v>100</v>
      </c>
      <c r="J199" s="552"/>
      <c r="K199" s="241"/>
    </row>
    <row r="200" spans="2:12" s="827" customFormat="1" ht="15" customHeight="1">
      <c r="B200" s="244"/>
      <c r="C200" s="197" t="s">
        <v>910</v>
      </c>
      <c r="D200" s="548">
        <v>0</v>
      </c>
      <c r="E200" s="548">
        <v>7309</v>
      </c>
      <c r="F200" s="247">
        <v>7309</v>
      </c>
      <c r="G200" s="456">
        <v>7310</v>
      </c>
      <c r="H200" s="246">
        <f t="shared" ref="H200" si="23">IF(E200=0,"",G200/E200*100)</f>
        <v>100.01368176221096</v>
      </c>
      <c r="I200" s="185"/>
      <c r="J200" s="552"/>
      <c r="K200" s="241"/>
      <c r="L200" s="185"/>
    </row>
    <row r="201" spans="2:12" ht="15" customHeight="1">
      <c r="B201" s="244"/>
      <c r="C201" s="197" t="s">
        <v>690</v>
      </c>
      <c r="D201" s="548">
        <v>0</v>
      </c>
      <c r="E201" s="548">
        <v>0</v>
      </c>
      <c r="F201" s="247">
        <v>0</v>
      </c>
      <c r="G201" s="456">
        <v>0</v>
      </c>
      <c r="H201" s="246" t="str">
        <f t="shared" si="14"/>
        <v/>
      </c>
      <c r="J201" s="552"/>
      <c r="K201" s="241"/>
    </row>
    <row r="202" spans="2:12" s="827" customFormat="1" ht="15" customHeight="1">
      <c r="B202" s="244"/>
      <c r="C202" s="197" t="s">
        <v>911</v>
      </c>
      <c r="D202" s="548">
        <v>0</v>
      </c>
      <c r="E202" s="548">
        <v>4537</v>
      </c>
      <c r="F202" s="247">
        <v>4537</v>
      </c>
      <c r="G202" s="456">
        <v>4540</v>
      </c>
      <c r="H202" s="246">
        <f t="shared" ref="H202" si="24">IF(E202=0,"",G202/E202*100)</f>
        <v>100.0661229887591</v>
      </c>
      <c r="I202" s="185"/>
      <c r="J202" s="552"/>
      <c r="K202" s="241"/>
      <c r="L202" s="185"/>
    </row>
    <row r="203" spans="2:12" ht="25.5" customHeight="1">
      <c r="B203" s="232">
        <v>742000</v>
      </c>
      <c r="C203" s="230" t="s">
        <v>370</v>
      </c>
      <c r="D203" s="224">
        <f>D204+D219</f>
        <v>217460</v>
      </c>
      <c r="E203" s="224">
        <f>E204+E219</f>
        <v>217460</v>
      </c>
      <c r="F203" s="231">
        <f>F204+F219</f>
        <v>222885</v>
      </c>
      <c r="G203" s="453">
        <f>G204+G219</f>
        <v>222900</v>
      </c>
      <c r="H203" s="205">
        <f t="shared" si="14"/>
        <v>102.50160949140073</v>
      </c>
      <c r="J203" s="552"/>
      <c r="K203" s="241"/>
    </row>
    <row r="204" spans="2:12" ht="15" customHeight="1">
      <c r="B204" s="139">
        <v>742100</v>
      </c>
      <c r="C204" s="198" t="s">
        <v>371</v>
      </c>
      <c r="D204" s="129">
        <f>D205+D206+D215+D217</f>
        <v>211860</v>
      </c>
      <c r="E204" s="129">
        <f>E205+E206+E215+E217</f>
        <v>211860</v>
      </c>
      <c r="F204" s="136">
        <f>F205+F206+F215+F217</f>
        <v>217286</v>
      </c>
      <c r="G204" s="459">
        <f>G205+G206+G215+G217</f>
        <v>217300</v>
      </c>
      <c r="H204" s="123">
        <f t="shared" si="14"/>
        <v>102.56773340885491</v>
      </c>
      <c r="J204" s="552"/>
      <c r="K204" s="241"/>
    </row>
    <row r="205" spans="2:12" ht="15" customHeight="1">
      <c r="B205" s="133">
        <v>742111</v>
      </c>
      <c r="C205" s="189" t="s">
        <v>472</v>
      </c>
      <c r="D205" s="688">
        <v>0</v>
      </c>
      <c r="E205" s="688">
        <v>0</v>
      </c>
      <c r="F205" s="73">
        <v>0</v>
      </c>
      <c r="G205" s="455">
        <v>0</v>
      </c>
      <c r="H205" s="246" t="str">
        <f>IF(E205=0,"",G205/E205*100)</f>
        <v/>
      </c>
      <c r="J205" s="552"/>
      <c r="K205" s="241"/>
    </row>
    <row r="206" spans="2:12" ht="15" customHeight="1">
      <c r="B206" s="133">
        <v>742112</v>
      </c>
      <c r="C206" s="189" t="s">
        <v>372</v>
      </c>
      <c r="D206" s="688">
        <f>SUM(D207:D214)</f>
        <v>211860</v>
      </c>
      <c r="E206" s="688">
        <f>SUM(E207:E214)</f>
        <v>211860</v>
      </c>
      <c r="F206" s="73">
        <f>SUM(F207:F214)</f>
        <v>211852</v>
      </c>
      <c r="G206" s="455">
        <f>SUM(G207:G214)</f>
        <v>211860</v>
      </c>
      <c r="H206" s="246">
        <f t="shared" si="14"/>
        <v>100</v>
      </c>
      <c r="J206" s="552"/>
      <c r="K206" s="241"/>
    </row>
    <row r="207" spans="2:12" ht="25.5">
      <c r="B207" s="125"/>
      <c r="C207" s="197" t="s">
        <v>704</v>
      </c>
      <c r="D207" s="548">
        <v>0</v>
      </c>
      <c r="E207" s="548">
        <v>0</v>
      </c>
      <c r="F207" s="106">
        <v>0</v>
      </c>
      <c r="G207" s="456">
        <v>0</v>
      </c>
      <c r="H207" s="246" t="str">
        <f t="shared" si="14"/>
        <v/>
      </c>
      <c r="J207" s="552"/>
      <c r="K207" s="241"/>
    </row>
    <row r="208" spans="2:12" ht="24.75" customHeight="1">
      <c r="B208" s="244"/>
      <c r="C208" s="197" t="s">
        <v>705</v>
      </c>
      <c r="D208" s="548">
        <v>200000</v>
      </c>
      <c r="E208" s="548">
        <v>200000</v>
      </c>
      <c r="F208" s="247">
        <v>200000</v>
      </c>
      <c r="G208" s="456">
        <v>200000</v>
      </c>
      <c r="H208" s="246">
        <f t="shared" si="14"/>
        <v>100</v>
      </c>
      <c r="J208" s="552"/>
      <c r="K208" s="241"/>
    </row>
    <row r="209" spans="2:12" ht="24.75" customHeight="1">
      <c r="B209" s="244"/>
      <c r="C209" s="197" t="s">
        <v>869</v>
      </c>
      <c r="D209" s="548">
        <v>11860</v>
      </c>
      <c r="E209" s="548">
        <v>11860</v>
      </c>
      <c r="F209" s="247">
        <v>11852</v>
      </c>
      <c r="G209" s="456">
        <v>11860</v>
      </c>
      <c r="H209" s="246">
        <f t="shared" si="14"/>
        <v>100</v>
      </c>
      <c r="J209" s="552"/>
      <c r="K209" s="241"/>
    </row>
    <row r="210" spans="2:12" ht="25.5">
      <c r="B210" s="244"/>
      <c r="C210" s="197" t="s">
        <v>706</v>
      </c>
      <c r="D210" s="548">
        <v>0</v>
      </c>
      <c r="E210" s="548">
        <v>0</v>
      </c>
      <c r="F210" s="247">
        <v>0</v>
      </c>
      <c r="G210" s="456">
        <v>0</v>
      </c>
      <c r="H210" s="246" t="str">
        <f>IF(E210=0,"",G210/E210*100)</f>
        <v/>
      </c>
      <c r="J210" s="552"/>
      <c r="K210" s="241"/>
    </row>
    <row r="211" spans="2:12" ht="25.5">
      <c r="B211" s="244"/>
      <c r="C211" s="197" t="s">
        <v>706</v>
      </c>
      <c r="D211" s="548">
        <v>0</v>
      </c>
      <c r="E211" s="548">
        <v>0</v>
      </c>
      <c r="F211" s="247">
        <v>0</v>
      </c>
      <c r="G211" s="456">
        <v>0</v>
      </c>
      <c r="H211" s="246" t="str">
        <f>IF(E211=0,"",G211/E211*100)</f>
        <v/>
      </c>
      <c r="J211" s="552"/>
      <c r="K211" s="241"/>
    </row>
    <row r="212" spans="2:12" ht="25.5">
      <c r="B212" s="244"/>
      <c r="C212" s="197" t="s">
        <v>677</v>
      </c>
      <c r="D212" s="548">
        <v>0</v>
      </c>
      <c r="E212" s="548">
        <v>0</v>
      </c>
      <c r="F212" s="247">
        <v>0</v>
      </c>
      <c r="G212" s="456">
        <v>0</v>
      </c>
      <c r="H212" s="246" t="str">
        <f>IF(E212=0,"",G212/E212*100)</f>
        <v/>
      </c>
      <c r="J212" s="552"/>
      <c r="K212" s="241"/>
    </row>
    <row r="213" spans="2:12" ht="25.5">
      <c r="B213" s="244"/>
      <c r="C213" s="197" t="s">
        <v>677</v>
      </c>
      <c r="D213" s="548">
        <v>0</v>
      </c>
      <c r="E213" s="548">
        <v>0</v>
      </c>
      <c r="F213" s="247">
        <v>0</v>
      </c>
      <c r="G213" s="456">
        <v>0</v>
      </c>
      <c r="H213" s="246" t="str">
        <f>IF(E213=0,"",G213/E213*100)</f>
        <v/>
      </c>
      <c r="J213" s="552"/>
      <c r="K213" s="241"/>
    </row>
    <row r="214" spans="2:12" ht="25.5">
      <c r="B214" s="244"/>
      <c r="C214" s="197" t="s">
        <v>678</v>
      </c>
      <c r="D214" s="548">
        <v>0</v>
      </c>
      <c r="E214" s="548">
        <v>0</v>
      </c>
      <c r="F214" s="247">
        <v>0</v>
      </c>
      <c r="G214" s="456">
        <v>0</v>
      </c>
      <c r="H214" s="246" t="str">
        <f>IF(E214=0,"",G214/E214*100)</f>
        <v/>
      </c>
      <c r="J214" s="552"/>
      <c r="K214" s="241"/>
    </row>
    <row r="215" spans="2:12" ht="15" customHeight="1">
      <c r="B215" s="133">
        <v>742114</v>
      </c>
      <c r="C215" s="189" t="s">
        <v>707</v>
      </c>
      <c r="D215" s="548">
        <f>D216</f>
        <v>0</v>
      </c>
      <c r="E215" s="548">
        <f>E216</f>
        <v>0</v>
      </c>
      <c r="F215" s="73">
        <f t="shared" ref="F215:F217" si="25">F216</f>
        <v>0</v>
      </c>
      <c r="G215" s="456">
        <f>G216</f>
        <v>0</v>
      </c>
      <c r="H215" s="246" t="str">
        <f t="shared" ref="H215" si="26">IF(E215=0,"",G215/E215*100)</f>
        <v/>
      </c>
      <c r="J215" s="552"/>
      <c r="K215" s="241"/>
    </row>
    <row r="216" spans="2:12" ht="25.5">
      <c r="B216" s="244"/>
      <c r="C216" s="197" t="s">
        <v>708</v>
      </c>
      <c r="D216" s="548">
        <v>0</v>
      </c>
      <c r="E216" s="548">
        <v>0</v>
      </c>
      <c r="F216" s="247">
        <v>0</v>
      </c>
      <c r="G216" s="456">
        <v>0</v>
      </c>
      <c r="H216" s="246" t="str">
        <f>IF(E216=0,"",G216/E216*100)</f>
        <v/>
      </c>
      <c r="J216" s="552"/>
      <c r="K216" s="241"/>
    </row>
    <row r="217" spans="2:12" s="827" customFormat="1" ht="15" customHeight="1">
      <c r="B217" s="133">
        <v>742116</v>
      </c>
      <c r="C217" s="189" t="s">
        <v>912</v>
      </c>
      <c r="D217" s="548">
        <f>D218</f>
        <v>0</v>
      </c>
      <c r="E217" s="548">
        <f>E218</f>
        <v>0</v>
      </c>
      <c r="F217" s="73">
        <f t="shared" si="25"/>
        <v>5434</v>
      </c>
      <c r="G217" s="456">
        <f>G218</f>
        <v>5440</v>
      </c>
      <c r="H217" s="246" t="str">
        <f t="shared" ref="H217" si="27">IF(E217=0,"",G217/E217*100)</f>
        <v/>
      </c>
      <c r="I217" s="185"/>
      <c r="J217" s="552"/>
      <c r="K217" s="241"/>
      <c r="L217" s="185"/>
    </row>
    <row r="218" spans="2:12" s="827" customFormat="1">
      <c r="B218" s="244"/>
      <c r="C218" s="197" t="s">
        <v>932</v>
      </c>
      <c r="D218" s="548">
        <v>0</v>
      </c>
      <c r="E218" s="548">
        <v>0</v>
      </c>
      <c r="F218" s="247">
        <v>5434</v>
      </c>
      <c r="G218" s="456">
        <v>5440</v>
      </c>
      <c r="H218" s="246" t="str">
        <f>IF(E218=0,"",G218/E218*100)</f>
        <v/>
      </c>
      <c r="I218" s="185"/>
      <c r="J218" s="552"/>
      <c r="K218" s="241"/>
      <c r="L218" s="185"/>
    </row>
    <row r="219" spans="2:12" ht="15" customHeight="1">
      <c r="B219" s="139">
        <v>742200</v>
      </c>
      <c r="C219" s="198" t="s">
        <v>552</v>
      </c>
      <c r="D219" s="129">
        <f>D220+D222</f>
        <v>5600</v>
      </c>
      <c r="E219" s="129">
        <f t="shared" ref="E219:G219" si="28">E220+E222</f>
        <v>5600</v>
      </c>
      <c r="F219" s="136">
        <f t="shared" si="28"/>
        <v>5599</v>
      </c>
      <c r="G219" s="459">
        <f t="shared" si="28"/>
        <v>5600</v>
      </c>
      <c r="H219" s="123">
        <f t="shared" ref="H219" si="29">IF(E219=0,"",G219/E219*100)</f>
        <v>100</v>
      </c>
      <c r="J219" s="552"/>
      <c r="K219" s="241"/>
    </row>
    <row r="220" spans="2:12" ht="15" customHeight="1">
      <c r="B220" s="133">
        <v>742211</v>
      </c>
      <c r="C220" s="189" t="s">
        <v>552</v>
      </c>
      <c r="D220" s="688">
        <f>SUM(D221:D223)</f>
        <v>5600</v>
      </c>
      <c r="E220" s="688">
        <f>SUM(E221:E223)</f>
        <v>5600</v>
      </c>
      <c r="F220" s="73">
        <f t="shared" ref="F220:F222" si="30">SUM(F221:F223)</f>
        <v>5599</v>
      </c>
      <c r="G220" s="456">
        <f>SUM(G221:G223)</f>
        <v>5600</v>
      </c>
      <c r="H220" s="246">
        <f>IF(E220=0,"",G220/E220*100)</f>
        <v>100</v>
      </c>
      <c r="J220" s="552"/>
      <c r="K220" s="241"/>
    </row>
    <row r="221" spans="2:12" ht="15" customHeight="1">
      <c r="B221" s="125"/>
      <c r="C221" s="197" t="s">
        <v>874</v>
      </c>
      <c r="D221" s="548">
        <v>5600</v>
      </c>
      <c r="E221" s="548">
        <v>5600</v>
      </c>
      <c r="F221" s="106">
        <v>5599</v>
      </c>
      <c r="G221" s="456">
        <v>5600</v>
      </c>
      <c r="H221" s="246">
        <f t="shared" ref="H221" si="31">IF(E221=0,"",G221/E221*100)</f>
        <v>100</v>
      </c>
      <c r="J221" s="552"/>
      <c r="K221" s="241"/>
    </row>
    <row r="222" spans="2:12" ht="15" customHeight="1">
      <c r="B222" s="133">
        <v>742212</v>
      </c>
      <c r="C222" s="189" t="s">
        <v>553</v>
      </c>
      <c r="D222" s="688">
        <f>SUM(D223:D225)</f>
        <v>0</v>
      </c>
      <c r="E222" s="688">
        <f>SUM(E223:E225)</f>
        <v>0</v>
      </c>
      <c r="F222" s="73">
        <f t="shared" si="30"/>
        <v>0</v>
      </c>
      <c r="G222" s="455">
        <f>SUM(G223:G225)</f>
        <v>0</v>
      </c>
      <c r="H222" s="246" t="str">
        <f>IF(E222=0,"",G222/E222*100)</f>
        <v/>
      </c>
      <c r="J222" s="552"/>
      <c r="K222" s="241"/>
    </row>
    <row r="223" spans="2:12" ht="15" customHeight="1">
      <c r="B223" s="125"/>
      <c r="C223" s="197" t="s">
        <v>709</v>
      </c>
      <c r="D223" s="548">
        <v>0</v>
      </c>
      <c r="E223" s="548">
        <v>0</v>
      </c>
      <c r="F223" s="106">
        <v>0</v>
      </c>
      <c r="G223" s="456">
        <v>0</v>
      </c>
      <c r="H223" s="246" t="str">
        <f t="shared" ref="H223:H243" si="32">IF(E223=0,"",G223/E223*100)</f>
        <v/>
      </c>
      <c r="J223" s="552"/>
      <c r="K223" s="241"/>
    </row>
    <row r="224" spans="2:12" ht="15" customHeight="1">
      <c r="B224" s="125"/>
      <c r="C224" s="197" t="s">
        <v>710</v>
      </c>
      <c r="D224" s="548">
        <v>0</v>
      </c>
      <c r="E224" s="548">
        <v>0</v>
      </c>
      <c r="F224" s="106">
        <v>0</v>
      </c>
      <c r="G224" s="456">
        <v>0</v>
      </c>
      <c r="H224" s="246" t="str">
        <f t="shared" si="32"/>
        <v/>
      </c>
      <c r="J224" s="552"/>
      <c r="K224" s="241"/>
    </row>
    <row r="225" spans="2:12" ht="15" customHeight="1">
      <c r="B225" s="125"/>
      <c r="C225" s="197" t="s">
        <v>711</v>
      </c>
      <c r="D225" s="548">
        <v>0</v>
      </c>
      <c r="E225" s="548">
        <v>0</v>
      </c>
      <c r="F225" s="106">
        <v>0</v>
      </c>
      <c r="G225" s="456">
        <v>0</v>
      </c>
      <c r="H225" s="246" t="str">
        <f t="shared" si="32"/>
        <v/>
      </c>
      <c r="J225" s="552"/>
      <c r="K225" s="241"/>
    </row>
    <row r="226" spans="2:12">
      <c r="B226" s="125"/>
      <c r="C226" s="197"/>
      <c r="D226" s="548"/>
      <c r="E226" s="548"/>
      <c r="F226" s="106"/>
      <c r="G226" s="456"/>
      <c r="H226" s="246" t="str">
        <f t="shared" si="32"/>
        <v/>
      </c>
      <c r="J226" s="552"/>
      <c r="K226" s="241"/>
    </row>
    <row r="227" spans="2:12" ht="17.100000000000001" customHeight="1">
      <c r="B227" s="219">
        <v>777000</v>
      </c>
      <c r="C227" s="220" t="s">
        <v>322</v>
      </c>
      <c r="D227" s="224">
        <f>SUM(D228:D229)</f>
        <v>300</v>
      </c>
      <c r="E227" s="224">
        <f>SUM(E228:E229)</f>
        <v>300</v>
      </c>
      <c r="F227" s="233">
        <f>SUM(F228:F229)</f>
        <v>263</v>
      </c>
      <c r="G227" s="453">
        <f>SUM(G228:G229)</f>
        <v>330</v>
      </c>
      <c r="H227" s="215">
        <f t="shared" si="32"/>
        <v>110.00000000000001</v>
      </c>
      <c r="J227" s="552"/>
      <c r="K227" s="241"/>
    </row>
    <row r="228" spans="2:12" ht="15" customHeight="1">
      <c r="B228" s="121">
        <v>777778</v>
      </c>
      <c r="C228" s="195" t="s">
        <v>323</v>
      </c>
      <c r="D228" s="688">
        <v>300</v>
      </c>
      <c r="E228" s="688">
        <v>300</v>
      </c>
      <c r="F228" s="66">
        <v>263</v>
      </c>
      <c r="G228" s="455">
        <v>330</v>
      </c>
      <c r="H228" s="246">
        <f t="shared" si="32"/>
        <v>110.00000000000001</v>
      </c>
      <c r="J228" s="552"/>
      <c r="K228" s="241"/>
    </row>
    <row r="229" spans="2:12" ht="15" customHeight="1">
      <c r="B229" s="121">
        <v>777779</v>
      </c>
      <c r="C229" s="189" t="s">
        <v>324</v>
      </c>
      <c r="D229" s="548">
        <v>0</v>
      </c>
      <c r="E229" s="548">
        <v>0</v>
      </c>
      <c r="F229" s="66">
        <v>0</v>
      </c>
      <c r="G229" s="456">
        <v>0</v>
      </c>
      <c r="H229" s="246" t="str">
        <f t="shared" si="32"/>
        <v/>
      </c>
      <c r="J229" s="552"/>
      <c r="K229" s="241"/>
    </row>
    <row r="230" spans="2:12" ht="15" customHeight="1">
      <c r="B230" s="71"/>
      <c r="C230" s="72"/>
      <c r="D230" s="456"/>
      <c r="E230" s="456"/>
      <c r="F230" s="106"/>
      <c r="G230" s="456"/>
      <c r="H230" s="246" t="str">
        <f t="shared" si="32"/>
        <v/>
      </c>
      <c r="J230" s="552"/>
      <c r="K230" s="241"/>
    </row>
    <row r="231" spans="2:12" ht="15" customHeight="1">
      <c r="B231" s="876" t="s">
        <v>336</v>
      </c>
      <c r="C231" s="877"/>
      <c r="D231" s="461">
        <f>D163+D165+D194+D227</f>
        <v>43581080</v>
      </c>
      <c r="E231" s="461">
        <f>E163+E165+E194+E227</f>
        <v>43601555</v>
      </c>
      <c r="F231" s="147">
        <f>F163+F165+F194+F227</f>
        <v>35912664</v>
      </c>
      <c r="G231" s="461">
        <f>G163+G165+G194+G227</f>
        <v>43704550</v>
      </c>
      <c r="H231" s="208">
        <f t="shared" si="32"/>
        <v>100.23621863944989</v>
      </c>
      <c r="J231" s="552"/>
      <c r="K231" s="241"/>
    </row>
    <row r="232" spans="2:12" ht="15" customHeight="1">
      <c r="B232" s="145"/>
      <c r="C232" s="146"/>
      <c r="D232" s="461"/>
      <c r="E232" s="461"/>
      <c r="F232" s="147"/>
      <c r="G232" s="461"/>
      <c r="H232" s="246" t="str">
        <f t="shared" si="32"/>
        <v/>
      </c>
      <c r="J232" s="552"/>
      <c r="K232" s="241"/>
    </row>
    <row r="233" spans="2:12" ht="17.100000000000001" customHeight="1">
      <c r="B233" s="219">
        <v>810000</v>
      </c>
      <c r="C233" s="220" t="s">
        <v>325</v>
      </c>
      <c r="D233" s="452">
        <f>D234</f>
        <v>5770</v>
      </c>
      <c r="E233" s="452">
        <f>E234</f>
        <v>5770</v>
      </c>
      <c r="F233" s="221">
        <f>F234</f>
        <v>6113</v>
      </c>
      <c r="G233" s="452">
        <f>G234</f>
        <v>11580</v>
      </c>
      <c r="H233" s="205">
        <f t="shared" si="32"/>
        <v>200.69324090121316</v>
      </c>
      <c r="J233" s="552"/>
      <c r="K233" s="241"/>
    </row>
    <row r="234" spans="2:12" ht="17.100000000000001" customHeight="1">
      <c r="B234" s="229">
        <v>811000</v>
      </c>
      <c r="C234" s="230" t="s">
        <v>327</v>
      </c>
      <c r="D234" s="224">
        <f>SUM(D235:D235)</f>
        <v>5770</v>
      </c>
      <c r="E234" s="224">
        <f>SUM(E235:E235)</f>
        <v>5770</v>
      </c>
      <c r="F234" s="231">
        <f>SUM(F235:F235)</f>
        <v>6113</v>
      </c>
      <c r="G234" s="453">
        <f>SUM(G235:G235)</f>
        <v>11580</v>
      </c>
      <c r="H234" s="205">
        <f t="shared" si="32"/>
        <v>200.69324090121316</v>
      </c>
      <c r="J234" s="552"/>
      <c r="K234" s="241"/>
    </row>
    <row r="235" spans="2:12" ht="15" customHeight="1">
      <c r="B235" s="139">
        <v>811100</v>
      </c>
      <c r="C235" s="144" t="s">
        <v>326</v>
      </c>
      <c r="D235" s="138">
        <f>D236+D238</f>
        <v>5770</v>
      </c>
      <c r="E235" s="138">
        <f>E236+E238</f>
        <v>5770</v>
      </c>
      <c r="F235" s="142">
        <f>F236+F238</f>
        <v>6113</v>
      </c>
      <c r="G235" s="457">
        <f>G236+G238</f>
        <v>11580</v>
      </c>
      <c r="H235" s="123">
        <f t="shared" si="32"/>
        <v>200.69324090121316</v>
      </c>
      <c r="J235" s="552"/>
      <c r="K235" s="241"/>
    </row>
    <row r="236" spans="2:12" ht="15" customHeight="1">
      <c r="B236" s="121">
        <v>811111</v>
      </c>
      <c r="C236" s="195" t="s">
        <v>466</v>
      </c>
      <c r="D236" s="688">
        <f>D237</f>
        <v>0</v>
      </c>
      <c r="E236" s="688">
        <f>E237</f>
        <v>0</v>
      </c>
      <c r="F236" s="66">
        <f t="shared" ref="F236" si="33">F237</f>
        <v>0</v>
      </c>
      <c r="G236" s="455">
        <f>G237</f>
        <v>0</v>
      </c>
      <c r="H236" s="246" t="str">
        <f t="shared" si="32"/>
        <v/>
      </c>
      <c r="J236" s="552"/>
      <c r="K236" s="241"/>
    </row>
    <row r="237" spans="2:12" ht="15" customHeight="1">
      <c r="B237" s="121"/>
      <c r="C237" s="197" t="s">
        <v>712</v>
      </c>
      <c r="D237" s="688">
        <v>0</v>
      </c>
      <c r="E237" s="688">
        <v>0</v>
      </c>
      <c r="F237" s="66">
        <v>0</v>
      </c>
      <c r="G237" s="455">
        <v>0</v>
      </c>
      <c r="H237" s="246" t="str">
        <f>IF(E237=0,"",G237/E237*100)</f>
        <v/>
      </c>
      <c r="J237" s="552"/>
    </row>
    <row r="238" spans="2:12" ht="15" customHeight="1">
      <c r="B238" s="121">
        <v>811114</v>
      </c>
      <c r="C238" s="189" t="s">
        <v>467</v>
      </c>
      <c r="D238" s="688">
        <f>SUM(D239:D241)</f>
        <v>5770</v>
      </c>
      <c r="E238" s="688">
        <f t="shared" ref="E238:G238" si="34">SUM(E239:E241)</f>
        <v>5770</v>
      </c>
      <c r="F238" s="66">
        <f t="shared" si="34"/>
        <v>6113</v>
      </c>
      <c r="G238" s="455">
        <f t="shared" si="34"/>
        <v>11580</v>
      </c>
      <c r="H238" s="246">
        <f t="shared" si="32"/>
        <v>200.69324090121316</v>
      </c>
      <c r="J238" s="552"/>
    </row>
    <row r="239" spans="2:12" ht="15" customHeight="1">
      <c r="B239" s="121"/>
      <c r="C239" s="197" t="s">
        <v>871</v>
      </c>
      <c r="D239" s="688">
        <v>3520</v>
      </c>
      <c r="E239" s="688">
        <v>3520</v>
      </c>
      <c r="F239" s="66">
        <v>3513</v>
      </c>
      <c r="G239" s="455">
        <v>3520</v>
      </c>
      <c r="H239" s="246">
        <f>IF(E239=0,"",G239/E239*100)</f>
        <v>100</v>
      </c>
      <c r="J239" s="552"/>
    </row>
    <row r="240" spans="2:12" s="827" customFormat="1" ht="15" customHeight="1">
      <c r="B240" s="121"/>
      <c r="C240" s="197" t="s">
        <v>914</v>
      </c>
      <c r="D240" s="688">
        <v>0</v>
      </c>
      <c r="E240" s="688">
        <v>0</v>
      </c>
      <c r="F240" s="66">
        <v>0</v>
      </c>
      <c r="G240" s="455">
        <v>5460</v>
      </c>
      <c r="H240" s="246" t="str">
        <f>IF(E240=0,"",G240/E240*100)</f>
        <v/>
      </c>
      <c r="I240" s="185"/>
      <c r="J240" s="552"/>
      <c r="K240" s="185"/>
      <c r="L240" s="185"/>
    </row>
    <row r="241" spans="2:10" ht="15" customHeight="1">
      <c r="B241" s="121"/>
      <c r="C241" s="197" t="s">
        <v>872</v>
      </c>
      <c r="D241" s="688">
        <v>2250</v>
      </c>
      <c r="E241" s="688">
        <v>2250</v>
      </c>
      <c r="F241" s="66">
        <v>2600</v>
      </c>
      <c r="G241" s="455">
        <v>2600</v>
      </c>
      <c r="H241" s="246">
        <f>IF(E241=0,"",G241/E241*100)</f>
        <v>115.55555555555554</v>
      </c>
      <c r="J241" s="552"/>
    </row>
    <row r="242" spans="2:10" ht="15" customHeight="1" thickBot="1">
      <c r="B242" s="165"/>
      <c r="C242" s="166"/>
      <c r="D242" s="462"/>
      <c r="E242" s="462"/>
      <c r="F242" s="166"/>
      <c r="G242" s="462"/>
      <c r="H242" s="248" t="str">
        <f t="shared" si="32"/>
        <v/>
      </c>
      <c r="J242" s="552"/>
    </row>
    <row r="243" spans="2:10" ht="17.100000000000001" customHeight="1" thickBot="1">
      <c r="B243" s="878" t="s">
        <v>373</v>
      </c>
      <c r="C243" s="879"/>
      <c r="D243" s="463">
        <f>D231+D233</f>
        <v>43586850</v>
      </c>
      <c r="E243" s="463">
        <f>E231+E233</f>
        <v>43607325</v>
      </c>
      <c r="F243" s="234">
        <f>F231+F233</f>
        <v>35918777</v>
      </c>
      <c r="G243" s="463">
        <f>G231+G233</f>
        <v>43716130</v>
      </c>
      <c r="H243" s="209">
        <f t="shared" si="32"/>
        <v>100.24951083332903</v>
      </c>
    </row>
    <row r="245" spans="2:10">
      <c r="E245" s="74"/>
      <c r="G245" s="834"/>
    </row>
    <row r="246" spans="2:10">
      <c r="D246" s="74"/>
      <c r="E246" s="74"/>
      <c r="F246" s="74"/>
    </row>
  </sheetData>
  <mergeCells count="4">
    <mergeCell ref="B2:H2"/>
    <mergeCell ref="B163:C163"/>
    <mergeCell ref="B231:C231"/>
    <mergeCell ref="B243:C243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31"/>
  <sheetViews>
    <sheetView topLeftCell="C1" zoomScaleNormal="100" workbookViewId="0">
      <selection activeCell="N7" sqref="N7"/>
    </sheetView>
  </sheetViews>
  <sheetFormatPr defaultColWidth="9.140625" defaultRowHeight="12" customHeight="1"/>
  <cols>
    <col min="1" max="1" width="0.5703125" style="9" hidden="1" customWidth="1"/>
    <col min="2" max="2" width="5.7109375" style="9" hidden="1" customWidth="1"/>
    <col min="3" max="3" width="9.7109375" style="18" customWidth="1"/>
    <col min="4" max="4" width="7.42578125" style="319" customWidth="1"/>
    <col min="5" max="5" width="54" style="9" customWidth="1"/>
    <col min="6" max="8" width="12.7109375" style="9" customWidth="1"/>
    <col min="9" max="10" width="12.7109375" style="314" customWidth="1"/>
    <col min="11" max="11" width="14.7109375" style="9" customWidth="1"/>
    <col min="12" max="12" width="7.85546875" style="95" customWidth="1"/>
    <col min="13" max="13" width="9.140625" style="9"/>
    <col min="14" max="14" width="13.140625" style="815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883" t="s">
        <v>76</v>
      </c>
      <c r="D3" s="883"/>
      <c r="E3" s="883"/>
      <c r="F3" s="93"/>
      <c r="G3" s="93"/>
      <c r="H3" s="93"/>
      <c r="I3" s="401"/>
      <c r="J3" s="401"/>
      <c r="K3" s="881"/>
      <c r="L3" s="882"/>
      <c r="N3" s="816"/>
    </row>
    <row r="4" spans="2:16" s="1" customFormat="1" ht="39.75" customHeight="1">
      <c r="B4" s="3" t="s">
        <v>77</v>
      </c>
      <c r="C4" s="888" t="s">
        <v>516</v>
      </c>
      <c r="D4" s="890" t="s">
        <v>555</v>
      </c>
      <c r="E4" s="892" t="s">
        <v>79</v>
      </c>
      <c r="F4" s="894" t="s">
        <v>903</v>
      </c>
      <c r="G4" s="894" t="s">
        <v>850</v>
      </c>
      <c r="H4" s="894" t="s">
        <v>925</v>
      </c>
      <c r="I4" s="885" t="s">
        <v>928</v>
      </c>
      <c r="J4" s="886"/>
      <c r="K4" s="887"/>
      <c r="L4" s="895" t="s">
        <v>603</v>
      </c>
      <c r="N4" s="816"/>
    </row>
    <row r="5" spans="2:16" s="311" customFormat="1" ht="28.5" customHeight="1">
      <c r="B5" s="405"/>
      <c r="C5" s="889"/>
      <c r="D5" s="891"/>
      <c r="E5" s="893"/>
      <c r="F5" s="893"/>
      <c r="G5" s="893"/>
      <c r="H5" s="893"/>
      <c r="I5" s="431" t="s">
        <v>600</v>
      </c>
      <c r="J5" s="431" t="s">
        <v>601</v>
      </c>
      <c r="K5" s="415" t="s">
        <v>349</v>
      </c>
      <c r="L5" s="896"/>
      <c r="N5" s="816"/>
    </row>
    <row r="6" spans="2:16" s="2" customFormat="1" ht="14.1" customHeight="1">
      <c r="B6" s="4">
        <v>1</v>
      </c>
      <c r="C6" s="525">
        <v>1</v>
      </c>
      <c r="D6" s="347"/>
      <c r="E6" s="361">
        <v>2</v>
      </c>
      <c r="F6" s="526">
        <v>3</v>
      </c>
      <c r="G6" s="526">
        <v>4</v>
      </c>
      <c r="H6" s="526">
        <v>5</v>
      </c>
      <c r="I6" s="361">
        <v>6</v>
      </c>
      <c r="J6" s="361">
        <v>7</v>
      </c>
      <c r="K6" s="528" t="s">
        <v>602</v>
      </c>
      <c r="L6" s="527">
        <v>9</v>
      </c>
      <c r="N6" s="816"/>
    </row>
    <row r="7" spans="2:16" s="2" customFormat="1" ht="15" customHeight="1">
      <c r="B7" s="4"/>
      <c r="C7" s="436"/>
      <c r="D7" s="437"/>
      <c r="E7" s="438" t="s">
        <v>143</v>
      </c>
      <c r="F7" s="439">
        <f t="shared" ref="F7:K7" si="0">F9+F15+F21+F24+F47+F93+F99+F106+F114</f>
        <v>43579840</v>
      </c>
      <c r="G7" s="439">
        <f t="shared" si="0"/>
        <v>43600315</v>
      </c>
      <c r="H7" s="439">
        <f t="shared" si="0"/>
        <v>29290416</v>
      </c>
      <c r="I7" s="439">
        <f t="shared" si="0"/>
        <v>39793100</v>
      </c>
      <c r="J7" s="439">
        <f t="shared" si="0"/>
        <v>3921760</v>
      </c>
      <c r="K7" s="421">
        <f t="shared" si="0"/>
        <v>43714860</v>
      </c>
      <c r="L7" s="440">
        <f>IF(G7=0,"",K7/G7*100)</f>
        <v>100.26271599184547</v>
      </c>
      <c r="N7" s="816"/>
    </row>
    <row r="8" spans="2:16" s="2" customFormat="1" ht="9" customHeight="1">
      <c r="B8" s="4"/>
      <c r="C8" s="4"/>
      <c r="D8" s="347"/>
      <c r="E8" s="21"/>
      <c r="F8" s="19"/>
      <c r="G8" s="19"/>
      <c r="H8" s="19"/>
      <c r="I8" s="308"/>
      <c r="J8" s="308"/>
      <c r="K8" s="421"/>
      <c r="L8" s="104" t="str">
        <f>IF(F8=0,"",K8/F8*100)</f>
        <v/>
      </c>
      <c r="N8" s="816"/>
    </row>
    <row r="9" spans="2:16" s="2" customFormat="1" ht="15" customHeight="1">
      <c r="B9" s="4"/>
      <c r="C9" s="441">
        <v>600000</v>
      </c>
      <c r="D9" s="442"/>
      <c r="E9" s="438" t="s">
        <v>116</v>
      </c>
      <c r="F9" s="439">
        <f>F10+F11+F12+F13</f>
        <v>498000</v>
      </c>
      <c r="G9" s="439">
        <f t="shared" ref="G9:H9" si="1">G10+G11+G12+G13</f>
        <v>498000</v>
      </c>
      <c r="H9" s="439">
        <f t="shared" si="1"/>
        <v>371518</v>
      </c>
      <c r="I9" s="439">
        <f>I10+I11+I12+I13</f>
        <v>548000</v>
      </c>
      <c r="J9" s="439">
        <f>J10+J11+J12+J13</f>
        <v>0</v>
      </c>
      <c r="K9" s="421">
        <f>K10+K11+K12+K13</f>
        <v>548000</v>
      </c>
      <c r="L9" s="440">
        <f>IF(G9=0,"",K9/G9*100)</f>
        <v>110.04016064257027</v>
      </c>
      <c r="N9" s="816"/>
    </row>
    <row r="10" spans="2:16" s="2" customFormat="1" ht="15" customHeight="1">
      <c r="B10" s="4"/>
      <c r="C10" s="266">
        <v>600000</v>
      </c>
      <c r="D10" s="349"/>
      <c r="E10" s="40" t="s">
        <v>96</v>
      </c>
      <c r="F10" s="43">
        <f>'3'!I9</f>
        <v>450000</v>
      </c>
      <c r="G10" s="43">
        <f>'3'!J9</f>
        <v>450000</v>
      </c>
      <c r="H10" s="43">
        <f>'3'!K9</f>
        <v>341018</v>
      </c>
      <c r="I10" s="242">
        <f>'3'!L9</f>
        <v>500000</v>
      </c>
      <c r="J10" s="242">
        <f>'3'!M9</f>
        <v>0</v>
      </c>
      <c r="K10" s="432">
        <f>'3'!N9</f>
        <v>500000</v>
      </c>
      <c r="L10" s="104">
        <f>IF(G10=0,"",K10/G10*100)</f>
        <v>111.11111111111111</v>
      </c>
      <c r="N10" s="816"/>
      <c r="P10" s="92"/>
    </row>
    <row r="11" spans="2:16" s="2" customFormat="1" ht="15" customHeight="1">
      <c r="B11" s="4"/>
      <c r="C11" s="266">
        <v>600000</v>
      </c>
      <c r="D11" s="349"/>
      <c r="E11" s="40" t="s">
        <v>97</v>
      </c>
      <c r="F11" s="43">
        <f>'3'!I10</f>
        <v>24000</v>
      </c>
      <c r="G11" s="43">
        <f>'3'!J10</f>
        <v>24000</v>
      </c>
      <c r="H11" s="43">
        <f>'3'!K10</f>
        <v>16700</v>
      </c>
      <c r="I11" s="43">
        <f>'3'!L10</f>
        <v>24000</v>
      </c>
      <c r="J11" s="43">
        <f>'3'!M10</f>
        <v>0</v>
      </c>
      <c r="K11" s="432">
        <f>'3'!N10</f>
        <v>24000</v>
      </c>
      <c r="L11" s="104">
        <f t="shared" ref="L11:L77" si="2">IF(G11=0,"",K11/G11*100)</f>
        <v>100</v>
      </c>
      <c r="N11" s="816"/>
      <c r="O11" s="92"/>
    </row>
    <row r="12" spans="2:16" s="2" customFormat="1" ht="15" customHeight="1">
      <c r="B12" s="4"/>
      <c r="C12" s="266">
        <v>600000</v>
      </c>
      <c r="D12" s="349"/>
      <c r="E12" s="40" t="s">
        <v>117</v>
      </c>
      <c r="F12" s="43">
        <f>'3'!I11</f>
        <v>12000</v>
      </c>
      <c r="G12" s="43">
        <f>'3'!J11</f>
        <v>12000</v>
      </c>
      <c r="H12" s="43">
        <f>'3'!K11</f>
        <v>10600</v>
      </c>
      <c r="I12" s="43">
        <f>'3'!L11</f>
        <v>12000</v>
      </c>
      <c r="J12" s="43">
        <f>'3'!M11</f>
        <v>0</v>
      </c>
      <c r="K12" s="432">
        <f>'3'!N11</f>
        <v>12000</v>
      </c>
      <c r="L12" s="104">
        <f t="shared" si="2"/>
        <v>100</v>
      </c>
      <c r="N12" s="816"/>
      <c r="P12" s="92"/>
    </row>
    <row r="13" spans="2:16" s="2" customFormat="1" ht="15" customHeight="1">
      <c r="B13" s="4"/>
      <c r="C13" s="266">
        <v>600000</v>
      </c>
      <c r="D13" s="349"/>
      <c r="E13" s="40" t="s">
        <v>106</v>
      </c>
      <c r="F13" s="43">
        <f>'16'!I9</f>
        <v>12000</v>
      </c>
      <c r="G13" s="43">
        <f>'16'!J9</f>
        <v>12000</v>
      </c>
      <c r="H13" s="43">
        <f>'16'!K9</f>
        <v>3200</v>
      </c>
      <c r="I13" s="43">
        <f>'16'!L9</f>
        <v>12000</v>
      </c>
      <c r="J13" s="43">
        <f>'16'!M9</f>
        <v>0</v>
      </c>
      <c r="K13" s="432">
        <f>'16'!N9</f>
        <v>12000</v>
      </c>
      <c r="L13" s="104">
        <f t="shared" si="2"/>
        <v>100</v>
      </c>
      <c r="N13" s="816"/>
    </row>
    <row r="14" spans="2:16" s="2" customFormat="1" ht="10.5" customHeight="1">
      <c r="B14" s="4"/>
      <c r="C14" s="266"/>
      <c r="D14" s="349"/>
      <c r="E14" s="40"/>
      <c r="F14" s="89"/>
      <c r="G14" s="89"/>
      <c r="H14" s="89"/>
      <c r="I14" s="327"/>
      <c r="J14" s="327"/>
      <c r="K14" s="421"/>
      <c r="L14" s="104" t="str">
        <f t="shared" si="2"/>
        <v/>
      </c>
      <c r="N14" s="816"/>
    </row>
    <row r="15" spans="2:16" s="1" customFormat="1" ht="15" customHeight="1">
      <c r="B15" s="6"/>
      <c r="C15" s="441">
        <v>611000</v>
      </c>
      <c r="D15" s="442"/>
      <c r="E15" s="443" t="s">
        <v>146</v>
      </c>
      <c r="F15" s="444">
        <f>F16+F17</f>
        <v>21757980</v>
      </c>
      <c r="G15" s="444">
        <f t="shared" ref="G15:H15" si="3">G16+G17</f>
        <v>21757980</v>
      </c>
      <c r="H15" s="444">
        <f t="shared" si="3"/>
        <v>15870592</v>
      </c>
      <c r="I15" s="444">
        <f>I16+I17</f>
        <v>21853470</v>
      </c>
      <c r="J15" s="444">
        <f>J16+J17</f>
        <v>0</v>
      </c>
      <c r="K15" s="419">
        <f>K16+K17</f>
        <v>21853470</v>
      </c>
      <c r="L15" s="445">
        <f t="shared" si="2"/>
        <v>100.43887346159892</v>
      </c>
      <c r="N15" s="816"/>
      <c r="O15" s="64"/>
      <c r="P15" s="64"/>
    </row>
    <row r="16" spans="2:16" ht="15" customHeight="1">
      <c r="B16" s="10"/>
      <c r="C16" s="267">
        <v>611100</v>
      </c>
      <c r="D16" s="349"/>
      <c r="E16" s="20" t="s">
        <v>174</v>
      </c>
      <c r="F16" s="31">
        <f>'1'!I9+'3'!I14+'4 (S)'!I9+'4 (N)'!I9+'5'!I9+'6'!I9+'8'!I9+'9'!I9+'10'!I9+'11'!I9+'12'!I9+'13'!I9+'14'!I9+'15'!I9+'16'!I12+'17'!I9+'18'!I9+'19'!I9+'20'!I9+'22'!I9+'23'!I9+'21'!I9+'24'!I9+'25'!I9+'26'!I9+'27'!I9+'28'!I9+'29'!I9+'30'!I9+'31'!I9+'32'!I9+'33'!I9+'34'!I9+'35'!I9+'36'!I9+'37'!I9+'7'!I9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17997690</v>
      </c>
      <c r="G16" s="321">
        <f>'1'!J9+'3'!J14+'4 (S)'!J9+'4 (N)'!J9+'5'!J9+'6'!J9+'8'!J9+'9'!J9+'10'!J9+'11'!J9+'12'!J9+'13'!J9+'14'!J9+'15'!J9+'16'!J12+'17'!J9+'18'!J9+'19'!J9+'20'!J9+'22'!J9+'23'!J9+'21'!J9+'24'!J9+'25'!J9+'26'!J9+'27'!J9+'28'!J9+'29'!J9+'30'!J9+'31'!J9+'32'!J9+'33'!J9+'34'!J9+'35'!J9+'36'!J9+'37'!J9+'7'!J9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17997690</v>
      </c>
      <c r="H16" s="321">
        <f>'1'!K9+'3'!K14+'4 (S)'!K9+'4 (N)'!K9+'5'!K9+'6'!K9+'8'!K9+'9'!K9+'10'!K9+'11'!K9+'12'!K9+'13'!K9+'14'!K9+'15'!K9+'16'!K12+'17'!K9+'18'!K9+'19'!K9+'20'!K9+'22'!K9+'23'!K9+'21'!K9+'24'!K9+'25'!K9+'26'!K9+'27'!K9+'28'!K9+'29'!K9+'30'!K9+'31'!K9+'32'!K9+'33'!K9+'34'!K9+'35'!K9+'36'!K9+'37'!K9+'7'!K9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13256562</v>
      </c>
      <c r="I16" s="321">
        <f>'1'!L9+'3'!L14+'4 (S)'!L9+'4 (N)'!L9+'5'!L9+'6'!L9+'8'!L9+'9'!L9+'10'!L9+'11'!L9+'12'!L9+'13'!L9+'14'!L9+'15'!L9+'16'!L12+'17'!L9+'18'!L9+'19'!L9+'20'!L9+'22'!L9+'23'!L9+'21'!L9+'24'!L9+'25'!L9+'26'!L9+'27'!L9+'28'!L9+'29'!L9+'30'!L9+'31'!L9+'32'!L9+'33'!L9+'34'!L9+'35'!L9+'36'!L9+'37'!L9+'7'!L9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18183760</v>
      </c>
      <c r="J16" s="321">
        <f>'1'!M9+'3'!M14+'4 (S)'!M9+'4 (N)'!M9+'5'!M9+'6'!M9+'8'!M9+'9'!M9+'10'!M9+'11'!M9+'12'!M9+'13'!M9+'14'!M9+'15'!M9+'16'!M12+'17'!M9+'18'!M9+'19'!M9+'20'!M9+'22'!M9+'23'!M9+'21'!M9+'24'!M9+'25'!M9+'26'!M9+'27'!M9+'28'!M9+'29'!M9+'30'!M9+'31'!M9+'32'!M9+'33'!M9+'34'!M9+'35'!M9+'36'!M9+'37'!M9+'7'!M9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0</v>
      </c>
      <c r="K16" s="418">
        <f>'1'!N9+'3'!N14+'4 (S)'!N9+'4 (N)'!N9+'5'!N9+'6'!N9+'8'!N9+'9'!N9+'10'!N9+'11'!N9+'12'!N9+'13'!N9+'14'!N9+'15'!N9+'16'!N12+'17'!N9+'18'!N9+'19'!N9+'20'!N9+'22'!N9+'23'!N9+'21'!N9+'24'!N9+'25'!N9+'26'!N9+'27'!N9+'28'!N9+'29'!N9+'30'!N9+'31'!N9+'32'!N9+'33'!N9+'34'!N9+'35'!N9+'36'!N9+'37'!N9+'7'!N9</f>
        <v>18183760</v>
      </c>
      <c r="L16" s="104">
        <f t="shared" si="2"/>
        <v>101.03385490026776</v>
      </c>
    </row>
    <row r="17" spans="2:15" ht="15" customHeight="1">
      <c r="B17" s="10"/>
      <c r="C17" s="267">
        <v>611200</v>
      </c>
      <c r="D17" s="349"/>
      <c r="E17" s="20" t="s">
        <v>175</v>
      </c>
      <c r="F17" s="31">
        <f>F18+F19</f>
        <v>3760290</v>
      </c>
      <c r="G17" s="321">
        <f t="shared" ref="G17:K17" si="4">G18+G19</f>
        <v>3760290</v>
      </c>
      <c r="H17" s="321">
        <f t="shared" si="4"/>
        <v>2614030</v>
      </c>
      <c r="I17" s="321">
        <f t="shared" ref="I17:J17" si="5">I18+I19</f>
        <v>3669710</v>
      </c>
      <c r="J17" s="321">
        <f t="shared" si="5"/>
        <v>0</v>
      </c>
      <c r="K17" s="418">
        <f t="shared" si="4"/>
        <v>3669710</v>
      </c>
      <c r="L17" s="104">
        <f t="shared" si="2"/>
        <v>97.591143236292936</v>
      </c>
    </row>
    <row r="18" spans="2:15" ht="15" customHeight="1">
      <c r="B18" s="10"/>
      <c r="C18" s="268">
        <v>611200</v>
      </c>
      <c r="D18" s="350"/>
      <c r="E18" s="252" t="s">
        <v>175</v>
      </c>
      <c r="F18" s="253">
        <f>'1'!I10+'3'!I15+'4 (S)'!I10+'4 (N)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3697290</v>
      </c>
      <c r="G18" s="330">
        <f>'1'!J10+'3'!J15+'4 (S)'!J10+'4 (N)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3697290</v>
      </c>
      <c r="H18" s="330">
        <f>'1'!K10+'3'!K15+'4 (S)'!K10+'4 (N)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2586885</v>
      </c>
      <c r="I18" s="330">
        <f>'1'!L10+'3'!L15+'4 (S)'!L10+'4 (N)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3626410</v>
      </c>
      <c r="J18" s="330">
        <f>'1'!M10+'3'!M15+'4 (S)'!M10+'4 (N)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0</v>
      </c>
      <c r="K18" s="433">
        <f>'1'!N10+'3'!N15+'4 (S)'!N10+'4 (N)'!N10+'5'!N10+'6'!N10+'8'!N10+'9'!N10+'10'!N10+'11'!N10+'12'!N10+'13'!N10+'14'!N10+'15'!N10+'16'!N13+'17'!N10+'18'!N10+'19'!N10+'20'!N10+'22'!N10+'23'!N10+'21'!N10+'24'!N10+'25'!N10+'26'!N10+'27'!N10+'28'!N10+'29'!N10+'30'!N10+'31'!N10+'32'!N10+'33'!N10+'34'!N10+'35'!N10+'36'!N10+'37'!N10+'7'!N10</f>
        <v>3626410</v>
      </c>
      <c r="L18" s="254">
        <f t="shared" si="2"/>
        <v>98.082920192898044</v>
      </c>
    </row>
    <row r="19" spans="2:15" ht="15" customHeight="1">
      <c r="B19" s="10"/>
      <c r="C19" s="268">
        <v>611200</v>
      </c>
      <c r="D19" s="350" t="s">
        <v>556</v>
      </c>
      <c r="E19" s="329" t="s">
        <v>933</v>
      </c>
      <c r="F19" s="253">
        <f>'1'!I11+'3'!I16+'4 (S)'!I11+'4 (N)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63000</v>
      </c>
      <c r="G19" s="330">
        <f>'1'!J11+'3'!J16+'4 (S)'!J11+'4 (N)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63000</v>
      </c>
      <c r="H19" s="330">
        <f>'1'!K11+'3'!K16+'4 (S)'!K11+'4 (N)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27145</v>
      </c>
      <c r="I19" s="330">
        <f>'1'!L11+'3'!L16+'4 (S)'!L11+'4 (N)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43300</v>
      </c>
      <c r="J19" s="330">
        <f>'1'!M11+'3'!M16+'4 (S)'!M11+'4 (N)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0</v>
      </c>
      <c r="K19" s="433">
        <f>'1'!N11+'3'!N16+'4 (S)'!N11+'4 (N)'!N11+'5'!N11+'6'!N11+'8'!N11+'9'!N11+'10'!N11+'11'!N11+'12'!N11+'13'!N11+'14'!N11+'15'!N11+'16'!N14+'17'!N11+'18'!N11+'19'!N11+'20'!N11+'22'!N11+'23'!N11+'21'!N11+'24'!N11+'25'!N11+'26'!N11+'27'!N11+'28'!N11+'29'!N11+'30'!N11+'31'!N11+'32'!N11+'33'!N11+'34'!N11+'35'!N11+'36'!N11+'37'!N11+'7'!N11</f>
        <v>43300</v>
      </c>
      <c r="L19" s="254">
        <f t="shared" si="2"/>
        <v>68.730158730158735</v>
      </c>
    </row>
    <row r="20" spans="2:15" ht="12.75" customHeight="1">
      <c r="B20" s="10"/>
      <c r="C20" s="267"/>
      <c r="D20" s="349"/>
      <c r="E20" s="11"/>
      <c r="F20" s="56"/>
      <c r="G20" s="56"/>
      <c r="H20" s="56"/>
      <c r="I20" s="310"/>
      <c r="J20" s="310"/>
      <c r="K20" s="418"/>
      <c r="L20" s="104" t="str">
        <f t="shared" si="2"/>
        <v/>
      </c>
    </row>
    <row r="21" spans="2:15" ht="15" customHeight="1">
      <c r="B21" s="10"/>
      <c r="C21" s="441">
        <v>612000</v>
      </c>
      <c r="D21" s="442"/>
      <c r="E21" s="443" t="s">
        <v>145</v>
      </c>
      <c r="F21" s="444">
        <f>F22</f>
        <v>2141380</v>
      </c>
      <c r="G21" s="444">
        <f t="shared" ref="G21:H21" si="6">G22</f>
        <v>2141380</v>
      </c>
      <c r="H21" s="444">
        <f t="shared" si="6"/>
        <v>1574879</v>
      </c>
      <c r="I21" s="444">
        <f>I22</f>
        <v>2163210</v>
      </c>
      <c r="J21" s="444">
        <f>J22</f>
        <v>0</v>
      </c>
      <c r="K21" s="419">
        <f>K22</f>
        <v>2163210</v>
      </c>
      <c r="L21" s="445">
        <f t="shared" si="2"/>
        <v>101.01943606459388</v>
      </c>
      <c r="N21" s="817"/>
      <c r="O21" s="63"/>
    </row>
    <row r="22" spans="2:15" s="1" customFormat="1" ht="15" customHeight="1">
      <c r="B22" s="12"/>
      <c r="C22" s="267">
        <v>612100</v>
      </c>
      <c r="D22" s="349"/>
      <c r="E22" s="13" t="s">
        <v>82</v>
      </c>
      <c r="F22" s="31">
        <f>'1'!I14+'3'!I19+'4 (S)'!I14+'4 (N)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2141380</v>
      </c>
      <c r="G22" s="321">
        <f>'1'!J14+'3'!J19+'4 (S)'!J14+'4 (N)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2141380</v>
      </c>
      <c r="H22" s="321">
        <f>'1'!K14+'3'!K19+'4 (S)'!K14+'4 (N)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1574879</v>
      </c>
      <c r="I22" s="321">
        <f>'1'!L14+'3'!L19+'4 (S)'!L14+'4 (N)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2163210</v>
      </c>
      <c r="J22" s="321">
        <f>'1'!M14+'3'!M19+'4 (S)'!M14+'4 (N)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0</v>
      </c>
      <c r="K22" s="418">
        <f>'1'!N14+'3'!N19+'4 (S)'!N14+'4 (N)'!N14+'5'!N14+'6'!N14+'8'!N14+'9'!N14+'10'!N14+'11'!N14+'12'!N14+'13'!N14+'14'!N14+'15'!N14+'16'!N17+'17'!N14+'18'!N14+'19'!N14+'20'!N14+'22'!N14+'23'!N14+'21'!N14+'24'!N14+'25'!N14+'26'!N14+'27'!N14+'28'!N14+'29'!N14+'30'!N14+'31'!N14+'32'!N14+'33'!N14+'34'!N14+'35'!N14+'36'!N14+'37'!N14+'7'!N14</f>
        <v>2163210</v>
      </c>
      <c r="L22" s="104">
        <f t="shared" si="2"/>
        <v>101.01943606459388</v>
      </c>
      <c r="N22" s="816"/>
    </row>
    <row r="23" spans="2:15" ht="11.25" customHeight="1">
      <c r="B23" s="10"/>
      <c r="C23" s="267"/>
      <c r="D23" s="349"/>
      <c r="E23" s="20"/>
      <c r="F23" s="31"/>
      <c r="G23" s="31"/>
      <c r="H23" s="31"/>
      <c r="I23" s="321"/>
      <c r="J23" s="321"/>
      <c r="K23" s="418"/>
      <c r="L23" s="104" t="str">
        <f t="shared" si="2"/>
        <v/>
      </c>
    </row>
    <row r="24" spans="2:15" ht="15" customHeight="1">
      <c r="B24" s="10"/>
      <c r="C24" s="441">
        <v>613000</v>
      </c>
      <c r="D24" s="442"/>
      <c r="E24" s="443" t="s">
        <v>147</v>
      </c>
      <c r="F24" s="444">
        <f>F25+F26+F27+F28+F29+F30+F31+F34+F37</f>
        <v>3913180</v>
      </c>
      <c r="G24" s="444">
        <f t="shared" ref="G24:H24" si="7">G25+G26+G27+G28+G29+G30+G31+G34+G37</f>
        <v>3921809</v>
      </c>
      <c r="H24" s="444">
        <f t="shared" si="7"/>
        <v>2478903</v>
      </c>
      <c r="I24" s="444">
        <f>I25+I26+I27+I28+I29+I30+I31+I34+I37</f>
        <v>3748010</v>
      </c>
      <c r="J24" s="444">
        <f>J25+J26+J27+J28+J29+J30+J31+J34+J37</f>
        <v>258640</v>
      </c>
      <c r="K24" s="419">
        <f>K25+K26+K27+K28+K29+K30+K31+K34+K37</f>
        <v>4006650</v>
      </c>
      <c r="L24" s="445">
        <f t="shared" si="2"/>
        <v>102.16331289973581</v>
      </c>
      <c r="N24" s="817"/>
    </row>
    <row r="25" spans="2:15" s="1" customFormat="1" ht="15" customHeight="1">
      <c r="B25" s="12"/>
      <c r="C25" s="267">
        <v>613100</v>
      </c>
      <c r="D25" s="349"/>
      <c r="E25" s="11" t="s">
        <v>83</v>
      </c>
      <c r="F25" s="31">
        <f>'1'!I17+'3'!I22+'4 (S)'!I17+'4 (N)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120960</v>
      </c>
      <c r="G25" s="321">
        <f>'1'!J17+'3'!J22+'4 (S)'!J17+'4 (N)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110960</v>
      </c>
      <c r="H25" s="321">
        <f>'1'!K17+'3'!K22+'4 (S)'!K17+'4 (N)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34310</v>
      </c>
      <c r="I25" s="321">
        <f>'1'!L17+'3'!L22+'4 (S)'!L17+'4 (N)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63320</v>
      </c>
      <c r="J25" s="321">
        <f>'1'!M17+'3'!M22+'4 (S)'!M17+'4 (N)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0</v>
      </c>
      <c r="K25" s="418">
        <f>'1'!N17+'3'!N22+'4 (S)'!N17+'4 (N)'!N17+'5'!N17+'6'!N17+'8'!N17+'9'!N17+'10'!N17+'11'!N17+'12'!N17+'13'!N17+'14'!N17+'15'!N17+'16'!N20+'17'!N17+'18'!N17+'19'!N17+'20'!N17+'22'!N17+'23'!N17+'21'!N17+'24'!N17+'25'!N17+'26'!N17+'27'!N17+'28'!N17+'29'!N17+'30'!N17+'31'!N17+'32'!N17+'33'!N17+'34'!N17+'35'!N17+'36'!N17+'37'!N17+'7'!N17</f>
        <v>63320</v>
      </c>
      <c r="L25" s="104">
        <f t="shared" si="2"/>
        <v>57.065609228550827</v>
      </c>
      <c r="N25" s="816"/>
    </row>
    <row r="26" spans="2:15" ht="15" customHeight="1">
      <c r="B26" s="10"/>
      <c r="C26" s="267">
        <v>613200</v>
      </c>
      <c r="D26" s="349"/>
      <c r="E26" s="11" t="s">
        <v>84</v>
      </c>
      <c r="F26" s="31">
        <f>'1'!I18+'3'!I23+'4 (S)'!I18+'4 (N)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708700</v>
      </c>
      <c r="G26" s="321">
        <f>'1'!J18+'3'!J23+'4 (S)'!J18+'4 (N)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705700</v>
      </c>
      <c r="H26" s="321">
        <f>'1'!K18+'3'!K23+'4 (S)'!K18+'4 (N)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370355</v>
      </c>
      <c r="I26" s="321">
        <f>'1'!L18+'3'!L23+'4 (S)'!L18+'4 (N)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696600</v>
      </c>
      <c r="J26" s="321">
        <f>'1'!M18+'3'!M23+'4 (S)'!M18+'4 (N)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0</v>
      </c>
      <c r="K26" s="418">
        <f>'1'!N18+'3'!N23+'4 (S)'!N18+'4 (N)'!N18+'5'!N18+'6'!N18+'8'!N18+'9'!N18+'10'!N18+'11'!N18+'12'!N18+'13'!N18+'14'!N18+'15'!N18+'16'!N21+'17'!N18+'18'!N18+'19'!N18+'20'!N18+'22'!N18+'23'!N18+'21'!N18+'24'!N18+'25'!N18+'26'!N18+'27'!N18+'28'!N18+'29'!N18+'30'!N18+'31'!N18+'32'!N18+'33'!N18+'34'!N18+'35'!N18+'36'!N18+'37'!N18+'7'!N18</f>
        <v>696600</v>
      </c>
      <c r="L26" s="104">
        <f t="shared" si="2"/>
        <v>98.710500212554905</v>
      </c>
    </row>
    <row r="27" spans="2:15" ht="15" customHeight="1">
      <c r="B27" s="10"/>
      <c r="C27" s="267">
        <v>613300</v>
      </c>
      <c r="D27" s="349"/>
      <c r="E27" s="20" t="s">
        <v>176</v>
      </c>
      <c r="F27" s="31">
        <f>'1'!I19+'3'!I24+'4 (S)'!I19+'4 (N)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382260</v>
      </c>
      <c r="G27" s="321">
        <f>'1'!J19+'3'!J24+'4 (S)'!J19+'4 (N)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382260</v>
      </c>
      <c r="H27" s="321">
        <f>'1'!K19+'3'!K24+'4 (S)'!K19+'4 (N)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260408</v>
      </c>
      <c r="I27" s="321">
        <f>'1'!L19+'3'!L24+'4 (S)'!L19+'4 (N)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394850</v>
      </c>
      <c r="J27" s="321">
        <f>'1'!M19+'3'!M24+'4 (S)'!M19+'4 (N)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0</v>
      </c>
      <c r="K27" s="418">
        <f>'1'!N19+'3'!N24+'4 (S)'!N19+'4 (N)'!N19+'5'!N19+'6'!N19+'8'!N19+'9'!N19+'10'!N19+'11'!N19+'12'!N19+'13'!N19+'14'!N19+'15'!N19+'16'!N22+'17'!N19+'18'!N19+'19'!N19+'20'!N19+'22'!N19+'23'!N19+'21'!N19+'24'!N19+'25'!N19+'26'!N19+'27'!N19+'28'!N19+'29'!N19+'30'!N19+'31'!N19+'32'!N19+'33'!N19+'34'!N19+'35'!N19+'36'!N19+'37'!N19+'7'!N19</f>
        <v>394850</v>
      </c>
      <c r="L27" s="104">
        <f t="shared" si="2"/>
        <v>103.2935698215874</v>
      </c>
    </row>
    <row r="28" spans="2:15" ht="15" customHeight="1">
      <c r="B28" s="10"/>
      <c r="C28" s="267">
        <v>613400</v>
      </c>
      <c r="D28" s="349"/>
      <c r="E28" s="20" t="s">
        <v>148</v>
      </c>
      <c r="F28" s="31">
        <f>'1'!I20+'3'!I25+'4 (S)'!I20+'4 (N)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454660</v>
      </c>
      <c r="G28" s="321">
        <f>'1'!J20+'3'!J25+'4 (S)'!J20+'4 (N)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460789</v>
      </c>
      <c r="H28" s="321">
        <f>'1'!K20+'3'!K25+'4 (S)'!K20+'4 (N)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345030</v>
      </c>
      <c r="I28" s="321">
        <f>'1'!L20+'3'!L25+'4 (S)'!L20+'4 (N)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463600</v>
      </c>
      <c r="J28" s="321">
        <f>'1'!M20+'3'!M25+'4 (S)'!M20+'4 (N)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8640</v>
      </c>
      <c r="K28" s="418">
        <f>'1'!N20+'3'!N25+'4 (S)'!N20+'4 (N)'!N20+'5'!N20+'6'!N20+'8'!N20+'9'!N20+'10'!N20+'11'!N20+'12'!N20+'13'!N20+'14'!N20+'15'!N20+'16'!N23+'17'!N20+'18'!N20+'19'!N20+'20'!N20+'22'!N20+'23'!N20+'21'!N20+'24'!N20+'25'!N20+'26'!N20+'27'!N20+'28'!N20+'29'!N20+'30'!N20+'31'!N20+'32'!N20+'33'!N20+'34'!N20+'35'!N20+'36'!N20+'37'!N20+'7'!N20</f>
        <v>472240</v>
      </c>
      <c r="L28" s="104">
        <f t="shared" si="2"/>
        <v>102.48508536445098</v>
      </c>
    </row>
    <row r="29" spans="2:15" ht="15" customHeight="1">
      <c r="B29" s="10"/>
      <c r="C29" s="267">
        <v>613500</v>
      </c>
      <c r="D29" s="349"/>
      <c r="E29" s="14" t="s">
        <v>85</v>
      </c>
      <c r="F29" s="85">
        <f>'1'!I21+'3'!I26+'4 (S)'!I21+'4 (N)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222300</v>
      </c>
      <c r="G29" s="326">
        <f>'1'!J21+'3'!J26+'4 (S)'!J21+'4 (N)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222300</v>
      </c>
      <c r="H29" s="326">
        <f>'1'!K21+'3'!K26+'4 (S)'!K21+'4 (N)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131309</v>
      </c>
      <c r="I29" s="326">
        <f>'1'!L21+'3'!L26+'4 (S)'!L21+'4 (N)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205910</v>
      </c>
      <c r="J29" s="326">
        <f>'1'!M21+'3'!M26+'4 (S)'!M21+'4 (N)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0</v>
      </c>
      <c r="K29" s="418">
        <f>'1'!N21+'3'!N26+'4 (S)'!N21+'4 (N)'!N21+'5'!N21+'6'!N21+'8'!N21+'9'!N21+'10'!N21+'11'!N21+'12'!N21+'13'!N21+'14'!N21+'15'!N21+'16'!N24+'17'!N21+'18'!N21+'19'!N21+'20'!N21+'22'!N21+'23'!N21+'21'!N21+'24'!N21+'25'!N21+'26'!N21+'27'!N21+'28'!N21+'29'!N21+'30'!N21+'31'!N21+'32'!N21+'33'!N21+'34'!N21+'35'!N21+'36'!N21+'37'!N21+'7'!N21</f>
        <v>205910</v>
      </c>
      <c r="L29" s="104">
        <f t="shared" si="2"/>
        <v>92.627080521817362</v>
      </c>
    </row>
    <row r="30" spans="2:15" ht="15" customHeight="1">
      <c r="B30" s="10"/>
      <c r="C30" s="267">
        <v>613600</v>
      </c>
      <c r="D30" s="349"/>
      <c r="E30" s="78" t="s">
        <v>177</v>
      </c>
      <c r="F30" s="85">
        <f>'1'!I22+'3'!I27+'4 (S)'!I22+'4 (N)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33700</v>
      </c>
      <c r="G30" s="326">
        <f>'1'!J22+'3'!J27+'4 (S)'!J22+'4 (N)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33700</v>
      </c>
      <c r="H30" s="326">
        <f>'1'!K22+'3'!K27+'4 (S)'!K22+'4 (N)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23836</v>
      </c>
      <c r="I30" s="326">
        <f>'1'!L22+'3'!L27+'4 (S)'!L22+'4 (N)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33700</v>
      </c>
      <c r="J30" s="326">
        <f>'1'!M22+'3'!M27+'4 (S)'!M22+'4 (N)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0</v>
      </c>
      <c r="K30" s="418">
        <f>'1'!N22+'3'!N27+'4 (S)'!N22+'4 (N)'!N22+'5'!N22+'6'!N22+'8'!N22+'9'!N22+'10'!N22+'11'!N22+'12'!N22+'13'!N22+'14'!N22+'15'!N22+'16'!N25+'17'!N22+'18'!N22+'19'!N22+'20'!N22+'22'!N22+'23'!N22+'21'!N22+'24'!N22+'25'!N22+'26'!N22+'27'!N22+'28'!N22+'29'!N22+'30'!N22+'31'!N22+'32'!N22+'33'!N22+'34'!N22+'35'!N22+'36'!N22+'37'!N22+'7'!N22</f>
        <v>33700</v>
      </c>
      <c r="L30" s="104">
        <f t="shared" si="2"/>
        <v>100</v>
      </c>
    </row>
    <row r="31" spans="2:15" ht="15" customHeight="1">
      <c r="B31" s="10"/>
      <c r="C31" s="267">
        <v>613700</v>
      </c>
      <c r="D31" s="349"/>
      <c r="E31" s="14" t="s">
        <v>86</v>
      </c>
      <c r="F31" s="85">
        <f>F32+F33</f>
        <v>506100</v>
      </c>
      <c r="G31" s="326">
        <f t="shared" ref="G31:K31" si="8">G32+G33</f>
        <v>512600</v>
      </c>
      <c r="H31" s="326">
        <f t="shared" si="8"/>
        <v>330980</v>
      </c>
      <c r="I31" s="326">
        <f t="shared" ref="I31:J31" si="9">I32+I33</f>
        <v>329750</v>
      </c>
      <c r="J31" s="326">
        <f t="shared" si="9"/>
        <v>200000</v>
      </c>
      <c r="K31" s="418">
        <f t="shared" si="8"/>
        <v>529750</v>
      </c>
      <c r="L31" s="104">
        <f t="shared" si="2"/>
        <v>103.34568864611784</v>
      </c>
    </row>
    <row r="32" spans="2:15" ht="15" customHeight="1">
      <c r="B32" s="10"/>
      <c r="C32" s="268">
        <v>613700</v>
      </c>
      <c r="D32" s="350"/>
      <c r="E32" s="255" t="s">
        <v>475</v>
      </c>
      <c r="F32" s="256">
        <f>'1'!I23+'3'!I28+'4 (S)'!I23+'4 (N)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306100</v>
      </c>
      <c r="G32" s="332">
        <f>'1'!J23+'3'!J28+'4 (S)'!J23+'4 (N)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312600</v>
      </c>
      <c r="H32" s="332">
        <f>'1'!K23+'3'!K28+'4 (S)'!K23+'4 (N)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205292</v>
      </c>
      <c r="I32" s="332">
        <f>'1'!L23+'3'!L28+'4 (S)'!L23+'4 (N)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329750</v>
      </c>
      <c r="J32" s="332">
        <f>'1'!M23+'3'!M28+'4 (S)'!M23+'4 (N)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0</v>
      </c>
      <c r="K32" s="433">
        <f>'1'!N23+'3'!N28+'4 (S)'!N23+'4 (N)'!N23+'5'!N23+'6'!N23+'8'!N23+'9'!N23+'10'!N23+'11'!N23+'12'!N23+'13'!N23+'14'!N23+'15'!N23+'16'!N26+'17'!N23+'18'!N23+'19'!N23+'20'!N23+'22'!N23+'23'!N23+'21'!N23+'24'!N23+'25'!N23+'26'!N23+'27'!N23+'28'!N23+'29'!N23+'30'!N23+'31'!N23+'32'!N23+'33'!N23+'34'!N23+'35'!N23+'36'!N23+'37'!N23+'7'!N23</f>
        <v>329750</v>
      </c>
      <c r="L32" s="254">
        <f t="shared" si="2"/>
        <v>105.48624440179142</v>
      </c>
    </row>
    <row r="33" spans="2:14" ht="15" customHeight="1">
      <c r="B33" s="10"/>
      <c r="C33" s="268">
        <v>613700</v>
      </c>
      <c r="D33" s="350" t="s">
        <v>577</v>
      </c>
      <c r="E33" s="255" t="s">
        <v>476</v>
      </c>
      <c r="F33" s="256">
        <f>'18'!I24</f>
        <v>200000</v>
      </c>
      <c r="G33" s="256">
        <f>'18'!J24</f>
        <v>200000</v>
      </c>
      <c r="H33" s="256">
        <f>'18'!K24</f>
        <v>125688</v>
      </c>
      <c r="I33" s="332">
        <f>'18'!L24</f>
        <v>0</v>
      </c>
      <c r="J33" s="332">
        <f>'18'!M24</f>
        <v>200000</v>
      </c>
      <c r="K33" s="433">
        <f>'18'!N24</f>
        <v>200000</v>
      </c>
      <c r="L33" s="254">
        <f t="shared" si="2"/>
        <v>100</v>
      </c>
    </row>
    <row r="34" spans="2:14" ht="15" customHeight="1">
      <c r="B34" s="10"/>
      <c r="C34" s="267">
        <v>613800</v>
      </c>
      <c r="D34" s="349"/>
      <c r="E34" s="78" t="s">
        <v>149</v>
      </c>
      <c r="F34" s="85">
        <f>F35+F36</f>
        <v>49980</v>
      </c>
      <c r="G34" s="85">
        <f t="shared" ref="G34:H34" si="10">G35+G36</f>
        <v>49980</v>
      </c>
      <c r="H34" s="85">
        <f t="shared" si="10"/>
        <v>28353</v>
      </c>
      <c r="I34" s="326">
        <f>I35+I36</f>
        <v>48900</v>
      </c>
      <c r="J34" s="326">
        <f>J35+J36</f>
        <v>0</v>
      </c>
      <c r="K34" s="418">
        <f>K35+K36</f>
        <v>48900</v>
      </c>
      <c r="L34" s="104">
        <f t="shared" si="2"/>
        <v>97.839135654261696</v>
      </c>
    </row>
    <row r="35" spans="2:14" ht="15" customHeight="1">
      <c r="B35" s="10"/>
      <c r="C35" s="268">
        <v>613800</v>
      </c>
      <c r="D35" s="350"/>
      <c r="E35" s="255" t="s">
        <v>477</v>
      </c>
      <c r="F35" s="256">
        <f>'1'!I24+'3'!I29+'4 (S)'!I24+'4 (N)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49980</v>
      </c>
      <c r="G35" s="332">
        <f>'1'!J24+'3'!J29+'4 (S)'!J24+'4 (N)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49980</v>
      </c>
      <c r="H35" s="332">
        <f>'1'!K24+'3'!K29+'4 (S)'!K24+'4 (N)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28353</v>
      </c>
      <c r="I35" s="332">
        <f>'1'!L24+'3'!L29+'4 (S)'!L24+'4 (N)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48900</v>
      </c>
      <c r="J35" s="332">
        <f>'1'!M24+'3'!M29+'4 (S)'!M24+'4 (N)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0</v>
      </c>
      <c r="K35" s="433">
        <f>'1'!N24+'3'!N29+'4 (S)'!N24+'4 (N)'!N24+'5'!N24+'6'!N24+'8'!N24+'9'!N24+'10'!N24+'11'!N24+'12'!N24+'13'!N24+'14'!N24+'15'!N24+'16'!N27+'17'!N24+'18'!N25+'19'!N24+'20'!N24+'22'!N24+'23'!N24+'21'!N24+'24'!N24+'25'!N24+'26'!N24+'27'!N24+'28'!N24+'29'!N24+'30'!N24+'31'!N24+'32'!N24+'33'!N24+'34'!N24+'35'!N24+'36'!N24+'37'!N24+'7'!N24</f>
        <v>48900</v>
      </c>
      <c r="L35" s="254">
        <f t="shared" si="2"/>
        <v>97.839135654261696</v>
      </c>
    </row>
    <row r="36" spans="2:14" ht="15" customHeight="1">
      <c r="B36" s="10"/>
      <c r="C36" s="268">
        <v>613800</v>
      </c>
      <c r="D36" s="350"/>
      <c r="E36" s="252" t="s">
        <v>478</v>
      </c>
      <c r="F36" s="253">
        <f>'20'!I25</f>
        <v>0</v>
      </c>
      <c r="G36" s="253">
        <f>'20'!J25</f>
        <v>0</v>
      </c>
      <c r="H36" s="253">
        <f>'20'!K25</f>
        <v>0</v>
      </c>
      <c r="I36" s="330">
        <f>'20'!L25</f>
        <v>0</v>
      </c>
      <c r="J36" s="330">
        <f>'20'!M25</f>
        <v>0</v>
      </c>
      <c r="K36" s="433">
        <f>'20'!N25</f>
        <v>0</v>
      </c>
      <c r="L36" s="254" t="str">
        <f t="shared" si="2"/>
        <v/>
      </c>
    </row>
    <row r="37" spans="2:14" ht="15" customHeight="1">
      <c r="B37" s="10"/>
      <c r="C37" s="269">
        <v>613900</v>
      </c>
      <c r="D37" s="351"/>
      <c r="E37" s="78" t="s">
        <v>150</v>
      </c>
      <c r="F37" s="86">
        <f t="shared" ref="F37:K37" si="11">SUM(F38:F45)</f>
        <v>1434520</v>
      </c>
      <c r="G37" s="86">
        <f t="shared" si="11"/>
        <v>1443520</v>
      </c>
      <c r="H37" s="86">
        <f t="shared" si="11"/>
        <v>954322</v>
      </c>
      <c r="I37" s="86">
        <f t="shared" si="11"/>
        <v>1511380</v>
      </c>
      <c r="J37" s="86">
        <f t="shared" si="11"/>
        <v>50000</v>
      </c>
      <c r="K37" s="434">
        <f t="shared" si="11"/>
        <v>1561380</v>
      </c>
      <c r="L37" s="104">
        <f t="shared" si="2"/>
        <v>108.16476391044114</v>
      </c>
    </row>
    <row r="38" spans="2:14" ht="15" customHeight="1">
      <c r="B38" s="10"/>
      <c r="C38" s="270">
        <v>613900</v>
      </c>
      <c r="D38" s="352"/>
      <c r="E38" s="255" t="s">
        <v>479</v>
      </c>
      <c r="F38" s="257">
        <f>'1'!I25+'3'!I30+'4 (S)'!I25+'4 (N)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1126440</v>
      </c>
      <c r="G38" s="333">
        <f>'1'!J25+'3'!J30+'4 (S)'!J25+'4 (N)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1141440</v>
      </c>
      <c r="H38" s="333">
        <f>'1'!K25+'3'!K30+'4 (S)'!K25+'4 (N)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781333</v>
      </c>
      <c r="I38" s="333">
        <f>'1'!L25+'3'!L30+'4 (S)'!L25+'4 (N)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1249470</v>
      </c>
      <c r="J38" s="333">
        <f>'1'!M25+'3'!M30+'4 (S)'!M25+'4 (N)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0</v>
      </c>
      <c r="K38" s="435">
        <f>'1'!N25+'3'!N30+'4 (S)'!N25+'4 (N)'!N25+'5'!N25+'6'!N25+'8'!N25+'9'!N25+'10'!N25+'11'!N25+'12'!N25+'13'!N25+'14'!N25+'15'!N25+'16'!N28+'17'!N25+'18'!N26+'19'!N25+'20'!N26+'22'!N25+'23'!N25+'21'!N25+'24'!N25+'25'!N25+'26'!N25+'27'!N25+'28'!N25+'29'!N25+'30'!N25+'31'!N25+'32'!N25+'33'!N25+'34'!N25+'35'!N25+'36'!N25+'37'!N25+'7'!N25</f>
        <v>1249470</v>
      </c>
      <c r="L38" s="254">
        <f t="shared" si="2"/>
        <v>109.46436080740118</v>
      </c>
    </row>
    <row r="39" spans="2:14" ht="15" customHeight="1">
      <c r="B39" s="10"/>
      <c r="C39" s="268">
        <v>613900</v>
      </c>
      <c r="D39" s="350" t="s">
        <v>557</v>
      </c>
      <c r="E39" s="252" t="s">
        <v>480</v>
      </c>
      <c r="F39" s="253">
        <f>'3'!I31</f>
        <v>0</v>
      </c>
      <c r="G39" s="253">
        <f>'3'!J31</f>
        <v>0</v>
      </c>
      <c r="H39" s="253">
        <f>'3'!K31</f>
        <v>0</v>
      </c>
      <c r="I39" s="330">
        <f>'3'!L31</f>
        <v>0</v>
      </c>
      <c r="J39" s="330">
        <f>'3'!M31</f>
        <v>0</v>
      </c>
      <c r="K39" s="433">
        <f>'3'!N31</f>
        <v>0</v>
      </c>
      <c r="L39" s="254" t="str">
        <f t="shared" si="2"/>
        <v/>
      </c>
    </row>
    <row r="40" spans="2:14" s="314" customFormat="1" ht="15" customHeight="1">
      <c r="B40" s="315"/>
      <c r="C40" s="268">
        <v>613900</v>
      </c>
      <c r="D40" s="352" t="s">
        <v>839</v>
      </c>
      <c r="E40" s="255" t="s">
        <v>838</v>
      </c>
      <c r="F40" s="330">
        <f>'10'!I26</f>
        <v>41000</v>
      </c>
      <c r="G40" s="330">
        <f>'10'!J26</f>
        <v>41000</v>
      </c>
      <c r="H40" s="330">
        <f>'10'!K26</f>
        <v>27577</v>
      </c>
      <c r="I40" s="330">
        <f>'10'!L26</f>
        <v>42500</v>
      </c>
      <c r="J40" s="330">
        <f>'10'!M26</f>
        <v>0</v>
      </c>
      <c r="K40" s="433">
        <f>'10'!N26</f>
        <v>42500</v>
      </c>
      <c r="L40" s="331">
        <f t="shared" ref="L40" si="12">IF(G40=0,"",K40/G40*100)</f>
        <v>103.65853658536585</v>
      </c>
      <c r="N40" s="815"/>
    </row>
    <row r="41" spans="2:14" s="314" customFormat="1" ht="15" customHeight="1">
      <c r="B41" s="315"/>
      <c r="C41" s="268">
        <v>613900</v>
      </c>
      <c r="D41" s="352" t="s">
        <v>875</v>
      </c>
      <c r="E41" s="255" t="s">
        <v>886</v>
      </c>
      <c r="F41" s="330">
        <f>'10'!I27</f>
        <v>45000</v>
      </c>
      <c r="G41" s="330">
        <f>'10'!J27</f>
        <v>45000</v>
      </c>
      <c r="H41" s="330">
        <f>'10'!K27</f>
        <v>41590</v>
      </c>
      <c r="I41" s="330">
        <f>'10'!L27</f>
        <v>65000</v>
      </c>
      <c r="J41" s="330">
        <f>'10'!M27</f>
        <v>0</v>
      </c>
      <c r="K41" s="433">
        <f>'10'!N27</f>
        <v>65000</v>
      </c>
      <c r="L41" s="331">
        <f t="shared" ref="L41" si="13">IF(G41=0,"",K41/G41*100)</f>
        <v>144.44444444444443</v>
      </c>
      <c r="N41" s="815"/>
    </row>
    <row r="42" spans="2:14" ht="15" customHeight="1">
      <c r="B42" s="10"/>
      <c r="C42" s="268">
        <v>613900</v>
      </c>
      <c r="D42" s="350" t="s">
        <v>570</v>
      </c>
      <c r="E42" s="252" t="s">
        <v>481</v>
      </c>
      <c r="F42" s="253">
        <f>'16'!I29</f>
        <v>65000</v>
      </c>
      <c r="G42" s="253">
        <f>'16'!J29</f>
        <v>65000</v>
      </c>
      <c r="H42" s="253">
        <f>'16'!K29</f>
        <v>40628</v>
      </c>
      <c r="I42" s="330">
        <f>'16'!L29</f>
        <v>65000</v>
      </c>
      <c r="J42" s="330">
        <f>'16'!M29</f>
        <v>0</v>
      </c>
      <c r="K42" s="433">
        <f>'16'!N29</f>
        <v>65000</v>
      </c>
      <c r="L42" s="254">
        <f t="shared" si="2"/>
        <v>100</v>
      </c>
    </row>
    <row r="43" spans="2:14" ht="15" customHeight="1">
      <c r="B43" s="10"/>
      <c r="C43" s="268">
        <v>613900</v>
      </c>
      <c r="D43" s="350" t="s">
        <v>584</v>
      </c>
      <c r="E43" s="252" t="s">
        <v>482</v>
      </c>
      <c r="F43" s="253">
        <f>'20'!I27</f>
        <v>50000</v>
      </c>
      <c r="G43" s="253">
        <f>'20'!J27</f>
        <v>44000</v>
      </c>
      <c r="H43" s="253">
        <f>'20'!K27</f>
        <v>24294</v>
      </c>
      <c r="I43" s="330">
        <f>'20'!L27</f>
        <v>40000</v>
      </c>
      <c r="J43" s="330">
        <f>'20'!M27</f>
        <v>0</v>
      </c>
      <c r="K43" s="433">
        <f>'20'!N27</f>
        <v>40000</v>
      </c>
      <c r="L43" s="254">
        <f t="shared" si="2"/>
        <v>90.909090909090907</v>
      </c>
    </row>
    <row r="44" spans="2:14" ht="15" customHeight="1">
      <c r="B44" s="10"/>
      <c r="C44" s="268">
        <v>613900</v>
      </c>
      <c r="D44" s="350" t="s">
        <v>556</v>
      </c>
      <c r="E44" s="329" t="s">
        <v>935</v>
      </c>
      <c r="F44" s="253">
        <f>'1'!I26+'3'!I32+'4 (S)'!I26+'4 (N)'!I26+'5'!I26+'6'!I26+'8'!I26+'9'!I26+'10'!I28+'11'!I26+'12'!I26+'13'!I26+'14'!I26+'15'!I26+'16'!I30+'17'!I26+'18'!I27+'19'!I26+'20'!I28+'22'!I26+'23'!I26+'21'!I26+'24'!I26+'25'!I26+'26'!I26+'27'!I26+'28'!I26+'29'!I26+'30'!I26+'31'!I26+'32'!I26+'33'!I26+'34'!I26+'35'!I26+'36'!I26+'37'!I26+'7'!I26</f>
        <v>57080</v>
      </c>
      <c r="G44" s="330">
        <f>'1'!J26+'3'!J32+'4 (S)'!J26+'4 (N)'!J26+'5'!J26+'6'!J26+'8'!J26+'9'!J26+'10'!J28+'11'!J26+'12'!J26+'13'!J26+'14'!J26+'15'!J26+'16'!J30+'17'!J26+'18'!J27+'19'!J26+'20'!J28+'22'!J26+'23'!J26+'21'!J26+'24'!J26+'25'!J26+'26'!J26+'27'!J26+'28'!J26+'29'!J26+'30'!J26+'31'!J26+'32'!J26+'33'!J26+'34'!J26+'35'!J26+'36'!J26+'37'!J26+'7'!J26</f>
        <v>57080</v>
      </c>
      <c r="H44" s="330">
        <f>'1'!K26+'3'!K32+'4 (S)'!K26+'4 (N)'!K26+'5'!K26+'6'!K26+'8'!K26+'9'!K26+'10'!K28+'11'!K26+'12'!K26+'13'!K26+'14'!K26+'15'!K26+'16'!K30+'17'!K26+'18'!K27+'19'!K26+'20'!K28+'22'!K26+'23'!K26+'21'!K26+'24'!K26+'25'!K26+'26'!K26+'27'!K26+'28'!K26+'29'!K26+'30'!K26+'31'!K26+'32'!K26+'33'!K26+'34'!K26+'35'!K26+'36'!K26+'37'!K26+'7'!K26</f>
        <v>31377</v>
      </c>
      <c r="I44" s="330">
        <f>'1'!L26+'3'!L32+'4 (S)'!L26+'4 (N)'!L26+'5'!L26+'6'!L26+'8'!L26+'9'!L26+'10'!L28+'11'!L26+'12'!L26+'13'!L26+'14'!L26+'15'!L26+'16'!L30+'17'!L26+'18'!L27+'19'!L26+'20'!L28+'22'!L26+'23'!L26+'21'!L26+'24'!L26+'25'!L26+'26'!L26+'27'!L26+'28'!L26+'29'!L26+'30'!L26+'31'!L26+'32'!L26+'33'!L26+'34'!L26+'35'!L26+'36'!L26+'37'!L26+'7'!L26</f>
        <v>49410</v>
      </c>
      <c r="J44" s="330">
        <f>'1'!M26+'3'!M32+'4 (S)'!M26+'4 (N)'!M26+'5'!M26+'6'!M26+'8'!M26+'9'!M26+'10'!M28+'11'!M26+'12'!M26+'13'!M26+'14'!M26+'15'!M26+'16'!M30+'17'!M26+'18'!M27+'19'!M26+'20'!M28+'22'!M26+'23'!M26+'21'!M26+'24'!M26+'25'!M26+'26'!M26+'27'!M26+'28'!M26+'29'!M26+'30'!M26+'31'!M26+'32'!M26+'33'!M26+'34'!M26+'35'!M26+'36'!M26+'37'!M26+'7'!M26</f>
        <v>0</v>
      </c>
      <c r="K44" s="433">
        <f>'1'!N26+'3'!N32+'4 (S)'!N26+'4 (N)'!N26+'5'!N26+'6'!N26+'8'!N26+'9'!N26+'10'!N28+'11'!N26+'12'!N26+'13'!N26+'14'!N26+'15'!N26+'16'!N30+'17'!N26+'18'!N27+'19'!N26+'20'!N28+'22'!N26+'23'!N26+'21'!N26+'24'!N26+'25'!N26+'26'!N26+'27'!N26+'28'!N26+'29'!N26+'30'!N26+'31'!N26+'32'!N26+'33'!N26+'34'!N26+'35'!N26+'36'!N26+'37'!N26+'7'!N26</f>
        <v>49410</v>
      </c>
      <c r="L44" s="254">
        <f t="shared" si="2"/>
        <v>86.562718990889977</v>
      </c>
    </row>
    <row r="45" spans="2:14" ht="15" customHeight="1">
      <c r="B45" s="10"/>
      <c r="C45" s="268">
        <v>613900</v>
      </c>
      <c r="D45" s="350" t="s">
        <v>568</v>
      </c>
      <c r="E45" s="252" t="s">
        <v>483</v>
      </c>
      <c r="F45" s="253">
        <f>'15'!I27</f>
        <v>50000</v>
      </c>
      <c r="G45" s="253">
        <f>'15'!J27</f>
        <v>50000</v>
      </c>
      <c r="H45" s="253">
        <f>'15'!K27</f>
        <v>7523</v>
      </c>
      <c r="I45" s="330">
        <f>'15'!L27</f>
        <v>0</v>
      </c>
      <c r="J45" s="330">
        <f>'15'!M27</f>
        <v>50000</v>
      </c>
      <c r="K45" s="433">
        <f>'15'!N27</f>
        <v>50000</v>
      </c>
      <c r="L45" s="254">
        <f t="shared" si="2"/>
        <v>100</v>
      </c>
    </row>
    <row r="46" spans="2:14" ht="11.25" customHeight="1">
      <c r="B46" s="10"/>
      <c r="C46" s="267"/>
      <c r="D46" s="349"/>
      <c r="E46" s="11"/>
      <c r="F46" s="56"/>
      <c r="G46" s="56"/>
      <c r="H46" s="56"/>
      <c r="I46" s="310"/>
      <c r="J46" s="310"/>
      <c r="K46" s="418"/>
      <c r="L46" s="104" t="str">
        <f t="shared" si="2"/>
        <v/>
      </c>
    </row>
    <row r="47" spans="2:14" ht="15" customHeight="1">
      <c r="B47" s="10"/>
      <c r="C47" s="441">
        <v>614000</v>
      </c>
      <c r="D47" s="442"/>
      <c r="E47" s="443" t="s">
        <v>178</v>
      </c>
      <c r="F47" s="444">
        <f t="shared" ref="F47:K47" si="14">F48+F60+F70+F84+F89</f>
        <v>12417000</v>
      </c>
      <c r="G47" s="444">
        <f t="shared" si="14"/>
        <v>12197000</v>
      </c>
      <c r="H47" s="444">
        <f t="shared" si="14"/>
        <v>7532127</v>
      </c>
      <c r="I47" s="444">
        <f t="shared" si="14"/>
        <v>9887160</v>
      </c>
      <c r="J47" s="444">
        <f t="shared" si="14"/>
        <v>1967640</v>
      </c>
      <c r="K47" s="419">
        <f t="shared" si="14"/>
        <v>11854800</v>
      </c>
      <c r="L47" s="445">
        <f t="shared" si="2"/>
        <v>97.194392063622203</v>
      </c>
      <c r="N47" s="817"/>
    </row>
    <row r="48" spans="2:14" s="55" customFormat="1" ht="15" customHeight="1">
      <c r="B48" s="276"/>
      <c r="C48" s="277">
        <v>614100</v>
      </c>
      <c r="D48" s="349"/>
      <c r="E48" s="20" t="s">
        <v>511</v>
      </c>
      <c r="F48" s="101">
        <f t="shared" ref="F48:K48" si="15">SUM(F49:F59)</f>
        <v>2035000</v>
      </c>
      <c r="G48" s="101">
        <f t="shared" si="15"/>
        <v>2035000</v>
      </c>
      <c r="H48" s="101">
        <f t="shared" si="15"/>
        <v>1119324</v>
      </c>
      <c r="I48" s="307">
        <f t="shared" si="15"/>
        <v>1978800</v>
      </c>
      <c r="J48" s="307">
        <f t="shared" si="15"/>
        <v>670000</v>
      </c>
      <c r="K48" s="418">
        <f t="shared" si="15"/>
        <v>2648800</v>
      </c>
      <c r="L48" s="104">
        <f t="shared" si="2"/>
        <v>130.16216216216216</v>
      </c>
      <c r="N48" s="818"/>
    </row>
    <row r="49" spans="2:14" s="68" customFormat="1" ht="15" customHeight="1">
      <c r="B49" s="69"/>
      <c r="C49" s="268">
        <v>614100</v>
      </c>
      <c r="D49" s="350" t="s">
        <v>558</v>
      </c>
      <c r="E49" s="255" t="s">
        <v>484</v>
      </c>
      <c r="F49" s="256">
        <f>'3'!I35</f>
        <v>200000</v>
      </c>
      <c r="G49" s="256">
        <f>'3'!J35</f>
        <v>200000</v>
      </c>
      <c r="H49" s="256">
        <f>'3'!K35</f>
        <v>150000</v>
      </c>
      <c r="I49" s="332">
        <f>'3'!L35</f>
        <v>250000</v>
      </c>
      <c r="J49" s="332">
        <f>'3'!M35</f>
        <v>0</v>
      </c>
      <c r="K49" s="433">
        <f>'3'!N35</f>
        <v>250000</v>
      </c>
      <c r="L49" s="254">
        <f t="shared" si="2"/>
        <v>125</v>
      </c>
      <c r="N49" s="819"/>
    </row>
    <row r="50" spans="2:14" s="311" customFormat="1" ht="15" customHeight="1">
      <c r="B50" s="317"/>
      <c r="C50" s="268">
        <v>614100</v>
      </c>
      <c r="D50" s="676" t="s">
        <v>719</v>
      </c>
      <c r="E50" s="677" t="s">
        <v>488</v>
      </c>
      <c r="F50" s="330">
        <f>'15'!I30</f>
        <v>0</v>
      </c>
      <c r="G50" s="330">
        <f>'15'!J30</f>
        <v>0</v>
      </c>
      <c r="H50" s="330">
        <f>'15'!K30</f>
        <v>0</v>
      </c>
      <c r="I50" s="330">
        <f>'15'!L30</f>
        <v>0</v>
      </c>
      <c r="J50" s="330">
        <f>'15'!M30</f>
        <v>0</v>
      </c>
      <c r="K50" s="433">
        <f>'15'!N30</f>
        <v>0</v>
      </c>
      <c r="L50" s="331" t="str">
        <f t="shared" ref="L50" si="16">IF(G50=0,"",K50/G50*100)</f>
        <v/>
      </c>
      <c r="N50" s="816"/>
    </row>
    <row r="51" spans="2:14" s="1" customFormat="1" ht="15" customHeight="1">
      <c r="B51" s="12"/>
      <c r="C51" s="268">
        <v>614100</v>
      </c>
      <c r="D51" s="350" t="s">
        <v>571</v>
      </c>
      <c r="E51" s="258" t="s">
        <v>485</v>
      </c>
      <c r="F51" s="253">
        <f>'16'!I33</f>
        <v>350000</v>
      </c>
      <c r="G51" s="253">
        <f>'16'!J33</f>
        <v>350000</v>
      </c>
      <c r="H51" s="253">
        <f>'16'!K33</f>
        <v>132848</v>
      </c>
      <c r="I51" s="330">
        <f>'16'!L33</f>
        <v>350000</v>
      </c>
      <c r="J51" s="330">
        <f>'16'!M33</f>
        <v>0</v>
      </c>
      <c r="K51" s="433">
        <f>'16'!N33</f>
        <v>350000</v>
      </c>
      <c r="L51" s="254">
        <f t="shared" si="2"/>
        <v>100</v>
      </c>
      <c r="N51" s="816"/>
    </row>
    <row r="52" spans="2:14" s="1" customFormat="1" ht="15" customHeight="1">
      <c r="B52" s="12"/>
      <c r="C52" s="271">
        <v>614100</v>
      </c>
      <c r="D52" s="353" t="s">
        <v>576</v>
      </c>
      <c r="E52" s="252" t="s">
        <v>486</v>
      </c>
      <c r="F52" s="253">
        <f>'17'!I29</f>
        <v>700000</v>
      </c>
      <c r="G52" s="253">
        <f>'17'!J29</f>
        <v>700000</v>
      </c>
      <c r="H52" s="253">
        <f>'17'!K29</f>
        <v>636000</v>
      </c>
      <c r="I52" s="330">
        <f>'17'!L29</f>
        <v>1025000</v>
      </c>
      <c r="J52" s="330">
        <f>'17'!M29</f>
        <v>250000</v>
      </c>
      <c r="K52" s="433">
        <f>'17'!N29</f>
        <v>1275000</v>
      </c>
      <c r="L52" s="254">
        <f t="shared" si="2"/>
        <v>182.14285714285714</v>
      </c>
      <c r="N52" s="816"/>
    </row>
    <row r="53" spans="2:14" s="1" customFormat="1" ht="15" customHeight="1">
      <c r="B53" s="12"/>
      <c r="C53" s="268">
        <v>614100</v>
      </c>
      <c r="D53" s="354" t="s">
        <v>578</v>
      </c>
      <c r="E53" s="259" t="s">
        <v>487</v>
      </c>
      <c r="F53" s="253">
        <f>'18'!I30</f>
        <v>300000</v>
      </c>
      <c r="G53" s="253">
        <f>'18'!J30</f>
        <v>300000</v>
      </c>
      <c r="H53" s="253">
        <f>'18'!K30</f>
        <v>15000</v>
      </c>
      <c r="I53" s="330">
        <f>'18'!L30</f>
        <v>0</v>
      </c>
      <c r="J53" s="330">
        <f>'18'!M30</f>
        <v>300000</v>
      </c>
      <c r="K53" s="433">
        <f>'18'!N30</f>
        <v>300000</v>
      </c>
      <c r="L53" s="254">
        <f t="shared" si="2"/>
        <v>100</v>
      </c>
      <c r="N53" s="816"/>
    </row>
    <row r="54" spans="2:14" s="1" customFormat="1" ht="15" customHeight="1">
      <c r="B54" s="12"/>
      <c r="C54" s="268">
        <v>614100</v>
      </c>
      <c r="D54" s="354" t="s">
        <v>579</v>
      </c>
      <c r="E54" s="259" t="s">
        <v>488</v>
      </c>
      <c r="F54" s="253">
        <f>'18'!I31</f>
        <v>0</v>
      </c>
      <c r="G54" s="253">
        <f>'18'!J31</f>
        <v>0</v>
      </c>
      <c r="H54" s="253">
        <f>'18'!K31</f>
        <v>0</v>
      </c>
      <c r="I54" s="332">
        <f>'18'!L31</f>
        <v>0</v>
      </c>
      <c r="J54" s="332">
        <f>'18'!M31</f>
        <v>0</v>
      </c>
      <c r="K54" s="433">
        <f>'18'!N31</f>
        <v>0</v>
      </c>
      <c r="L54" s="254" t="str">
        <f t="shared" si="2"/>
        <v/>
      </c>
      <c r="N54" s="816"/>
    </row>
    <row r="55" spans="2:14" s="1" customFormat="1" ht="15" customHeight="1">
      <c r="B55" s="12"/>
      <c r="C55" s="268">
        <v>614100</v>
      </c>
      <c r="D55" s="350" t="s">
        <v>581</v>
      </c>
      <c r="E55" s="255" t="s">
        <v>489</v>
      </c>
      <c r="F55" s="253">
        <f>'19'!I29</f>
        <v>120000</v>
      </c>
      <c r="G55" s="253">
        <f>'19'!J29</f>
        <v>120000</v>
      </c>
      <c r="H55" s="253">
        <f>'19'!K29</f>
        <v>5193</v>
      </c>
      <c r="I55" s="330">
        <f>'19'!L29</f>
        <v>0</v>
      </c>
      <c r="J55" s="330">
        <f>'19'!M29</f>
        <v>120000</v>
      </c>
      <c r="K55" s="433">
        <f>'19'!N29</f>
        <v>120000</v>
      </c>
      <c r="L55" s="254">
        <f t="shared" si="2"/>
        <v>100</v>
      </c>
      <c r="N55" s="816"/>
    </row>
    <row r="56" spans="2:14" s="1" customFormat="1" ht="24.75" customHeight="1">
      <c r="B56" s="12"/>
      <c r="C56" s="271">
        <v>614100</v>
      </c>
      <c r="D56" s="353" t="s">
        <v>585</v>
      </c>
      <c r="E56" s="260" t="s">
        <v>490</v>
      </c>
      <c r="F56" s="253">
        <f>'20'!I31</f>
        <v>125000</v>
      </c>
      <c r="G56" s="253">
        <f>'20'!J31</f>
        <v>125000</v>
      </c>
      <c r="H56" s="253">
        <f>'20'!K31</f>
        <v>96936</v>
      </c>
      <c r="I56" s="330">
        <f>'20'!L31</f>
        <v>125000</v>
      </c>
      <c r="J56" s="330">
        <f>'20'!M31</f>
        <v>0</v>
      </c>
      <c r="K56" s="433">
        <f>'20'!N31</f>
        <v>125000</v>
      </c>
      <c r="L56" s="254">
        <f t="shared" si="2"/>
        <v>100</v>
      </c>
      <c r="N56" s="816"/>
    </row>
    <row r="57" spans="2:14" s="311" customFormat="1" ht="15" customHeight="1">
      <c r="B57" s="317"/>
      <c r="C57" s="272" t="s">
        <v>105</v>
      </c>
      <c r="D57" s="355" t="s">
        <v>685</v>
      </c>
      <c r="E57" s="261" t="s">
        <v>696</v>
      </c>
      <c r="F57" s="332">
        <f>'20'!I32</f>
        <v>0</v>
      </c>
      <c r="G57" s="332">
        <f>'20'!J32</f>
        <v>0</v>
      </c>
      <c r="H57" s="332">
        <f>'20'!K32</f>
        <v>0</v>
      </c>
      <c r="I57" s="332">
        <f>'20'!L32</f>
        <v>0</v>
      </c>
      <c r="J57" s="332">
        <f>'20'!M32</f>
        <v>0</v>
      </c>
      <c r="K57" s="433">
        <f>'20'!N32</f>
        <v>0</v>
      </c>
      <c r="L57" s="331" t="str">
        <f t="shared" si="2"/>
        <v/>
      </c>
      <c r="N57" s="816"/>
    </row>
    <row r="58" spans="2:14" s="311" customFormat="1" ht="15" customHeight="1">
      <c r="B58" s="317"/>
      <c r="C58" s="272" t="s">
        <v>105</v>
      </c>
      <c r="D58" s="355" t="s">
        <v>686</v>
      </c>
      <c r="E58" s="261" t="s">
        <v>599</v>
      </c>
      <c r="F58" s="332">
        <f>'20'!I33</f>
        <v>0</v>
      </c>
      <c r="G58" s="332">
        <f>'20'!J33</f>
        <v>0</v>
      </c>
      <c r="H58" s="332">
        <f>'20'!K33</f>
        <v>0</v>
      </c>
      <c r="I58" s="332">
        <f>'20'!L33</f>
        <v>0</v>
      </c>
      <c r="J58" s="332">
        <f>'20'!M33</f>
        <v>0</v>
      </c>
      <c r="K58" s="433">
        <f>'20'!N33</f>
        <v>0</v>
      </c>
      <c r="L58" s="331" t="str">
        <f t="shared" si="2"/>
        <v/>
      </c>
      <c r="N58" s="816"/>
    </row>
    <row r="59" spans="2:14" s="1" customFormat="1" ht="15" customHeight="1">
      <c r="B59" s="12"/>
      <c r="C59" s="272" t="s">
        <v>105</v>
      </c>
      <c r="D59" s="355" t="s">
        <v>587</v>
      </c>
      <c r="E59" s="261" t="s">
        <v>491</v>
      </c>
      <c r="F59" s="256">
        <f>'20'!I34</f>
        <v>240000</v>
      </c>
      <c r="G59" s="256">
        <f>'20'!J34</f>
        <v>240000</v>
      </c>
      <c r="H59" s="256">
        <f>'20'!K34</f>
        <v>83347</v>
      </c>
      <c r="I59" s="332">
        <f>'20'!L34</f>
        <v>228800</v>
      </c>
      <c r="J59" s="332">
        <f>'20'!M34</f>
        <v>0</v>
      </c>
      <c r="K59" s="433">
        <f>'20'!N34</f>
        <v>228800</v>
      </c>
      <c r="L59" s="254">
        <f t="shared" si="2"/>
        <v>95.333333333333343</v>
      </c>
      <c r="N59" s="816"/>
    </row>
    <row r="60" spans="2:14" s="55" customFormat="1" ht="15" customHeight="1">
      <c r="B60" s="276"/>
      <c r="C60" s="278" t="s">
        <v>103</v>
      </c>
      <c r="D60" s="356"/>
      <c r="E60" s="279" t="s">
        <v>512</v>
      </c>
      <c r="F60" s="101">
        <f>SUM(F61:F69)</f>
        <v>5045000</v>
      </c>
      <c r="G60" s="101">
        <f t="shared" ref="G60:K60" si="17">SUM(G61:G69)</f>
        <v>5045000</v>
      </c>
      <c r="H60" s="101">
        <f t="shared" si="17"/>
        <v>3174116</v>
      </c>
      <c r="I60" s="307">
        <f t="shared" si="17"/>
        <v>4627190</v>
      </c>
      <c r="J60" s="307">
        <f t="shared" si="17"/>
        <v>342810</v>
      </c>
      <c r="K60" s="418">
        <f t="shared" si="17"/>
        <v>4970000</v>
      </c>
      <c r="L60" s="104">
        <f t="shared" si="2"/>
        <v>98.513379583746286</v>
      </c>
      <c r="N60" s="818"/>
    </row>
    <row r="61" spans="2:14" s="1" customFormat="1" ht="15" customHeight="1">
      <c r="B61" s="12"/>
      <c r="C61" s="272" t="s">
        <v>103</v>
      </c>
      <c r="D61" s="355" t="s">
        <v>559</v>
      </c>
      <c r="E61" s="262" t="s">
        <v>492</v>
      </c>
      <c r="F61" s="256">
        <f>'3'!I36</f>
        <v>150000</v>
      </c>
      <c r="G61" s="256">
        <f>'3'!J36</f>
        <v>150000</v>
      </c>
      <c r="H61" s="256">
        <f>'3'!K36</f>
        <v>149800</v>
      </c>
      <c r="I61" s="332">
        <f>'3'!L36</f>
        <v>150000</v>
      </c>
      <c r="J61" s="332">
        <f>'3'!M36</f>
        <v>0</v>
      </c>
      <c r="K61" s="433">
        <f>'3'!N36</f>
        <v>150000</v>
      </c>
      <c r="L61" s="254">
        <f t="shared" si="2"/>
        <v>100</v>
      </c>
      <c r="N61" s="816"/>
    </row>
    <row r="62" spans="2:14" s="1" customFormat="1" ht="15" customHeight="1">
      <c r="B62" s="12"/>
      <c r="C62" s="271">
        <v>614200</v>
      </c>
      <c r="D62" s="355" t="s">
        <v>567</v>
      </c>
      <c r="E62" s="258" t="s">
        <v>493</v>
      </c>
      <c r="F62" s="253">
        <f>'4 (S)'!I29</f>
        <v>0</v>
      </c>
      <c r="G62" s="253">
        <f>'4 (S)'!J29</f>
        <v>0</v>
      </c>
      <c r="H62" s="253">
        <f>'4 (S)'!K29</f>
        <v>0</v>
      </c>
      <c r="I62" s="330">
        <f>'4 (S)'!L29</f>
        <v>0</v>
      </c>
      <c r="J62" s="330">
        <f>'4 (S)'!M29</f>
        <v>0</v>
      </c>
      <c r="K62" s="433">
        <f>'4 (S)'!N29</f>
        <v>0</v>
      </c>
      <c r="L62" s="331" t="str">
        <f t="shared" si="2"/>
        <v/>
      </c>
      <c r="N62" s="816"/>
    </row>
    <row r="63" spans="2:14" s="311" customFormat="1" ht="27" customHeight="1">
      <c r="B63" s="317"/>
      <c r="C63" s="271">
        <v>614200</v>
      </c>
      <c r="D63" s="355" t="s">
        <v>726</v>
      </c>
      <c r="E63" s="260" t="s">
        <v>842</v>
      </c>
      <c r="F63" s="330">
        <f>'4 (N)'!I29</f>
        <v>50000</v>
      </c>
      <c r="G63" s="330">
        <f>'4 (N)'!J29</f>
        <v>50000</v>
      </c>
      <c r="H63" s="330">
        <f>'4 (N)'!K29</f>
        <v>0</v>
      </c>
      <c r="I63" s="330">
        <f>'4 (N)'!L29</f>
        <v>50000</v>
      </c>
      <c r="J63" s="330">
        <f>'4 (N)'!M29</f>
        <v>0</v>
      </c>
      <c r="K63" s="433">
        <f>'4 (N)'!N29</f>
        <v>50000</v>
      </c>
      <c r="L63" s="331">
        <f t="shared" ref="L63:L65" si="18">IF(G63=0,"",K63/G63*100)</f>
        <v>100</v>
      </c>
      <c r="N63" s="816"/>
    </row>
    <row r="64" spans="2:14" s="311" customFormat="1" ht="15" customHeight="1">
      <c r="B64" s="317"/>
      <c r="C64" s="271" t="s">
        <v>103</v>
      </c>
      <c r="D64" s="355" t="s">
        <v>687</v>
      </c>
      <c r="E64" s="329" t="s">
        <v>597</v>
      </c>
      <c r="F64" s="330">
        <f>'17'!I30</f>
        <v>60000</v>
      </c>
      <c r="G64" s="330">
        <f>'17'!J30</f>
        <v>60000</v>
      </c>
      <c r="H64" s="330">
        <f>'17'!K30</f>
        <v>40000</v>
      </c>
      <c r="I64" s="330">
        <f>'17'!L30</f>
        <v>60000</v>
      </c>
      <c r="J64" s="330">
        <f>'17'!M30</f>
        <v>0</v>
      </c>
      <c r="K64" s="433">
        <f>'17'!N30</f>
        <v>60000</v>
      </c>
      <c r="L64" s="331">
        <f t="shared" si="18"/>
        <v>100</v>
      </c>
      <c r="N64" s="816"/>
    </row>
    <row r="65" spans="2:14" s="311" customFormat="1" ht="15" customHeight="1">
      <c r="B65" s="317"/>
      <c r="C65" s="271" t="s">
        <v>103</v>
      </c>
      <c r="D65" s="355" t="s">
        <v>688</v>
      </c>
      <c r="E65" s="329" t="s">
        <v>598</v>
      </c>
      <c r="F65" s="330">
        <f>'17'!I31</f>
        <v>3420000</v>
      </c>
      <c r="G65" s="330">
        <f>'17'!J31</f>
        <v>3420000</v>
      </c>
      <c r="H65" s="330">
        <f>'17'!K31</f>
        <v>2158839</v>
      </c>
      <c r="I65" s="330">
        <f>'17'!L31</f>
        <v>3102190</v>
      </c>
      <c r="J65" s="330">
        <f>'17'!M31</f>
        <v>242810</v>
      </c>
      <c r="K65" s="433">
        <f>'17'!N31</f>
        <v>3345000</v>
      </c>
      <c r="L65" s="331">
        <f t="shared" si="18"/>
        <v>97.807017543859658</v>
      </c>
      <c r="N65" s="816"/>
    </row>
    <row r="66" spans="2:14" s="1" customFormat="1" ht="15" customHeight="1">
      <c r="B66" s="12"/>
      <c r="C66" s="271" t="s">
        <v>103</v>
      </c>
      <c r="D66" s="353" t="s">
        <v>588</v>
      </c>
      <c r="E66" s="258" t="s">
        <v>494</v>
      </c>
      <c r="F66" s="253">
        <f>'20'!I35</f>
        <v>150000</v>
      </c>
      <c r="G66" s="253">
        <f>'20'!J35</f>
        <v>150000</v>
      </c>
      <c r="H66" s="253">
        <f>'20'!K35</f>
        <v>118800</v>
      </c>
      <c r="I66" s="330">
        <f>'20'!L35</f>
        <v>150000</v>
      </c>
      <c r="J66" s="330">
        <f>'20'!M35</f>
        <v>0</v>
      </c>
      <c r="K66" s="433">
        <f>'20'!N35</f>
        <v>150000</v>
      </c>
      <c r="L66" s="254">
        <f t="shared" si="2"/>
        <v>100</v>
      </c>
      <c r="N66" s="816"/>
    </row>
    <row r="67" spans="2:14" s="1" customFormat="1" ht="24.75" customHeight="1">
      <c r="B67" s="12"/>
      <c r="C67" s="271" t="s">
        <v>103</v>
      </c>
      <c r="D67" s="353" t="s">
        <v>589</v>
      </c>
      <c r="E67" s="263" t="s">
        <v>495</v>
      </c>
      <c r="F67" s="253">
        <f>'20'!I36</f>
        <v>15000</v>
      </c>
      <c r="G67" s="253">
        <f>'20'!J36</f>
        <v>15000</v>
      </c>
      <c r="H67" s="253">
        <f>'20'!K36</f>
        <v>15000</v>
      </c>
      <c r="I67" s="330">
        <f>'20'!L36</f>
        <v>15000</v>
      </c>
      <c r="J67" s="330">
        <f>'20'!M36</f>
        <v>0</v>
      </c>
      <c r="K67" s="433">
        <f>'20'!N36</f>
        <v>15000</v>
      </c>
      <c r="L67" s="254">
        <f t="shared" si="2"/>
        <v>100</v>
      </c>
      <c r="N67" s="816"/>
    </row>
    <row r="68" spans="2:14" s="1" customFormat="1" ht="15" customHeight="1">
      <c r="B68" s="12"/>
      <c r="C68" s="271">
        <v>614200</v>
      </c>
      <c r="D68" s="353" t="s">
        <v>592</v>
      </c>
      <c r="E68" s="258" t="s">
        <v>496</v>
      </c>
      <c r="F68" s="253">
        <f>'31'!I29</f>
        <v>1100000</v>
      </c>
      <c r="G68" s="253">
        <f>'31'!J28</f>
        <v>1100000</v>
      </c>
      <c r="H68" s="253">
        <f>'31'!K28</f>
        <v>637164</v>
      </c>
      <c r="I68" s="330">
        <f>'31'!L28</f>
        <v>1100000</v>
      </c>
      <c r="J68" s="330">
        <f>'31'!M28</f>
        <v>0</v>
      </c>
      <c r="K68" s="433">
        <f>'31'!N28</f>
        <v>1100000</v>
      </c>
      <c r="L68" s="254">
        <f t="shared" si="2"/>
        <v>100</v>
      </c>
      <c r="N68" s="816"/>
    </row>
    <row r="69" spans="2:14" s="1" customFormat="1" ht="15" customHeight="1">
      <c r="B69" s="12"/>
      <c r="C69" s="271" t="s">
        <v>103</v>
      </c>
      <c r="D69" s="353" t="s">
        <v>593</v>
      </c>
      <c r="E69" s="252" t="s">
        <v>497</v>
      </c>
      <c r="F69" s="253">
        <f>'33'!I29</f>
        <v>100000</v>
      </c>
      <c r="G69" s="253">
        <f>'33'!J29</f>
        <v>100000</v>
      </c>
      <c r="H69" s="253">
        <f>'33'!K29</f>
        <v>54513</v>
      </c>
      <c r="I69" s="330">
        <f>'33'!L29</f>
        <v>0</v>
      </c>
      <c r="J69" s="330">
        <f>'33'!M29</f>
        <v>100000</v>
      </c>
      <c r="K69" s="433">
        <f>'33'!N29</f>
        <v>100000</v>
      </c>
      <c r="L69" s="254">
        <f t="shared" si="2"/>
        <v>100</v>
      </c>
      <c r="N69" s="816"/>
    </row>
    <row r="70" spans="2:14" s="55" customFormat="1" ht="15" customHeight="1">
      <c r="B70" s="276"/>
      <c r="C70" s="280" t="s">
        <v>104</v>
      </c>
      <c r="D70" s="357"/>
      <c r="E70" s="264" t="s">
        <v>513</v>
      </c>
      <c r="F70" s="281">
        <f>SUM(F71:F83)</f>
        <v>1057000</v>
      </c>
      <c r="G70" s="306">
        <f t="shared" ref="G70:K70" si="19">SUM(G71:G83)</f>
        <v>1057000</v>
      </c>
      <c r="H70" s="306">
        <f t="shared" si="19"/>
        <v>728258</v>
      </c>
      <c r="I70" s="306">
        <f t="shared" si="19"/>
        <v>1007000</v>
      </c>
      <c r="J70" s="306">
        <f t="shared" si="19"/>
        <v>0</v>
      </c>
      <c r="K70" s="418">
        <f t="shared" si="19"/>
        <v>1007000</v>
      </c>
      <c r="L70" s="104">
        <f t="shared" si="2"/>
        <v>95.269631031220442</v>
      </c>
      <c r="N70" s="818"/>
    </row>
    <row r="71" spans="2:14" s="1" customFormat="1" ht="15" customHeight="1">
      <c r="B71" s="12"/>
      <c r="C71" s="271" t="s">
        <v>104</v>
      </c>
      <c r="D71" s="353" t="s">
        <v>861</v>
      </c>
      <c r="E71" s="258" t="s">
        <v>498</v>
      </c>
      <c r="F71" s="253">
        <f>'3'!I44</f>
        <v>130000</v>
      </c>
      <c r="G71" s="253">
        <f>'3'!J44</f>
        <v>130000</v>
      </c>
      <c r="H71" s="253">
        <f>'3'!K44</f>
        <v>93810</v>
      </c>
      <c r="I71" s="330">
        <f>'3'!L44</f>
        <v>130000</v>
      </c>
      <c r="J71" s="330">
        <f>'3'!M44</f>
        <v>0</v>
      </c>
      <c r="K71" s="433">
        <f>'3'!N44</f>
        <v>130000</v>
      </c>
      <c r="L71" s="254">
        <f t="shared" si="2"/>
        <v>100</v>
      </c>
      <c r="N71" s="816"/>
    </row>
    <row r="72" spans="2:14" s="1" customFormat="1" ht="15" customHeight="1">
      <c r="B72" s="12"/>
      <c r="C72" s="271" t="s">
        <v>104</v>
      </c>
      <c r="D72" s="353" t="s">
        <v>560</v>
      </c>
      <c r="E72" s="255" t="s">
        <v>499</v>
      </c>
      <c r="F72" s="253">
        <f>'3'!I37</f>
        <v>50000</v>
      </c>
      <c r="G72" s="253">
        <f>'3'!J37</f>
        <v>50000</v>
      </c>
      <c r="H72" s="253">
        <f>'3'!K37</f>
        <v>50000</v>
      </c>
      <c r="I72" s="330">
        <f>'3'!L37</f>
        <v>50000</v>
      </c>
      <c r="J72" s="330">
        <f>'3'!M37</f>
        <v>0</v>
      </c>
      <c r="K72" s="433">
        <f>'3'!N37</f>
        <v>50000</v>
      </c>
      <c r="L72" s="254">
        <f t="shared" si="2"/>
        <v>100</v>
      </c>
      <c r="N72" s="816"/>
    </row>
    <row r="73" spans="2:14" ht="15" customHeight="1">
      <c r="B73" s="10"/>
      <c r="C73" s="271" t="s">
        <v>104</v>
      </c>
      <c r="D73" s="353" t="s">
        <v>561</v>
      </c>
      <c r="E73" s="255" t="s">
        <v>500</v>
      </c>
      <c r="F73" s="256">
        <f>'3'!I38</f>
        <v>35000</v>
      </c>
      <c r="G73" s="256">
        <f>'3'!J38</f>
        <v>35000</v>
      </c>
      <c r="H73" s="256">
        <f>'3'!K38</f>
        <v>22144</v>
      </c>
      <c r="I73" s="332">
        <f>'3'!L38</f>
        <v>35000</v>
      </c>
      <c r="J73" s="332">
        <f>'3'!M38</f>
        <v>0</v>
      </c>
      <c r="K73" s="433">
        <f>'3'!N38</f>
        <v>35000</v>
      </c>
      <c r="L73" s="254">
        <f t="shared" si="2"/>
        <v>100</v>
      </c>
    </row>
    <row r="74" spans="2:14" s="1" customFormat="1" ht="15" customHeight="1">
      <c r="B74" s="12"/>
      <c r="C74" s="272" t="s">
        <v>104</v>
      </c>
      <c r="D74" s="355" t="s">
        <v>562</v>
      </c>
      <c r="E74" s="255" t="s">
        <v>501</v>
      </c>
      <c r="F74" s="256">
        <f>'3'!I39</f>
        <v>45000</v>
      </c>
      <c r="G74" s="256">
        <f>'3'!J39</f>
        <v>45000</v>
      </c>
      <c r="H74" s="256">
        <f>'3'!K39</f>
        <v>28812</v>
      </c>
      <c r="I74" s="332">
        <f>'3'!L39</f>
        <v>45000</v>
      </c>
      <c r="J74" s="332">
        <f>'3'!M39</f>
        <v>0</v>
      </c>
      <c r="K74" s="433">
        <f>'3'!N39</f>
        <v>45000</v>
      </c>
      <c r="L74" s="254">
        <f t="shared" si="2"/>
        <v>100</v>
      </c>
      <c r="N74" s="816"/>
    </row>
    <row r="75" spans="2:14" s="1" customFormat="1" ht="25.5" customHeight="1">
      <c r="B75" s="22"/>
      <c r="C75" s="272" t="s">
        <v>104</v>
      </c>
      <c r="D75" s="355" t="s">
        <v>563</v>
      </c>
      <c r="E75" s="262" t="s">
        <v>543</v>
      </c>
      <c r="F75" s="256">
        <f>'3'!I40</f>
        <v>45000</v>
      </c>
      <c r="G75" s="256">
        <f>'3'!J40</f>
        <v>45000</v>
      </c>
      <c r="H75" s="256">
        <f>'3'!K40</f>
        <v>28812</v>
      </c>
      <c r="I75" s="332">
        <f>'3'!L40</f>
        <v>45000</v>
      </c>
      <c r="J75" s="332">
        <f>'3'!M40</f>
        <v>0</v>
      </c>
      <c r="K75" s="433">
        <f>'3'!N40</f>
        <v>45000</v>
      </c>
      <c r="L75" s="254">
        <f t="shared" si="2"/>
        <v>100</v>
      </c>
      <c r="N75" s="816"/>
    </row>
    <row r="76" spans="2:14" s="1" customFormat="1" ht="26.25" customHeight="1">
      <c r="B76" s="22"/>
      <c r="C76" s="272" t="s">
        <v>104</v>
      </c>
      <c r="D76" s="355" t="s">
        <v>564</v>
      </c>
      <c r="E76" s="262" t="s">
        <v>502</v>
      </c>
      <c r="F76" s="256">
        <f>'3'!I41</f>
        <v>17000</v>
      </c>
      <c r="G76" s="256">
        <f>'3'!J41</f>
        <v>17000</v>
      </c>
      <c r="H76" s="256">
        <f>'3'!K41</f>
        <v>10860</v>
      </c>
      <c r="I76" s="332">
        <f>'3'!L41</f>
        <v>17000</v>
      </c>
      <c r="J76" s="332">
        <f>'3'!M41</f>
        <v>0</v>
      </c>
      <c r="K76" s="433">
        <f>'3'!N41</f>
        <v>17000</v>
      </c>
      <c r="L76" s="254">
        <f t="shared" si="2"/>
        <v>100</v>
      </c>
      <c r="N76" s="816"/>
    </row>
    <row r="77" spans="2:14" s="1" customFormat="1" ht="15" customHeight="1">
      <c r="B77" s="22"/>
      <c r="C77" s="272" t="s">
        <v>104</v>
      </c>
      <c r="D77" s="355" t="s">
        <v>565</v>
      </c>
      <c r="E77" s="255" t="s">
        <v>503</v>
      </c>
      <c r="F77" s="256">
        <f>'3'!I42</f>
        <v>30000</v>
      </c>
      <c r="G77" s="256">
        <f>'3'!J42</f>
        <v>30000</v>
      </c>
      <c r="H77" s="256">
        <f>'3'!K42</f>
        <v>22500</v>
      </c>
      <c r="I77" s="332">
        <f>'3'!L42</f>
        <v>30000</v>
      </c>
      <c r="J77" s="332">
        <f>'3'!M42</f>
        <v>0</v>
      </c>
      <c r="K77" s="433">
        <f>'3'!N42</f>
        <v>30000</v>
      </c>
      <c r="L77" s="254">
        <f t="shared" si="2"/>
        <v>100</v>
      </c>
      <c r="N77" s="816"/>
    </row>
    <row r="78" spans="2:14" s="1" customFormat="1" ht="15" customHeight="1">
      <c r="B78" s="22"/>
      <c r="C78" s="272" t="s">
        <v>104</v>
      </c>
      <c r="D78" s="355" t="s">
        <v>566</v>
      </c>
      <c r="E78" s="255" t="s">
        <v>541</v>
      </c>
      <c r="F78" s="256">
        <f>'3'!I43</f>
        <v>15000</v>
      </c>
      <c r="G78" s="256">
        <f>'3'!J43</f>
        <v>15000</v>
      </c>
      <c r="H78" s="256">
        <f>'3'!K43</f>
        <v>10000</v>
      </c>
      <c r="I78" s="332">
        <f>'3'!L43</f>
        <v>15000</v>
      </c>
      <c r="J78" s="332">
        <f>'3'!M43</f>
        <v>0</v>
      </c>
      <c r="K78" s="433">
        <f>'3'!N43</f>
        <v>15000</v>
      </c>
      <c r="L78" s="254">
        <f t="shared" ref="L78" si="20">IF(G78=0,"",K78/G78*100)</f>
        <v>100</v>
      </c>
      <c r="N78" s="816"/>
    </row>
    <row r="79" spans="2:14" ht="15" customHeight="1" thickBot="1">
      <c r="B79" s="16"/>
      <c r="C79" s="272" t="s">
        <v>104</v>
      </c>
      <c r="D79" s="355" t="s">
        <v>590</v>
      </c>
      <c r="E79" s="261" t="s">
        <v>504</v>
      </c>
      <c r="F79" s="256">
        <f>'20'!I37</f>
        <v>100000</v>
      </c>
      <c r="G79" s="256">
        <f>'20'!J37</f>
        <v>100000</v>
      </c>
      <c r="H79" s="256">
        <f>'20'!K37</f>
        <v>75000</v>
      </c>
      <c r="I79" s="332">
        <f>'20'!L37</f>
        <v>100000</v>
      </c>
      <c r="J79" s="332">
        <f>'20'!M37</f>
        <v>0</v>
      </c>
      <c r="K79" s="433">
        <f>'20'!N37</f>
        <v>100000</v>
      </c>
      <c r="L79" s="254">
        <f t="shared" ref="L79:L122" si="21">IF(G79=0,"",K79/G79*100)</f>
        <v>100</v>
      </c>
    </row>
    <row r="80" spans="2:14" ht="15" customHeight="1">
      <c r="C80" s="272" t="s">
        <v>104</v>
      </c>
      <c r="D80" s="355" t="s">
        <v>591</v>
      </c>
      <c r="E80" s="261" t="s">
        <v>505</v>
      </c>
      <c r="F80" s="256">
        <f>'20'!I38</f>
        <v>220000</v>
      </c>
      <c r="G80" s="256">
        <f>'20'!J38</f>
        <v>220000</v>
      </c>
      <c r="H80" s="256">
        <f>'20'!K38</f>
        <v>188320</v>
      </c>
      <c r="I80" s="332">
        <f>'20'!L38</f>
        <v>220000</v>
      </c>
      <c r="J80" s="332">
        <f>'20'!M38</f>
        <v>0</v>
      </c>
      <c r="K80" s="433">
        <f>'20'!N38</f>
        <v>220000</v>
      </c>
      <c r="L80" s="254">
        <f t="shared" si="21"/>
        <v>100</v>
      </c>
    </row>
    <row r="81" spans="3:14" ht="15" customHeight="1">
      <c r="C81" s="272" t="s">
        <v>104</v>
      </c>
      <c r="D81" s="355" t="s">
        <v>594</v>
      </c>
      <c r="E81" s="261" t="s">
        <v>524</v>
      </c>
      <c r="F81" s="256">
        <f>'33'!I30</f>
        <v>50000</v>
      </c>
      <c r="G81" s="256">
        <f>'33'!J30</f>
        <v>50000</v>
      </c>
      <c r="H81" s="256">
        <f>'33'!K30</f>
        <v>0</v>
      </c>
      <c r="I81" s="332">
        <f>'33'!L30</f>
        <v>0</v>
      </c>
      <c r="J81" s="332">
        <f>'33'!M30</f>
        <v>0</v>
      </c>
      <c r="K81" s="433">
        <f>'33'!N30</f>
        <v>0</v>
      </c>
      <c r="L81" s="254">
        <f t="shared" si="21"/>
        <v>0</v>
      </c>
    </row>
    <row r="82" spans="3:14" s="314" customFormat="1" ht="15" customHeight="1">
      <c r="C82" s="272" t="s">
        <v>104</v>
      </c>
      <c r="D82" s="355" t="s">
        <v>716</v>
      </c>
      <c r="E82" s="261" t="s">
        <v>696</v>
      </c>
      <c r="F82" s="332">
        <f>'20'!I39</f>
        <v>240000</v>
      </c>
      <c r="G82" s="332">
        <f>'20'!J39</f>
        <v>240000</v>
      </c>
      <c r="H82" s="332">
        <f>'20'!K39</f>
        <v>171700</v>
      </c>
      <c r="I82" s="332">
        <f>'20'!L39</f>
        <v>240000</v>
      </c>
      <c r="J82" s="332">
        <f>'20'!M39</f>
        <v>0</v>
      </c>
      <c r="K82" s="433">
        <f>'20'!N39</f>
        <v>240000</v>
      </c>
      <c r="L82" s="331">
        <f t="shared" si="21"/>
        <v>100</v>
      </c>
      <c r="N82" s="815"/>
    </row>
    <row r="83" spans="3:14" s="314" customFormat="1" ht="15" customHeight="1">
      <c r="C83" s="272" t="s">
        <v>104</v>
      </c>
      <c r="D83" s="355" t="s">
        <v>717</v>
      </c>
      <c r="E83" s="261" t="s">
        <v>599</v>
      </c>
      <c r="F83" s="332">
        <f>'20'!I40</f>
        <v>80000</v>
      </c>
      <c r="G83" s="332">
        <f>'20'!J40</f>
        <v>80000</v>
      </c>
      <c r="H83" s="332">
        <f>'20'!K40</f>
        <v>26300</v>
      </c>
      <c r="I83" s="332">
        <f>'20'!L40</f>
        <v>80000</v>
      </c>
      <c r="J83" s="332">
        <f>'20'!M40</f>
        <v>0</v>
      </c>
      <c r="K83" s="433">
        <f>'20'!N40</f>
        <v>80000</v>
      </c>
      <c r="L83" s="331">
        <f t="shared" si="21"/>
        <v>100</v>
      </c>
      <c r="N83" s="815"/>
    </row>
    <row r="84" spans="3:14" s="55" customFormat="1" ht="15" customHeight="1">
      <c r="C84" s="278" t="s">
        <v>182</v>
      </c>
      <c r="D84" s="356"/>
      <c r="E84" s="265" t="s">
        <v>514</v>
      </c>
      <c r="F84" s="101">
        <f>SUM(F85:F88)</f>
        <v>4150000</v>
      </c>
      <c r="G84" s="101">
        <f t="shared" ref="G84:K84" si="22">SUM(G85:G88)</f>
        <v>3930000</v>
      </c>
      <c r="H84" s="101">
        <f t="shared" si="22"/>
        <v>2381114</v>
      </c>
      <c r="I84" s="307">
        <f t="shared" si="22"/>
        <v>2135170</v>
      </c>
      <c r="J84" s="307">
        <f t="shared" si="22"/>
        <v>954830</v>
      </c>
      <c r="K84" s="418">
        <f t="shared" si="22"/>
        <v>3090000</v>
      </c>
      <c r="L84" s="104">
        <f t="shared" si="21"/>
        <v>78.625954198473281</v>
      </c>
      <c r="N84" s="818"/>
    </row>
    <row r="85" spans="3:14" ht="15" customHeight="1">
      <c r="C85" s="272" t="s">
        <v>182</v>
      </c>
      <c r="D85" s="355" t="s">
        <v>569</v>
      </c>
      <c r="E85" s="261" t="s">
        <v>546</v>
      </c>
      <c r="F85" s="256">
        <f>'15'!I31</f>
        <v>2800000</v>
      </c>
      <c r="G85" s="256">
        <f>'15'!J31</f>
        <v>2580000</v>
      </c>
      <c r="H85" s="256">
        <f>'15'!K31</f>
        <v>1266006</v>
      </c>
      <c r="I85" s="332">
        <f>'15'!L31</f>
        <v>1015170</v>
      </c>
      <c r="J85" s="332">
        <f>'15'!M31</f>
        <v>654830</v>
      </c>
      <c r="K85" s="433">
        <f>'15'!N31</f>
        <v>1670000</v>
      </c>
      <c r="L85" s="254">
        <f t="shared" si="21"/>
        <v>64.728682170542641</v>
      </c>
    </row>
    <row r="86" spans="3:14" ht="15" customHeight="1">
      <c r="C86" s="271" t="s">
        <v>182</v>
      </c>
      <c r="D86" s="353" t="s">
        <v>580</v>
      </c>
      <c r="E86" s="258" t="s">
        <v>506</v>
      </c>
      <c r="F86" s="253">
        <f>'19'!I30</f>
        <v>1100000</v>
      </c>
      <c r="G86" s="253">
        <f>'19'!J30</f>
        <v>1100000</v>
      </c>
      <c r="H86" s="253">
        <f>'19'!K30</f>
        <v>915108</v>
      </c>
      <c r="I86" s="330">
        <f>'19'!L30</f>
        <v>1120000</v>
      </c>
      <c r="J86" s="330">
        <f>'19'!M30</f>
        <v>0</v>
      </c>
      <c r="K86" s="433">
        <f>'19'!N30</f>
        <v>1120000</v>
      </c>
      <c r="L86" s="254">
        <f t="shared" si="21"/>
        <v>101.81818181818181</v>
      </c>
    </row>
    <row r="87" spans="3:14" ht="15" customHeight="1">
      <c r="C87" s="271" t="s">
        <v>182</v>
      </c>
      <c r="D87" s="353" t="s">
        <v>582</v>
      </c>
      <c r="E87" s="258" t="s">
        <v>507</v>
      </c>
      <c r="F87" s="253">
        <f>'19'!I31</f>
        <v>150000</v>
      </c>
      <c r="G87" s="253">
        <f>'19'!J31</f>
        <v>150000</v>
      </c>
      <c r="H87" s="253">
        <f>'19'!K31</f>
        <v>100000</v>
      </c>
      <c r="I87" s="330">
        <f>'19'!L31</f>
        <v>0</v>
      </c>
      <c r="J87" s="330">
        <f>'19'!M31</f>
        <v>150000</v>
      </c>
      <c r="K87" s="433">
        <f>'19'!N31</f>
        <v>150000</v>
      </c>
      <c r="L87" s="254">
        <f t="shared" si="21"/>
        <v>100</v>
      </c>
    </row>
    <row r="88" spans="3:14" ht="15" customHeight="1">
      <c r="C88" s="271" t="s">
        <v>182</v>
      </c>
      <c r="D88" s="353" t="s">
        <v>583</v>
      </c>
      <c r="E88" s="258" t="s">
        <v>508</v>
      </c>
      <c r="F88" s="253">
        <f>'19'!I32</f>
        <v>100000</v>
      </c>
      <c r="G88" s="253">
        <f>'19'!J32</f>
        <v>100000</v>
      </c>
      <c r="H88" s="253">
        <f>'19'!K32</f>
        <v>100000</v>
      </c>
      <c r="I88" s="330">
        <f>'19'!L32</f>
        <v>0</v>
      </c>
      <c r="J88" s="330">
        <f>'19'!M32</f>
        <v>150000</v>
      </c>
      <c r="K88" s="433">
        <f>'19'!N32</f>
        <v>150000</v>
      </c>
      <c r="L88" s="254">
        <f t="shared" si="21"/>
        <v>150</v>
      </c>
    </row>
    <row r="89" spans="3:14" s="55" customFormat="1" ht="15" customHeight="1">
      <c r="C89" s="280">
        <v>614800</v>
      </c>
      <c r="D89" s="357"/>
      <c r="E89" s="264" t="s">
        <v>515</v>
      </c>
      <c r="F89" s="281">
        <f>SUM(F90:F91)</f>
        <v>130000</v>
      </c>
      <c r="G89" s="281">
        <f t="shared" ref="G89:K89" si="23">SUM(G90:G91)</f>
        <v>130000</v>
      </c>
      <c r="H89" s="281">
        <f t="shared" si="23"/>
        <v>129315</v>
      </c>
      <c r="I89" s="306">
        <f t="shared" si="23"/>
        <v>139000</v>
      </c>
      <c r="J89" s="306">
        <f t="shared" si="23"/>
        <v>0</v>
      </c>
      <c r="K89" s="418">
        <f t="shared" si="23"/>
        <v>139000</v>
      </c>
      <c r="L89" s="104">
        <f t="shared" si="21"/>
        <v>106.92307692307692</v>
      </c>
      <c r="N89" s="818"/>
    </row>
    <row r="90" spans="3:14" ht="15" customHeight="1">
      <c r="C90" s="271">
        <v>614800</v>
      </c>
      <c r="D90" s="353" t="s">
        <v>572</v>
      </c>
      <c r="E90" s="258" t="s">
        <v>509</v>
      </c>
      <c r="F90" s="253">
        <f>'16'!I34</f>
        <v>70000</v>
      </c>
      <c r="G90" s="253">
        <f>'16'!J34</f>
        <v>88000</v>
      </c>
      <c r="H90" s="253">
        <f>'16'!K34</f>
        <v>87317</v>
      </c>
      <c r="I90" s="330">
        <f>'16'!L34</f>
        <v>94000</v>
      </c>
      <c r="J90" s="330">
        <f>'16'!M34</f>
        <v>0</v>
      </c>
      <c r="K90" s="433">
        <f>'16'!N34</f>
        <v>94000</v>
      </c>
      <c r="L90" s="254">
        <f t="shared" si="21"/>
        <v>106.81818181818181</v>
      </c>
    </row>
    <row r="91" spans="3:14" ht="27" customHeight="1">
      <c r="C91" s="271">
        <v>614800</v>
      </c>
      <c r="D91" s="353" t="s">
        <v>573</v>
      </c>
      <c r="E91" s="263" t="s">
        <v>510</v>
      </c>
      <c r="F91" s="253">
        <f>'16'!I35</f>
        <v>60000</v>
      </c>
      <c r="G91" s="253">
        <f>'16'!J35</f>
        <v>42000</v>
      </c>
      <c r="H91" s="253">
        <f>'16'!K35</f>
        <v>41998</v>
      </c>
      <c r="I91" s="330">
        <f>'16'!L35</f>
        <v>45000</v>
      </c>
      <c r="J91" s="330">
        <f>'16'!M35</f>
        <v>0</v>
      </c>
      <c r="K91" s="433">
        <f>'16'!N35</f>
        <v>45000</v>
      </c>
      <c r="L91" s="254">
        <f t="shared" si="21"/>
        <v>107.14285714285714</v>
      </c>
    </row>
    <row r="92" spans="3:14" ht="13.5" customHeight="1">
      <c r="C92" s="273"/>
      <c r="D92" s="348"/>
      <c r="E92" s="8"/>
      <c r="F92" s="15"/>
      <c r="G92" s="15"/>
      <c r="H92" s="15"/>
      <c r="I92" s="318"/>
      <c r="J92" s="318"/>
      <c r="K92" s="419"/>
      <c r="L92" s="104" t="str">
        <f t="shared" si="21"/>
        <v/>
      </c>
    </row>
    <row r="93" spans="3:14" ht="15" customHeight="1">
      <c r="C93" s="446">
        <v>615000</v>
      </c>
      <c r="D93" s="447"/>
      <c r="E93" s="448" t="s">
        <v>88</v>
      </c>
      <c r="F93" s="444">
        <f>SUM(F94:F97)</f>
        <v>330000</v>
      </c>
      <c r="G93" s="444">
        <f t="shared" ref="G93:K93" si="24">SUM(G94:G97)</f>
        <v>500000</v>
      </c>
      <c r="H93" s="444">
        <f t="shared" si="24"/>
        <v>4000</v>
      </c>
      <c r="I93" s="444">
        <f t="shared" si="24"/>
        <v>565000</v>
      </c>
      <c r="J93" s="444">
        <f t="shared" si="24"/>
        <v>80000</v>
      </c>
      <c r="K93" s="419">
        <f t="shared" si="24"/>
        <v>645000</v>
      </c>
      <c r="L93" s="445">
        <f t="shared" si="21"/>
        <v>129</v>
      </c>
      <c r="N93" s="817"/>
    </row>
    <row r="94" spans="3:14" ht="15" customHeight="1">
      <c r="C94" s="274" t="s">
        <v>184</v>
      </c>
      <c r="D94" s="357"/>
      <c r="E94" s="44" t="s">
        <v>88</v>
      </c>
      <c r="F94" s="31">
        <f>'3'!I47</f>
        <v>50000</v>
      </c>
      <c r="G94" s="321">
        <f>'3'!J47</f>
        <v>0</v>
      </c>
      <c r="H94" s="321">
        <f>'3'!K47</f>
        <v>0</v>
      </c>
      <c r="I94" s="321">
        <f>'3'!L47</f>
        <v>147000</v>
      </c>
      <c r="J94" s="321">
        <f>'3'!M47</f>
        <v>0</v>
      </c>
      <c r="K94" s="418">
        <f>'3'!N47</f>
        <v>147000</v>
      </c>
      <c r="L94" s="104" t="str">
        <f t="shared" si="21"/>
        <v/>
      </c>
    </row>
    <row r="95" spans="3:14" s="314" customFormat="1" ht="15" customHeight="1">
      <c r="C95" s="678" t="s">
        <v>184</v>
      </c>
      <c r="D95" s="356" t="s">
        <v>840</v>
      </c>
      <c r="E95" s="679" t="s">
        <v>786</v>
      </c>
      <c r="F95" s="321">
        <f>'19'!I35</f>
        <v>30000</v>
      </c>
      <c r="G95" s="321">
        <f>'19'!J35</f>
        <v>30000</v>
      </c>
      <c r="H95" s="321">
        <f>'19'!K35</f>
        <v>4000</v>
      </c>
      <c r="I95" s="321">
        <f>'19'!L35</f>
        <v>0</v>
      </c>
      <c r="J95" s="321">
        <f>'19'!M35</f>
        <v>30000</v>
      </c>
      <c r="K95" s="418">
        <f>'19'!N35</f>
        <v>30000</v>
      </c>
      <c r="L95" s="104">
        <f t="shared" ref="L95" si="25">IF(G95=0,"",K95/G95*100)</f>
        <v>100</v>
      </c>
      <c r="N95" s="815"/>
    </row>
    <row r="96" spans="3:14" s="314" customFormat="1" ht="15" customHeight="1">
      <c r="C96" s="678" t="s">
        <v>184</v>
      </c>
      <c r="D96" s="356" t="s">
        <v>841</v>
      </c>
      <c r="E96" s="679" t="s">
        <v>776</v>
      </c>
      <c r="F96" s="321">
        <f>'19'!I36</f>
        <v>50000</v>
      </c>
      <c r="G96" s="321">
        <f>'19'!J36</f>
        <v>50000</v>
      </c>
      <c r="H96" s="321">
        <f>'19'!K36</f>
        <v>0</v>
      </c>
      <c r="I96" s="321">
        <f>'19'!L36</f>
        <v>0</v>
      </c>
      <c r="J96" s="321">
        <f>'19'!M36</f>
        <v>50000</v>
      </c>
      <c r="K96" s="418">
        <f>'19'!N36</f>
        <v>50000</v>
      </c>
      <c r="L96" s="104">
        <f t="shared" si="21"/>
        <v>100</v>
      </c>
      <c r="N96" s="815"/>
    </row>
    <row r="97" spans="3:14" s="314" customFormat="1" ht="15" customHeight="1">
      <c r="C97" s="678" t="s">
        <v>721</v>
      </c>
      <c r="D97" s="356" t="s">
        <v>720</v>
      </c>
      <c r="E97" s="679" t="s">
        <v>775</v>
      </c>
      <c r="F97" s="321">
        <f>'15'!I34</f>
        <v>200000</v>
      </c>
      <c r="G97" s="321">
        <f>'15'!J34</f>
        <v>420000</v>
      </c>
      <c r="H97" s="321">
        <f>'15'!K34</f>
        <v>0</v>
      </c>
      <c r="I97" s="321">
        <f>'15'!L34</f>
        <v>418000</v>
      </c>
      <c r="J97" s="321">
        <f>'15'!M34</f>
        <v>0</v>
      </c>
      <c r="K97" s="418">
        <f>'15'!N34</f>
        <v>418000</v>
      </c>
      <c r="L97" s="104">
        <f t="shared" si="21"/>
        <v>99.523809523809518</v>
      </c>
      <c r="N97" s="815"/>
    </row>
    <row r="98" spans="3:14" ht="12.75" customHeight="1">
      <c r="C98" s="275"/>
      <c r="D98" s="358"/>
      <c r="E98" s="23"/>
      <c r="F98" s="31"/>
      <c r="G98" s="31"/>
      <c r="H98" s="31"/>
      <c r="I98" s="321"/>
      <c r="J98" s="321"/>
      <c r="K98" s="418"/>
      <c r="L98" s="104" t="str">
        <f t="shared" si="21"/>
        <v/>
      </c>
    </row>
    <row r="99" spans="3:14" ht="15" customHeight="1">
      <c r="C99" s="449" t="s">
        <v>101</v>
      </c>
      <c r="D99" s="450"/>
      <c r="E99" s="448" t="s">
        <v>179</v>
      </c>
      <c r="F99" s="444">
        <f>SUM(F100:F104)</f>
        <v>44710</v>
      </c>
      <c r="G99" s="444">
        <f t="shared" ref="G99:H99" si="26">SUM(G100:G104)</f>
        <v>44710</v>
      </c>
      <c r="H99" s="444">
        <f t="shared" si="26"/>
        <v>36512</v>
      </c>
      <c r="I99" s="444">
        <f>SUM(I100:I104)</f>
        <v>41720</v>
      </c>
      <c r="J99" s="444">
        <f>SUM(J100:J104)</f>
        <v>0</v>
      </c>
      <c r="K99" s="419">
        <f>SUM(K100:K104)</f>
        <v>41720</v>
      </c>
      <c r="L99" s="445">
        <f t="shared" si="21"/>
        <v>93.312458063073137</v>
      </c>
      <c r="N99" s="817"/>
    </row>
    <row r="100" spans="3:14" ht="15" customHeight="1">
      <c r="C100" s="267">
        <v>616300</v>
      </c>
      <c r="D100" s="349"/>
      <c r="E100" s="44" t="s">
        <v>167</v>
      </c>
      <c r="F100" s="31">
        <f>'20'!I43</f>
        <v>0</v>
      </c>
      <c r="G100" s="31">
        <f>'20'!J43</f>
        <v>0</v>
      </c>
      <c r="H100" s="31">
        <f>'20'!K43</f>
        <v>0</v>
      </c>
      <c r="I100" s="321">
        <f>'20'!L43</f>
        <v>0</v>
      </c>
      <c r="J100" s="321">
        <f>'20'!M43</f>
        <v>0</v>
      </c>
      <c r="K100" s="418">
        <f>'20'!N43</f>
        <v>0</v>
      </c>
      <c r="L100" s="104" t="str">
        <f t="shared" si="21"/>
        <v/>
      </c>
    </row>
    <row r="101" spans="3:14" s="314" customFormat="1" ht="15" customHeight="1">
      <c r="C101" s="267">
        <v>616200</v>
      </c>
      <c r="D101" s="349" t="s">
        <v>574</v>
      </c>
      <c r="E101" s="44" t="s">
        <v>892</v>
      </c>
      <c r="F101" s="321">
        <f>'16'!I38</f>
        <v>19640</v>
      </c>
      <c r="G101" s="321">
        <f>'16'!J38</f>
        <v>19640</v>
      </c>
      <c r="H101" s="321">
        <f>'16'!K38</f>
        <v>18802</v>
      </c>
      <c r="I101" s="321">
        <f>'16'!L38</f>
        <v>18810</v>
      </c>
      <c r="J101" s="321">
        <f>'16'!M38</f>
        <v>0</v>
      </c>
      <c r="K101" s="418">
        <f>'16'!N38</f>
        <v>18810</v>
      </c>
      <c r="L101" s="104">
        <f t="shared" ref="L101:L102" si="27">IF(G101=0,"",K101/G101*100)</f>
        <v>95.773930753564144</v>
      </c>
      <c r="N101" s="815"/>
    </row>
    <row r="102" spans="3:14" s="314" customFormat="1" ht="15" customHeight="1">
      <c r="C102" s="267">
        <v>616200</v>
      </c>
      <c r="D102" s="349" t="s">
        <v>575</v>
      </c>
      <c r="E102" s="44" t="s">
        <v>893</v>
      </c>
      <c r="F102" s="321">
        <f>'16'!I39</f>
        <v>25070</v>
      </c>
      <c r="G102" s="321">
        <f>'16'!J39</f>
        <v>25070</v>
      </c>
      <c r="H102" s="321">
        <f>'16'!K39</f>
        <v>17710</v>
      </c>
      <c r="I102" s="321">
        <f>'16'!L39</f>
        <v>22910</v>
      </c>
      <c r="J102" s="321">
        <f>'16'!M39</f>
        <v>0</v>
      </c>
      <c r="K102" s="418">
        <f>'16'!N39</f>
        <v>22910</v>
      </c>
      <c r="L102" s="104">
        <f t="shared" si="27"/>
        <v>91.384124451535698</v>
      </c>
      <c r="N102" s="815"/>
    </row>
    <row r="103" spans="3:14" ht="15" customHeight="1">
      <c r="C103" s="267">
        <v>616300</v>
      </c>
      <c r="D103" s="349" t="s">
        <v>574</v>
      </c>
      <c r="E103" s="44" t="s">
        <v>186</v>
      </c>
      <c r="F103" s="31">
        <f>'16'!I40</f>
        <v>0</v>
      </c>
      <c r="G103" s="31">
        <f>'16'!J40</f>
        <v>0</v>
      </c>
      <c r="H103" s="31">
        <f>'16'!K40</f>
        <v>0</v>
      </c>
      <c r="I103" s="321">
        <f>'16'!L40</f>
        <v>0</v>
      </c>
      <c r="J103" s="321">
        <f>'16'!M40</f>
        <v>0</v>
      </c>
      <c r="K103" s="418">
        <f>'16'!N40</f>
        <v>0</v>
      </c>
      <c r="L103" s="104" t="str">
        <f t="shared" si="21"/>
        <v/>
      </c>
    </row>
    <row r="104" spans="3:14" ht="15" customHeight="1">
      <c r="C104" s="267">
        <v>616300</v>
      </c>
      <c r="D104" s="349" t="s">
        <v>575</v>
      </c>
      <c r="E104" s="44" t="s">
        <v>190</v>
      </c>
      <c r="F104" s="31">
        <f>'16'!I41</f>
        <v>0</v>
      </c>
      <c r="G104" s="31">
        <f>'16'!J41</f>
        <v>0</v>
      </c>
      <c r="H104" s="31">
        <f>'16'!K41</f>
        <v>0</v>
      </c>
      <c r="I104" s="321">
        <f>'16'!L41</f>
        <v>0</v>
      </c>
      <c r="J104" s="321">
        <f>'16'!M41</f>
        <v>0</v>
      </c>
      <c r="K104" s="418">
        <f>'16'!N41</f>
        <v>0</v>
      </c>
      <c r="L104" s="104" t="str">
        <f t="shared" si="21"/>
        <v/>
      </c>
    </row>
    <row r="105" spans="3:14" ht="12" customHeight="1">
      <c r="C105" s="267"/>
      <c r="D105" s="349"/>
      <c r="E105" s="44"/>
      <c r="F105" s="31"/>
      <c r="G105" s="31"/>
      <c r="H105" s="31"/>
      <c r="I105" s="321"/>
      <c r="J105" s="321"/>
      <c r="K105" s="418"/>
      <c r="L105" s="104" t="str">
        <f t="shared" si="21"/>
        <v/>
      </c>
    </row>
    <row r="106" spans="3:14" ht="15" customHeight="1">
      <c r="C106" s="441">
        <v>821000</v>
      </c>
      <c r="D106" s="442"/>
      <c r="E106" s="443" t="s">
        <v>89</v>
      </c>
      <c r="F106" s="444">
        <f t="shared" ref="F106:K106" si="28">SUM(F107:F112)</f>
        <v>1959310</v>
      </c>
      <c r="G106" s="444">
        <f t="shared" si="28"/>
        <v>2021156</v>
      </c>
      <c r="H106" s="444">
        <f t="shared" si="28"/>
        <v>906893</v>
      </c>
      <c r="I106" s="444">
        <f t="shared" si="28"/>
        <v>471530</v>
      </c>
      <c r="J106" s="444">
        <f t="shared" si="28"/>
        <v>1615480</v>
      </c>
      <c r="K106" s="419">
        <f t="shared" si="28"/>
        <v>2087010</v>
      </c>
      <c r="L106" s="445">
        <f t="shared" si="21"/>
        <v>103.25823439655326</v>
      </c>
      <c r="N106" s="817"/>
    </row>
    <row r="107" spans="3:14" ht="15" customHeight="1">
      <c r="C107" s="269">
        <v>821200</v>
      </c>
      <c r="D107" s="351"/>
      <c r="E107" s="14" t="s">
        <v>90</v>
      </c>
      <c r="F107" s="85">
        <f>'1'!I29+'3'!I50+'4 (S)'!I32+'4 (N)'!I32+'5'!I29+'6'!I29+'7'!I29+'8'!I29+'9'!I29+'10'!I31+'11'!I30+'12'!I29+'13'!I29+'14'!I29+'15'!I37+'16'!I44+'17'!I34+'18'!I34+'19'!I39+'20'!I46+'21'!I29+'22'!I29+'23'!I29+'24'!I29+'25'!I29+'26'!I29+'27'!I29+'28'!I29+'29'!I29+'30'!I29+'31'!I32+'32'!I29+'33'!I33+'34'!I29+'35'!I29+'36'!I29+'37'!I29</f>
        <v>521950</v>
      </c>
      <c r="G107" s="326">
        <f>'1'!J29+'3'!J50+'4 (S)'!J32+'4 (N)'!J32+'5'!J29+'6'!J29+'7'!J29+'8'!J29+'9'!J29+'10'!J31+'11'!J30+'12'!J29+'13'!J29+'14'!J29+'15'!J37+'16'!J44+'17'!J34+'18'!J34+'19'!J39+'20'!J46+'21'!J29+'22'!J29+'23'!J29+'24'!J29+'25'!J29+'26'!J29+'27'!J29+'28'!J29+'29'!J29+'30'!J29+'31'!J32+'32'!J29+'33'!J33+'34'!J29+'35'!J29+'36'!J29+'37'!J29</f>
        <v>516950</v>
      </c>
      <c r="H107" s="326">
        <f>'1'!K29+'3'!K50+'4 (S)'!K32+'4 (N)'!K32+'5'!K29+'6'!K29+'7'!K29+'8'!K29+'9'!K29+'10'!K31+'11'!K30+'12'!K29+'13'!K29+'14'!K29+'15'!K37+'16'!K44+'17'!K34+'18'!K34+'19'!K39+'20'!K46+'21'!K29+'22'!K29+'23'!K29+'24'!K29+'25'!K29+'26'!K29+'27'!K29+'28'!K29+'29'!K29+'30'!K29+'31'!K32+'32'!K29+'33'!K33+'34'!K29+'35'!K29+'36'!K29+'37'!K29</f>
        <v>286802</v>
      </c>
      <c r="I107" s="326">
        <f>'1'!L29+'3'!L50+'4 (S)'!L32+'4 (N)'!L32+'5'!L29+'6'!L29+'7'!L29+'8'!L29+'9'!L29+'10'!L31+'11'!L30+'12'!L29+'13'!L29+'14'!L29+'15'!L37+'16'!L44+'17'!L34+'18'!L34+'19'!L39+'20'!L46+'21'!L29+'22'!L29+'23'!L29+'24'!L29+'25'!L29+'26'!L29+'27'!L29+'28'!L29+'29'!L29+'30'!L29+'31'!L32+'32'!L29+'33'!L33+'34'!L29+'35'!L29+'36'!L29+'37'!L29</f>
        <v>181920</v>
      </c>
      <c r="J107" s="326">
        <f>'1'!M29+'3'!M50+'4 (S)'!M32+'4 (N)'!M32+'5'!M29+'6'!M29+'7'!M29+'8'!M29+'9'!M29+'10'!M31+'11'!M30+'12'!M29+'13'!M29+'14'!M29+'15'!M37+'16'!M44+'17'!M34+'18'!M34+'19'!M39+'20'!M46+'21'!M29+'22'!M29+'23'!M29+'24'!M29+'25'!M29+'26'!M29+'27'!M29+'28'!M29+'29'!M29+'30'!M29+'31'!M32+'32'!M29+'33'!M33+'34'!M29+'35'!M29+'36'!M29+'37'!M29</f>
        <v>332950</v>
      </c>
      <c r="K107" s="418">
        <f>'1'!N29+'3'!N50+'4 (S)'!N32+'4 (N)'!N32+'5'!N29+'6'!N29+'7'!N29+'8'!N29+'9'!N29+'10'!N31+'11'!N30+'12'!N29+'13'!N29+'14'!N29+'15'!N37+'16'!N44+'17'!N34+'18'!N34+'19'!N39+'20'!N46+'21'!N29+'22'!N29+'23'!N29+'24'!N29+'25'!N29+'26'!N29+'27'!N29+'28'!N29+'29'!N29+'30'!N29+'31'!N32+'32'!N29+'33'!N33+'34'!N29+'35'!N29+'36'!N29+'37'!N29</f>
        <v>514870</v>
      </c>
      <c r="L107" s="104">
        <f t="shared" si="21"/>
        <v>99.597640003868847</v>
      </c>
    </row>
    <row r="108" spans="3:14" ht="15" customHeight="1">
      <c r="C108" s="269">
        <v>821300</v>
      </c>
      <c r="D108" s="351"/>
      <c r="E108" s="14" t="s">
        <v>91</v>
      </c>
      <c r="F108" s="85">
        <f>'1'!I30+'3'!I51+'4 (S)'!I33+'4 (N)'!I33+'5'!I30+'6'!I30+'7'!I30+'8'!I30+'9'!I30+'10'!I32+'11'!I31+'12'!I30+'13'!I30+'14'!I30+'15'!I38+'16'!I45+'17'!I35+'18'!I35+'19'!I40+'20'!I47+'21'!I30+'22'!I30+'23'!I30+'24'!I30+'25'!I30+'26'!I30+'27'!I30+'28'!I30+'29'!I30+'30'!I30+'31'!I33+'32'!I30+'33'!I34+'34'!I30+'35'!I30+'36'!I30+'37'!I30</f>
        <v>287360</v>
      </c>
      <c r="G108" s="326">
        <f>'1'!J30+'3'!J51+'4 (S)'!J33+'4 (N)'!J33+'5'!J30+'6'!J30+'7'!J30+'8'!J30+'9'!J30+'10'!J32+'11'!J31+'12'!J30+'13'!J30+'14'!J30+'15'!J38+'16'!J45+'17'!J35+'18'!J35+'19'!J40+'20'!J47+'21'!J30+'22'!J30+'23'!J30+'24'!J30+'25'!J30+'26'!J30+'27'!J30+'28'!J30+'29'!J30+'30'!J30+'31'!J33+'32'!J30+'33'!J34+'34'!J30+'35'!J30+'36'!J30+'37'!J30</f>
        <v>304206</v>
      </c>
      <c r="H108" s="326">
        <f>'1'!K30+'3'!K51+'4 (S)'!K33+'4 (N)'!K33+'5'!K30+'6'!K30+'7'!K30+'8'!K30+'9'!K30+'10'!K32+'11'!K31+'12'!K30+'13'!K30+'14'!K30+'15'!K38+'16'!K45+'17'!K35+'18'!K35+'19'!K40+'20'!K47+'21'!K30+'22'!K30+'23'!K30+'24'!K30+'25'!K30+'26'!K30+'27'!K30+'28'!K30+'29'!K30+'30'!K30+'31'!K33+'32'!K30+'33'!K34+'34'!K30+'35'!K30+'36'!K30+'37'!K30</f>
        <v>212495</v>
      </c>
      <c r="I108" s="326">
        <f>'1'!L30+'3'!L51+'4 (S)'!L33+'4 (N)'!L33+'5'!L30+'6'!L30+'7'!L30+'8'!L30+'9'!L30+'10'!L32+'11'!L31+'12'!L30+'13'!L30+'14'!L30+'15'!L38+'16'!L45+'17'!L35+'18'!L35+'19'!L40+'20'!L47+'21'!L30+'22'!L30+'23'!L30+'24'!L30+'25'!L30+'26'!L30+'27'!L30+'28'!L30+'29'!L30+'30'!L30+'31'!L33+'32'!L30+'33'!L34+'34'!L30+'35'!L30+'36'!L30+'37'!L30</f>
        <v>239610</v>
      </c>
      <c r="J108" s="326">
        <f>'1'!M30+'3'!M51+'4 (S)'!M33+'4 (N)'!M33+'5'!M30+'6'!M30+'7'!M30+'8'!M30+'9'!M30+'10'!M32+'11'!M31+'12'!M30+'13'!M30+'14'!M30+'15'!M38+'16'!M45+'17'!M35+'18'!M35+'19'!M40+'20'!M47+'21'!M30+'22'!M30+'23'!M30+'24'!M30+'25'!M30+'26'!M30+'27'!M30+'28'!M30+'29'!M30+'30'!M30+'31'!M33+'32'!M30+'33'!M34+'34'!M30+'35'!M30+'36'!M30+'37'!M30</f>
        <v>70570</v>
      </c>
      <c r="K108" s="418">
        <f>'1'!N30+'3'!N51+'4 (S)'!N33+'4 (N)'!N33+'5'!N30+'6'!N30+'7'!N30+'8'!N30+'9'!N30+'10'!N32+'11'!N31+'12'!N30+'13'!N30+'14'!N30+'15'!N38+'16'!N45+'17'!N35+'18'!N35+'19'!N40+'20'!N47+'21'!N30+'22'!N30+'23'!N30+'24'!N30+'25'!N30+'26'!N30+'27'!N30+'28'!N30+'29'!N30+'30'!N30+'31'!N33+'32'!N30+'33'!N34+'34'!N30+'35'!N30+'36'!N30+'37'!N30</f>
        <v>310180</v>
      </c>
      <c r="L108" s="104">
        <f t="shared" si="21"/>
        <v>101.96380084547971</v>
      </c>
    </row>
    <row r="109" spans="3:14" ht="15" customHeight="1">
      <c r="C109" s="269">
        <v>821500</v>
      </c>
      <c r="D109" s="351"/>
      <c r="E109" s="183" t="s">
        <v>456</v>
      </c>
      <c r="F109" s="85">
        <f>'3'!I52</f>
        <v>0</v>
      </c>
      <c r="G109" s="85">
        <f>'3'!J52</f>
        <v>50000</v>
      </c>
      <c r="H109" s="85">
        <f>'3'!K52</f>
        <v>0</v>
      </c>
      <c r="I109" s="326">
        <f>'3'!L52</f>
        <v>50000</v>
      </c>
      <c r="J109" s="326">
        <f>'3'!M52</f>
        <v>0</v>
      </c>
      <c r="K109" s="418">
        <f>'3'!N52</f>
        <v>50000</v>
      </c>
      <c r="L109" s="104">
        <f t="shared" si="21"/>
        <v>100</v>
      </c>
    </row>
    <row r="110" spans="3:14" s="314" customFormat="1" ht="15" customHeight="1">
      <c r="C110" s="269">
        <v>821500</v>
      </c>
      <c r="D110" s="351" t="s">
        <v>724</v>
      </c>
      <c r="E110" s="675" t="s">
        <v>723</v>
      </c>
      <c r="F110" s="326">
        <f>'18'!I36</f>
        <v>750000</v>
      </c>
      <c r="G110" s="326">
        <f>'18'!J36</f>
        <v>750000</v>
      </c>
      <c r="H110" s="326">
        <f>'18'!K36</f>
        <v>330737</v>
      </c>
      <c r="I110" s="326">
        <f>'18'!L36</f>
        <v>0</v>
      </c>
      <c r="J110" s="326">
        <f>'18'!M36</f>
        <v>811960</v>
      </c>
      <c r="K110" s="418">
        <f>'18'!N36</f>
        <v>811960</v>
      </c>
      <c r="L110" s="104">
        <f t="shared" ref="L110" si="29">IF(G110=0,"",K110/G110*100)</f>
        <v>108.26133333333334</v>
      </c>
      <c r="N110" s="815"/>
    </row>
    <row r="111" spans="3:14" ht="15" customHeight="1">
      <c r="C111" s="269">
        <v>821600</v>
      </c>
      <c r="D111" s="351"/>
      <c r="E111" s="78" t="s">
        <v>102</v>
      </c>
      <c r="F111" s="85">
        <f>'18'!I37</f>
        <v>0</v>
      </c>
      <c r="G111" s="85">
        <f>'18'!J37</f>
        <v>0</v>
      </c>
      <c r="H111" s="85">
        <f>'18'!K37</f>
        <v>0</v>
      </c>
      <c r="I111" s="326">
        <f>'18'!L37</f>
        <v>0</v>
      </c>
      <c r="J111" s="326">
        <f>'18'!M37</f>
        <v>0</v>
      </c>
      <c r="K111" s="418">
        <f>'18'!N37</f>
        <v>0</v>
      </c>
      <c r="L111" s="104" t="str">
        <f t="shared" si="21"/>
        <v/>
      </c>
    </row>
    <row r="112" spans="3:14" s="314" customFormat="1" ht="15" customHeight="1">
      <c r="C112" s="269">
        <v>821600</v>
      </c>
      <c r="D112" s="351" t="s">
        <v>725</v>
      </c>
      <c r="E112" s="675" t="s">
        <v>722</v>
      </c>
      <c r="F112" s="326">
        <f>'18'!I38</f>
        <v>400000</v>
      </c>
      <c r="G112" s="326">
        <f>'18'!J38</f>
        <v>400000</v>
      </c>
      <c r="H112" s="326">
        <f>'18'!K38</f>
        <v>76859</v>
      </c>
      <c r="I112" s="326">
        <f>'18'!L38</f>
        <v>0</v>
      </c>
      <c r="J112" s="326">
        <f>'18'!M38</f>
        <v>400000</v>
      </c>
      <c r="K112" s="418">
        <f>'18'!N38</f>
        <v>400000</v>
      </c>
      <c r="L112" s="104">
        <f t="shared" ref="L112" si="30">IF(G112=0,"",K112/G112*100)</f>
        <v>100</v>
      </c>
      <c r="N112" s="815"/>
    </row>
    <row r="113" spans="3:14" ht="11.25" customHeight="1">
      <c r="C113" s="267"/>
      <c r="D113" s="349"/>
      <c r="E113" s="11"/>
      <c r="F113" s="30"/>
      <c r="G113" s="30"/>
      <c r="H113" s="30"/>
      <c r="I113" s="309"/>
      <c r="J113" s="309"/>
      <c r="K113" s="418"/>
      <c r="L113" s="104" t="str">
        <f t="shared" si="21"/>
        <v/>
      </c>
    </row>
    <row r="114" spans="3:14" ht="15" customHeight="1">
      <c r="C114" s="441">
        <v>823000</v>
      </c>
      <c r="D114" s="442"/>
      <c r="E114" s="443" t="s">
        <v>180</v>
      </c>
      <c r="F114" s="444">
        <f>SUM(F115:F119)</f>
        <v>518280</v>
      </c>
      <c r="G114" s="444">
        <f t="shared" ref="G114:K114" si="31">SUM(G115:G119)</f>
        <v>518280</v>
      </c>
      <c r="H114" s="444">
        <f t="shared" si="31"/>
        <v>514992</v>
      </c>
      <c r="I114" s="444">
        <f t="shared" ref="I114:J114" si="32">SUM(I115:I119)</f>
        <v>515000</v>
      </c>
      <c r="J114" s="444">
        <f t="shared" si="32"/>
        <v>0</v>
      </c>
      <c r="K114" s="419">
        <f t="shared" si="31"/>
        <v>515000</v>
      </c>
      <c r="L114" s="445">
        <f t="shared" si="21"/>
        <v>99.367137454657723</v>
      </c>
      <c r="N114" s="817"/>
    </row>
    <row r="115" spans="3:14" ht="15" customHeight="1">
      <c r="C115" s="267">
        <v>823300</v>
      </c>
      <c r="D115" s="349"/>
      <c r="E115" s="20" t="s">
        <v>189</v>
      </c>
      <c r="F115" s="30">
        <f>'20'!I50</f>
        <v>0</v>
      </c>
      <c r="G115" s="30">
        <f>'20'!J50</f>
        <v>0</v>
      </c>
      <c r="H115" s="30">
        <f>'20'!K50</f>
        <v>0</v>
      </c>
      <c r="I115" s="309">
        <f>'20'!L50</f>
        <v>0</v>
      </c>
      <c r="J115" s="309">
        <f>'20'!M50</f>
        <v>0</v>
      </c>
      <c r="K115" s="418">
        <f>'20'!N50</f>
        <v>0</v>
      </c>
      <c r="L115" s="104" t="str">
        <f t="shared" si="21"/>
        <v/>
      </c>
    </row>
    <row r="116" spans="3:14" s="314" customFormat="1" ht="15" customHeight="1">
      <c r="C116" s="267">
        <v>823200</v>
      </c>
      <c r="D116" s="349" t="s">
        <v>574</v>
      </c>
      <c r="E116" s="386" t="s">
        <v>896</v>
      </c>
      <c r="F116" s="321">
        <f>'16'!I48</f>
        <v>87990</v>
      </c>
      <c r="G116" s="321">
        <f>'16'!J48</f>
        <v>87990</v>
      </c>
      <c r="H116" s="321">
        <f>'16'!K48</f>
        <v>84709</v>
      </c>
      <c r="I116" s="321">
        <f>'16'!L48</f>
        <v>84710</v>
      </c>
      <c r="J116" s="321">
        <f>'16'!M48</f>
        <v>0</v>
      </c>
      <c r="K116" s="418">
        <f>'16'!N48</f>
        <v>84710</v>
      </c>
      <c r="L116" s="104">
        <f t="shared" ref="L116:L117" si="33">IF(G116=0,"",K116/G116*100)</f>
        <v>96.272303670871693</v>
      </c>
      <c r="N116" s="815"/>
    </row>
    <row r="117" spans="3:14" s="314" customFormat="1" ht="15" customHeight="1">
      <c r="C117" s="267">
        <v>823200</v>
      </c>
      <c r="D117" s="349" t="s">
        <v>575</v>
      </c>
      <c r="E117" s="386" t="s">
        <v>897</v>
      </c>
      <c r="F117" s="321">
        <f>'16'!I49</f>
        <v>430290</v>
      </c>
      <c r="G117" s="321">
        <f>'16'!J49</f>
        <v>430290</v>
      </c>
      <c r="H117" s="321">
        <f>'16'!K49</f>
        <v>430283</v>
      </c>
      <c r="I117" s="321">
        <f>'16'!L49</f>
        <v>430290</v>
      </c>
      <c r="J117" s="321">
        <f>'16'!M49</f>
        <v>0</v>
      </c>
      <c r="K117" s="418">
        <f>'16'!N49</f>
        <v>430290</v>
      </c>
      <c r="L117" s="104">
        <f t="shared" si="33"/>
        <v>100</v>
      </c>
      <c r="N117" s="815"/>
    </row>
    <row r="118" spans="3:14" ht="15" customHeight="1">
      <c r="C118" s="267">
        <v>823300</v>
      </c>
      <c r="D118" s="349" t="s">
        <v>574</v>
      </c>
      <c r="E118" s="20" t="s">
        <v>522</v>
      </c>
      <c r="F118" s="31">
        <f>'16'!I50</f>
        <v>0</v>
      </c>
      <c r="G118" s="31">
        <f>'16'!J50</f>
        <v>0</v>
      </c>
      <c r="H118" s="31">
        <f>'16'!K50</f>
        <v>0</v>
      </c>
      <c r="I118" s="321">
        <f>'16'!L50</f>
        <v>0</v>
      </c>
      <c r="J118" s="321">
        <f>'16'!M50</f>
        <v>0</v>
      </c>
      <c r="K118" s="418">
        <f>'16'!N50</f>
        <v>0</v>
      </c>
      <c r="L118" s="104" t="str">
        <f t="shared" si="21"/>
        <v/>
      </c>
    </row>
    <row r="119" spans="3:14" ht="15" customHeight="1">
      <c r="C119" s="267">
        <v>823300</v>
      </c>
      <c r="D119" s="349" t="s">
        <v>575</v>
      </c>
      <c r="E119" s="20" t="s">
        <v>521</v>
      </c>
      <c r="F119" s="31">
        <f>'16'!I51</f>
        <v>0</v>
      </c>
      <c r="G119" s="31">
        <f>'16'!J51</f>
        <v>0</v>
      </c>
      <c r="H119" s="31">
        <f>'16'!K51</f>
        <v>0</v>
      </c>
      <c r="I119" s="321">
        <f>'16'!L51</f>
        <v>0</v>
      </c>
      <c r="J119" s="321">
        <f>'16'!M51</f>
        <v>0</v>
      </c>
      <c r="K119" s="418">
        <f>'16'!N51</f>
        <v>0</v>
      </c>
      <c r="L119" s="104" t="str">
        <f t="shared" si="21"/>
        <v/>
      </c>
    </row>
    <row r="120" spans="3:14" ht="15" customHeight="1">
      <c r="C120" s="28"/>
      <c r="D120" s="359"/>
      <c r="E120" s="11"/>
      <c r="F120" s="30"/>
      <c r="G120" s="30"/>
      <c r="H120" s="30"/>
      <c r="I120" s="309"/>
      <c r="J120" s="309"/>
      <c r="K120" s="418"/>
      <c r="L120" s="104" t="str">
        <f t="shared" si="21"/>
        <v/>
      </c>
    </row>
    <row r="121" spans="3:14" ht="15" customHeight="1">
      <c r="C121" s="4"/>
      <c r="D121" s="347"/>
      <c r="E121" s="8" t="s">
        <v>92</v>
      </c>
      <c r="F121" s="327" t="s">
        <v>901</v>
      </c>
      <c r="G121" s="327" t="s">
        <v>901</v>
      </c>
      <c r="H121" s="327" t="s">
        <v>926</v>
      </c>
      <c r="I121" s="327" t="s">
        <v>944</v>
      </c>
      <c r="J121" s="327"/>
      <c r="K121" s="439" t="s">
        <v>944</v>
      </c>
      <c r="L121" s="104"/>
    </row>
    <row r="122" spans="3:14" ht="15" customHeight="1">
      <c r="C122" s="4"/>
      <c r="D122" s="347"/>
      <c r="E122" s="8" t="s">
        <v>110</v>
      </c>
      <c r="F122" s="15">
        <f>'1'!I33+'3'!I55+'4 (S)'!I36+'4 (N)'!I36+'5'!I33+'6'!I33+'7'!I33+'8'!I33+'9'!I33+'10'!I35+'11'!I34+'12'!I33+'13'!I33+'14'!I33+'15'!I41+'16'!I54+'17'!I38+'18'!I41+'19'!I43+'20'!I53+'21'!I33+'22'!I33+'23'!I33+'24'!I33+'25'!I33+'26'!I33+'27'!I33+'28'!I33+'29'!I33+'30'!I33+'31'!I36+'32'!I33+'33'!I37+'34'!I33+'35'!I33+'36'!I33+'37'!I33</f>
        <v>43579840</v>
      </c>
      <c r="G122" s="318">
        <f>'1'!J33+'3'!J55+'4 (S)'!J36+'4 (N)'!J36+'5'!J33+'6'!J33+'7'!J33+'8'!J33+'9'!J33+'10'!J35+'11'!J34+'12'!J33+'13'!J33+'14'!J33+'15'!J41+'16'!J54+'17'!J38+'18'!J41+'19'!J43+'20'!J53+'21'!J33+'22'!J33+'23'!J33+'24'!J33+'25'!J33+'26'!J33+'27'!J33+'28'!J33+'29'!J33+'30'!J33+'31'!J36+'32'!J33+'33'!J37+'34'!J33+'35'!J33+'36'!J33+'37'!J33</f>
        <v>43600315</v>
      </c>
      <c r="H122" s="318">
        <f>'1'!K33+'3'!K55+'4 (S)'!K36+'4 (N)'!K36+'5'!K33+'6'!K33+'7'!K33+'8'!K33+'9'!K33+'10'!K35+'11'!K34+'12'!K33+'13'!K33+'14'!K33+'15'!K41+'16'!K54+'17'!K38+'18'!K41+'19'!K43+'20'!K53+'21'!K33+'22'!K33+'23'!K33+'24'!K33+'25'!K33+'26'!K33+'27'!K33+'28'!K33+'29'!K33+'30'!K33+'31'!K36+'32'!K33+'33'!K37+'34'!K33+'35'!K33+'36'!K33+'37'!K33</f>
        <v>29290416</v>
      </c>
      <c r="I122" s="318">
        <f>'1'!L33+'3'!L55+'4 (S)'!L36+'4 (N)'!L36+'5'!L33+'6'!L33+'7'!L33+'8'!L33+'9'!L33+'10'!L35+'11'!L34+'12'!L33+'13'!L33+'14'!L33+'15'!L41+'16'!L54+'17'!L38+'18'!L41+'19'!L43+'20'!L53+'21'!L33+'22'!L33+'23'!L33+'24'!L33+'25'!L33+'26'!L33+'27'!L33+'28'!L33+'29'!L33+'30'!L33+'31'!L36+'32'!L33+'33'!L37+'34'!L33+'35'!L33+'36'!L33+'37'!L33</f>
        <v>39793100</v>
      </c>
      <c r="J122" s="318">
        <f>'1'!M33+'3'!M55+'4 (S)'!M36+'4 (N)'!M36+'5'!M33+'6'!M33+'7'!M33+'8'!M33+'9'!M33+'10'!M35+'11'!M34+'12'!M33+'13'!M33+'14'!M33+'15'!M41+'16'!M54+'17'!M38+'18'!M41+'19'!M43+'20'!M53+'21'!M33+'22'!M33+'23'!M33+'24'!M33+'25'!M33+'26'!M33+'27'!M33+'28'!M33+'29'!M33+'30'!M33+'31'!M36+'32'!M33+'33'!M37+'34'!M33+'35'!M33+'36'!M33+'37'!M33</f>
        <v>3921760</v>
      </c>
      <c r="K122" s="419">
        <f>'1'!N33+'3'!N55+'4 (S)'!N36+'4 (N)'!N36+'5'!N33+'6'!N33+'7'!N33+'8'!N33+'9'!N33+'10'!N35+'11'!N34+'12'!N33+'13'!N33+'14'!N33+'15'!N41+'16'!N54+'17'!N38+'18'!N41+'19'!N43+'20'!N53+'21'!N33+'22'!N33+'23'!N33+'24'!N33+'25'!N33+'26'!N33+'27'!N33+'28'!N33+'29'!N33+'30'!N33+'31'!N36+'32'!N33+'33'!N37+'34'!N33+'35'!N33+'36'!N33+'37'!N33</f>
        <v>43714860</v>
      </c>
      <c r="L122" s="294">
        <f t="shared" si="21"/>
        <v>100.26271599184547</v>
      </c>
    </row>
    <row r="123" spans="3:14" ht="15" customHeight="1" thickBot="1">
      <c r="C123" s="29"/>
      <c r="D123" s="360"/>
      <c r="E123" s="17"/>
      <c r="F123" s="27"/>
      <c r="G123" s="27"/>
      <c r="H123" s="27"/>
      <c r="I123" s="17"/>
      <c r="J123" s="17"/>
      <c r="K123" s="426"/>
      <c r="L123" s="98"/>
    </row>
    <row r="124" spans="3:14" ht="15" customHeight="1" thickBot="1">
      <c r="C124" s="53"/>
      <c r="D124" s="334"/>
      <c r="E124" s="54"/>
      <c r="F124" s="54"/>
      <c r="G124" s="54"/>
      <c r="H124" s="54"/>
      <c r="I124" s="54"/>
      <c r="J124" s="54"/>
      <c r="K124" s="54"/>
      <c r="L124" s="96"/>
    </row>
    <row r="125" spans="3:14" ht="7.5" customHeight="1"/>
    <row r="126" spans="3:14" ht="8.25" customHeight="1">
      <c r="C126" s="33"/>
      <c r="D126" s="322"/>
    </row>
    <row r="127" spans="3:14" ht="12" customHeight="1">
      <c r="C127" s="75" t="s">
        <v>192</v>
      </c>
      <c r="D127" s="324"/>
      <c r="G127" s="63"/>
      <c r="K127" s="63"/>
    </row>
    <row r="128" spans="3:14" ht="6.75" customHeight="1">
      <c r="C128" s="76"/>
      <c r="D128" s="76"/>
      <c r="K128" s="63"/>
    </row>
    <row r="129" spans="3:12" ht="12" customHeight="1">
      <c r="C129" s="884" t="s">
        <v>193</v>
      </c>
      <c r="D129" s="884"/>
      <c r="E129" s="884"/>
      <c r="F129" s="34"/>
      <c r="G129" s="34"/>
      <c r="H129" s="34"/>
      <c r="I129" s="402"/>
      <c r="J129" s="402"/>
      <c r="K129" s="34"/>
      <c r="L129" s="97"/>
    </row>
    <row r="130" spans="3:12" ht="18" customHeight="1">
      <c r="C130" s="690" t="s">
        <v>855</v>
      </c>
      <c r="D130" s="690"/>
      <c r="E130" s="690"/>
      <c r="F130" s="690"/>
      <c r="G130" s="690"/>
      <c r="H130" s="691"/>
      <c r="I130" s="690"/>
      <c r="J130" s="690"/>
      <c r="K130" s="690"/>
      <c r="L130" s="692"/>
    </row>
    <row r="131" spans="3:12" ht="12" customHeight="1">
      <c r="C131" s="880" t="str">
        <f>CONCATENATE("     Rashodi i izdaci u Proračunu u iznosu od ",TEXT(K122,"#.##0")," KM raspoređuju se po korisnicima proračuna u Posebnom dijelu Proračuna kako slijedi:")</f>
        <v xml:space="preserve">     Rashodi i izdaci u Proračunu u iznosu od 43.714.860 KM raspoređuju se po korisnicima proračuna u Posebnom dijelu Proračuna kako slijedi:</v>
      </c>
      <c r="D131" s="880"/>
      <c r="E131" s="880"/>
      <c r="F131" s="880"/>
      <c r="G131" s="880"/>
      <c r="H131" s="880"/>
      <c r="I131" s="880"/>
      <c r="J131" s="880"/>
      <c r="K131" s="880"/>
      <c r="L131" s="880"/>
    </row>
  </sheetData>
  <mergeCells count="12">
    <mergeCell ref="C131:L131"/>
    <mergeCell ref="K3:L3"/>
    <mergeCell ref="C3:E3"/>
    <mergeCell ref="C129:E129"/>
    <mergeCell ref="I4:K4"/>
    <mergeCell ref="C4:C5"/>
    <mergeCell ref="D4:D5"/>
    <mergeCell ref="E4:E5"/>
    <mergeCell ref="F4:F5"/>
    <mergeCell ref="G4:G5"/>
    <mergeCell ref="H4:H5"/>
    <mergeCell ref="L4:L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2" manualBreakCount="2">
    <brk id="40" min="2" max="11" man="1"/>
    <brk id="102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96"/>
  <sheetViews>
    <sheetView zoomScaleNormal="100" workbookViewId="0">
      <selection activeCell="U28" sqref="U28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9" ht="13.5" thickBot="1"/>
    <row r="2" spans="1:19" s="113" customFormat="1" ht="20.100000000000001" customHeight="1" thickTop="1" thickBot="1">
      <c r="A2" s="408"/>
      <c r="B2" s="897" t="s">
        <v>112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9"/>
    </row>
    <row r="3" spans="1:19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9" s="1" customFormat="1" ht="39" customHeight="1">
      <c r="A4" s="311"/>
      <c r="B4" s="904" t="s">
        <v>77</v>
      </c>
      <c r="C4" s="906" t="s">
        <v>78</v>
      </c>
      <c r="D4" s="908" t="s">
        <v>107</v>
      </c>
      <c r="E4" s="908" t="s">
        <v>815</v>
      </c>
      <c r="F4" s="910" t="s">
        <v>516</v>
      </c>
      <c r="G4" s="909" t="s">
        <v>555</v>
      </c>
      <c r="H4" s="910" t="s">
        <v>79</v>
      </c>
      <c r="I4" s="912" t="s">
        <v>902</v>
      </c>
      <c r="J4" s="913" t="s">
        <v>846</v>
      </c>
      <c r="K4" s="914" t="s">
        <v>909</v>
      </c>
      <c r="L4" s="901" t="s">
        <v>928</v>
      </c>
      <c r="M4" s="902"/>
      <c r="N4" s="903"/>
      <c r="O4" s="916" t="s">
        <v>848</v>
      </c>
      <c r="Q4" s="81"/>
    </row>
    <row r="5" spans="1:19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77" t="s">
        <v>600</v>
      </c>
      <c r="M5" s="403" t="s">
        <v>601</v>
      </c>
      <c r="N5" s="715" t="s">
        <v>349</v>
      </c>
      <c r="O5" s="917"/>
    </row>
    <row r="6" spans="1:19" s="2" customFormat="1" ht="12.7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9" s="2" customFormat="1" ht="12.95" customHeight="1">
      <c r="A7" s="312"/>
      <c r="B7" s="6">
        <v>10</v>
      </c>
      <c r="C7" s="7" t="s">
        <v>80</v>
      </c>
      <c r="D7" s="7" t="s">
        <v>81</v>
      </c>
      <c r="E7" s="667" t="s">
        <v>816</v>
      </c>
      <c r="F7" s="5"/>
      <c r="G7" s="313"/>
      <c r="H7" s="5"/>
      <c r="I7" s="5"/>
      <c r="J7" s="5"/>
      <c r="K7" s="574"/>
      <c r="L7" s="4"/>
      <c r="M7" s="313"/>
      <c r="N7" s="717"/>
      <c r="O7" s="375"/>
    </row>
    <row r="8" spans="1:19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389">
        <f t="shared" ref="I8:J8" si="0">SUM(I9:I11)</f>
        <v>539150</v>
      </c>
      <c r="J8" s="389">
        <f t="shared" si="0"/>
        <v>539150</v>
      </c>
      <c r="K8" s="556">
        <f>SUM(K9:K11)</f>
        <v>396267</v>
      </c>
      <c r="L8" s="573">
        <f t="shared" ref="L8" si="1">SUM(L9:L11)</f>
        <v>546030</v>
      </c>
      <c r="M8" s="236">
        <f>SUM(M9:M11)</f>
        <v>0</v>
      </c>
      <c r="N8" s="718">
        <f>SUM(N9:N11)</f>
        <v>546030</v>
      </c>
      <c r="O8" s="376">
        <f>IF(J8=0,"",N8/J8*100)</f>
        <v>101.27608272280442</v>
      </c>
      <c r="Q8" s="62"/>
    </row>
    <row r="9" spans="1:19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392">
        <v>443880</v>
      </c>
      <c r="J9" s="392">
        <v>443880</v>
      </c>
      <c r="K9" s="557">
        <v>327078</v>
      </c>
      <c r="L9" s="572">
        <f>448940+500+900</f>
        <v>450340</v>
      </c>
      <c r="M9" s="235">
        <v>0</v>
      </c>
      <c r="N9" s="719">
        <f>SUM(L9:M9)</f>
        <v>450340</v>
      </c>
      <c r="O9" s="377">
        <f>IF(J9=0,"",N9/J9*100)</f>
        <v>101.45534829233127</v>
      </c>
      <c r="P9" s="55"/>
      <c r="Q9" s="62"/>
      <c r="R9" s="63"/>
      <c r="S9" s="63"/>
    </row>
    <row r="10" spans="1:19" ht="12.95" customHeight="1">
      <c r="B10" s="10"/>
      <c r="C10" s="11"/>
      <c r="D10" s="11"/>
      <c r="E10" s="316"/>
      <c r="F10" s="336">
        <v>611200</v>
      </c>
      <c r="G10" s="362"/>
      <c r="H10" s="20" t="s">
        <v>175</v>
      </c>
      <c r="I10" s="392">
        <v>95270</v>
      </c>
      <c r="J10" s="392">
        <v>95270</v>
      </c>
      <c r="K10" s="557">
        <v>69189</v>
      </c>
      <c r="L10" s="572">
        <f>93340+150+2200</f>
        <v>95690</v>
      </c>
      <c r="M10" s="235">
        <v>0</v>
      </c>
      <c r="N10" s="719">
        <f t="shared" ref="N10:N11" si="2">SUM(L10:M10)</f>
        <v>95690</v>
      </c>
      <c r="O10" s="377">
        <f t="shared" ref="O10:O35" si="3">IF(J10=0,"",N10/J10*100)</f>
        <v>100.44085231447465</v>
      </c>
      <c r="Q10" s="62"/>
    </row>
    <row r="11" spans="1:19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392">
        <f t="shared" ref="I11:J11" si="4">SUM(G11:H11)</f>
        <v>0</v>
      </c>
      <c r="J11" s="392">
        <f t="shared" si="4"/>
        <v>0</v>
      </c>
      <c r="K11" s="557">
        <v>0</v>
      </c>
      <c r="L11" s="572">
        <v>0</v>
      </c>
      <c r="M11" s="235">
        <v>0</v>
      </c>
      <c r="N11" s="719">
        <f t="shared" si="2"/>
        <v>0</v>
      </c>
      <c r="O11" s="377" t="str">
        <f t="shared" si="3"/>
        <v/>
      </c>
      <c r="Q11" s="62"/>
    </row>
    <row r="12" spans="1:19" ht="8.1" customHeight="1">
      <c r="B12" s="10"/>
      <c r="C12" s="11"/>
      <c r="D12" s="11"/>
      <c r="E12" s="316"/>
      <c r="F12" s="336"/>
      <c r="G12" s="362"/>
      <c r="H12" s="210"/>
      <c r="I12" s="392"/>
      <c r="J12" s="392"/>
      <c r="K12" s="557"/>
      <c r="L12" s="572"/>
      <c r="M12" s="235"/>
      <c r="N12" s="719"/>
      <c r="O12" s="377" t="str">
        <f t="shared" si="3"/>
        <v/>
      </c>
      <c r="Q12" s="62"/>
    </row>
    <row r="13" spans="1:19" ht="12.95" customHeight="1">
      <c r="B13" s="12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J13" si="5">I14+I15</f>
        <v>47420</v>
      </c>
      <c r="J13" s="389">
        <f t="shared" si="5"/>
        <v>47420</v>
      </c>
      <c r="K13" s="556">
        <f>K14</f>
        <v>34527</v>
      </c>
      <c r="L13" s="573">
        <f t="shared" ref="L13" si="6">L14+L15</f>
        <v>47600</v>
      </c>
      <c r="M13" s="236">
        <f>M14+M15</f>
        <v>0</v>
      </c>
      <c r="N13" s="718">
        <f>N14+N15</f>
        <v>47600</v>
      </c>
      <c r="O13" s="376">
        <f t="shared" si="3"/>
        <v>100.37958667229017</v>
      </c>
      <c r="Q13" s="62"/>
    </row>
    <row r="14" spans="1:19" s="1" customFormat="1" ht="12.95" customHeight="1">
      <c r="A14" s="311"/>
      <c r="B14" s="10"/>
      <c r="C14" s="11"/>
      <c r="D14" s="11"/>
      <c r="E14" s="316"/>
      <c r="F14" s="336">
        <v>612100</v>
      </c>
      <c r="G14" s="362"/>
      <c r="H14" s="13" t="s">
        <v>82</v>
      </c>
      <c r="I14" s="392">
        <v>47420</v>
      </c>
      <c r="J14" s="392">
        <v>47420</v>
      </c>
      <c r="K14" s="557">
        <v>34527</v>
      </c>
      <c r="L14" s="572">
        <f>47410+100+90</f>
        <v>47600</v>
      </c>
      <c r="M14" s="235">
        <v>0</v>
      </c>
      <c r="N14" s="719">
        <f>SUM(L14:M14)</f>
        <v>47600</v>
      </c>
      <c r="O14" s="377">
        <f t="shared" si="3"/>
        <v>100.37958667229017</v>
      </c>
      <c r="Q14" s="62"/>
    </row>
    <row r="15" spans="1:19" ht="8.1" customHeight="1">
      <c r="B15" s="10"/>
      <c r="C15" s="11"/>
      <c r="D15" s="11"/>
      <c r="E15" s="316"/>
      <c r="F15" s="336"/>
      <c r="G15" s="362"/>
      <c r="H15" s="11"/>
      <c r="I15" s="392"/>
      <c r="J15" s="392"/>
      <c r="K15" s="557"/>
      <c r="L15" s="572"/>
      <c r="M15" s="309"/>
      <c r="N15" s="720"/>
      <c r="O15" s="377" t="str">
        <f t="shared" si="3"/>
        <v/>
      </c>
      <c r="Q15" s="62"/>
    </row>
    <row r="16" spans="1:19" ht="12.95" customHeight="1">
      <c r="B16" s="12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:J16" si="7">SUM(I17:I26)</f>
        <v>248820</v>
      </c>
      <c r="J16" s="389">
        <f t="shared" si="7"/>
        <v>248820</v>
      </c>
      <c r="K16" s="556">
        <f>SUM(K17:K26)</f>
        <v>161278</v>
      </c>
      <c r="L16" s="573">
        <f t="shared" ref="L16" si="8">SUM(L17:L26)</f>
        <v>248820</v>
      </c>
      <c r="M16" s="323">
        <f>SUM(M17:M26)</f>
        <v>0</v>
      </c>
      <c r="N16" s="721">
        <f>SUM(N17:N26)</f>
        <v>248820</v>
      </c>
      <c r="O16" s="376">
        <f t="shared" si="3"/>
        <v>100</v>
      </c>
      <c r="Q16" s="62"/>
    </row>
    <row r="17" spans="1:18" s="1" customFormat="1" ht="12.95" customHeight="1">
      <c r="A17" s="311"/>
      <c r="B17" s="10"/>
      <c r="C17" s="11"/>
      <c r="D17" s="11"/>
      <c r="E17" s="316"/>
      <c r="F17" s="336">
        <v>613100</v>
      </c>
      <c r="G17" s="362"/>
      <c r="H17" s="24" t="s">
        <v>83</v>
      </c>
      <c r="I17" s="392">
        <f>6500*80%</f>
        <v>5200</v>
      </c>
      <c r="J17" s="830">
        <f>6500*80%</f>
        <v>5200</v>
      </c>
      <c r="K17" s="557">
        <v>2683</v>
      </c>
      <c r="L17" s="572">
        <v>5200</v>
      </c>
      <c r="M17" s="393">
        <v>0</v>
      </c>
      <c r="N17" s="719">
        <f t="shared" ref="N17:N26" si="9">SUM(L17:M17)</f>
        <v>5200</v>
      </c>
      <c r="O17" s="377">
        <f t="shared" si="3"/>
        <v>100</v>
      </c>
      <c r="Q17" s="62"/>
    </row>
    <row r="18" spans="1:18" ht="12.95" customHeight="1">
      <c r="B18" s="10"/>
      <c r="C18" s="11"/>
      <c r="D18" s="11"/>
      <c r="E18" s="316"/>
      <c r="F18" s="336">
        <v>613200</v>
      </c>
      <c r="G18" s="362"/>
      <c r="H18" s="24" t="s">
        <v>84</v>
      </c>
      <c r="I18" s="392">
        <v>10800</v>
      </c>
      <c r="J18" s="830">
        <v>10800</v>
      </c>
      <c r="K18" s="557">
        <v>2163</v>
      </c>
      <c r="L18" s="572">
        <v>5800</v>
      </c>
      <c r="M18" s="393">
        <v>0</v>
      </c>
      <c r="N18" s="719">
        <f t="shared" si="9"/>
        <v>5800</v>
      </c>
      <c r="O18" s="377">
        <f t="shared" si="3"/>
        <v>53.703703703703709</v>
      </c>
      <c r="Q18" s="62"/>
    </row>
    <row r="19" spans="1:18" ht="12.95" customHeight="1">
      <c r="B19" s="10"/>
      <c r="C19" s="11"/>
      <c r="D19" s="11"/>
      <c r="E19" s="316"/>
      <c r="F19" s="336">
        <v>613300</v>
      </c>
      <c r="G19" s="362"/>
      <c r="H19" s="828" t="s">
        <v>176</v>
      </c>
      <c r="I19" s="392">
        <v>7000</v>
      </c>
      <c r="J19" s="830">
        <v>7000</v>
      </c>
      <c r="K19" s="557">
        <v>5345</v>
      </c>
      <c r="L19" s="572">
        <v>7000</v>
      </c>
      <c r="M19" s="393">
        <v>0</v>
      </c>
      <c r="N19" s="719">
        <f t="shared" si="9"/>
        <v>7000</v>
      </c>
      <c r="O19" s="377">
        <f t="shared" si="3"/>
        <v>100</v>
      </c>
      <c r="Q19" s="62"/>
    </row>
    <row r="20" spans="1:18" ht="12.95" customHeight="1">
      <c r="B20" s="10"/>
      <c r="C20" s="11"/>
      <c r="D20" s="11"/>
      <c r="E20" s="316"/>
      <c r="F20" s="336">
        <v>613400</v>
      </c>
      <c r="G20" s="362"/>
      <c r="H20" s="828" t="s">
        <v>148</v>
      </c>
      <c r="I20" s="392">
        <v>5000</v>
      </c>
      <c r="J20" s="830">
        <v>5000</v>
      </c>
      <c r="K20" s="557">
        <v>1539</v>
      </c>
      <c r="L20" s="572">
        <v>4000</v>
      </c>
      <c r="M20" s="396">
        <v>0</v>
      </c>
      <c r="N20" s="719">
        <f t="shared" si="9"/>
        <v>4000</v>
      </c>
      <c r="O20" s="377">
        <f t="shared" si="3"/>
        <v>80</v>
      </c>
      <c r="Q20" s="62"/>
    </row>
    <row r="21" spans="1:18" ht="12.95" customHeight="1">
      <c r="B21" s="10"/>
      <c r="C21" s="11"/>
      <c r="D21" s="11"/>
      <c r="E21" s="316"/>
      <c r="F21" s="336">
        <v>613500</v>
      </c>
      <c r="G21" s="362"/>
      <c r="H21" s="24" t="s">
        <v>85</v>
      </c>
      <c r="I21" s="392">
        <v>8500</v>
      </c>
      <c r="J21" s="830">
        <v>8500</v>
      </c>
      <c r="K21" s="557">
        <v>3148</v>
      </c>
      <c r="L21" s="572">
        <v>6500</v>
      </c>
      <c r="M21" s="396">
        <v>0</v>
      </c>
      <c r="N21" s="719">
        <f t="shared" si="9"/>
        <v>6500</v>
      </c>
      <c r="O21" s="377">
        <f t="shared" si="3"/>
        <v>76.470588235294116</v>
      </c>
      <c r="Q21" s="62"/>
    </row>
    <row r="22" spans="1:18" ht="12.95" customHeight="1">
      <c r="B22" s="10"/>
      <c r="C22" s="11"/>
      <c r="D22" s="11"/>
      <c r="E22" s="316"/>
      <c r="F22" s="336">
        <v>613600</v>
      </c>
      <c r="G22" s="362"/>
      <c r="H22" s="828" t="s">
        <v>177</v>
      </c>
      <c r="I22" s="392">
        <v>0</v>
      </c>
      <c r="J22" s="830">
        <v>0</v>
      </c>
      <c r="K22" s="557">
        <v>0</v>
      </c>
      <c r="L22" s="572">
        <v>0</v>
      </c>
      <c r="M22" s="393">
        <v>0</v>
      </c>
      <c r="N22" s="719">
        <f t="shared" si="9"/>
        <v>0</v>
      </c>
      <c r="O22" s="377" t="str">
        <f t="shared" si="3"/>
        <v/>
      </c>
      <c r="Q22" s="62"/>
    </row>
    <row r="23" spans="1:18" ht="12.95" customHeight="1">
      <c r="B23" s="10"/>
      <c r="C23" s="11"/>
      <c r="D23" s="11"/>
      <c r="E23" s="316"/>
      <c r="F23" s="336">
        <v>613700</v>
      </c>
      <c r="G23" s="362"/>
      <c r="H23" s="24" t="s">
        <v>86</v>
      </c>
      <c r="I23" s="392">
        <v>5000</v>
      </c>
      <c r="J23" s="830">
        <v>5000</v>
      </c>
      <c r="K23" s="557">
        <v>2437</v>
      </c>
      <c r="L23" s="572">
        <v>5000</v>
      </c>
      <c r="M23" s="393">
        <v>0</v>
      </c>
      <c r="N23" s="719">
        <f t="shared" si="9"/>
        <v>5000</v>
      </c>
      <c r="O23" s="377">
        <f t="shared" si="3"/>
        <v>100</v>
      </c>
      <c r="Q23" s="62"/>
    </row>
    <row r="24" spans="1:18" ht="12.95" customHeight="1">
      <c r="B24" s="10"/>
      <c r="C24" s="11"/>
      <c r="D24" s="11"/>
      <c r="E24" s="316"/>
      <c r="F24" s="336">
        <v>613800</v>
      </c>
      <c r="G24" s="362"/>
      <c r="H24" s="828" t="s">
        <v>149</v>
      </c>
      <c r="I24" s="392">
        <v>2320</v>
      </c>
      <c r="J24" s="830">
        <v>2320</v>
      </c>
      <c r="K24" s="557">
        <v>2231</v>
      </c>
      <c r="L24" s="572">
        <v>2320</v>
      </c>
      <c r="M24" s="393">
        <v>0</v>
      </c>
      <c r="N24" s="719">
        <f t="shared" si="9"/>
        <v>2320</v>
      </c>
      <c r="O24" s="377">
        <f t="shared" si="3"/>
        <v>100</v>
      </c>
      <c r="Q24" s="62"/>
    </row>
    <row r="25" spans="1:18" ht="12.95" customHeight="1">
      <c r="B25" s="10"/>
      <c r="C25" s="11"/>
      <c r="D25" s="11"/>
      <c r="E25" s="316"/>
      <c r="F25" s="336">
        <v>613900</v>
      </c>
      <c r="G25" s="362"/>
      <c r="H25" s="828" t="s">
        <v>150</v>
      </c>
      <c r="I25" s="392">
        <v>205000</v>
      </c>
      <c r="J25" s="830">
        <v>205000</v>
      </c>
      <c r="K25" s="557">
        <v>141732</v>
      </c>
      <c r="L25" s="572">
        <v>213000</v>
      </c>
      <c r="M25" s="396">
        <v>0</v>
      </c>
      <c r="N25" s="719">
        <f t="shared" si="9"/>
        <v>213000</v>
      </c>
      <c r="O25" s="377">
        <f t="shared" si="3"/>
        <v>103.90243902439025</v>
      </c>
      <c r="P25" s="77"/>
      <c r="Q25" s="62"/>
    </row>
    <row r="26" spans="1:18" ht="12.95" customHeight="1">
      <c r="B26" s="10"/>
      <c r="C26" s="11"/>
      <c r="D26" s="11"/>
      <c r="E26" s="316"/>
      <c r="F26" s="336">
        <v>613900</v>
      </c>
      <c r="G26" s="362"/>
      <c r="H26" s="829" t="s">
        <v>465</v>
      </c>
      <c r="I26" s="392">
        <f t="shared" ref="I26:J26" si="10">SUM(G26:H26)</f>
        <v>0</v>
      </c>
      <c r="J26" s="830">
        <f t="shared" si="10"/>
        <v>0</v>
      </c>
      <c r="K26" s="557">
        <v>0</v>
      </c>
      <c r="L26" s="572"/>
      <c r="M26" s="393">
        <v>0</v>
      </c>
      <c r="N26" s="719">
        <f t="shared" si="9"/>
        <v>0</v>
      </c>
      <c r="O26" s="377" t="str">
        <f t="shared" si="3"/>
        <v/>
      </c>
      <c r="Q26" s="62"/>
      <c r="R26" s="55"/>
    </row>
    <row r="27" spans="1:18" ht="8.1" customHeight="1">
      <c r="B27" s="10"/>
      <c r="C27" s="11"/>
      <c r="D27" s="11"/>
      <c r="E27" s="316"/>
      <c r="F27" s="336"/>
      <c r="G27" s="362"/>
      <c r="H27" s="11"/>
      <c r="I27" s="392"/>
      <c r="J27" s="392"/>
      <c r="K27" s="557"/>
      <c r="L27" s="572"/>
      <c r="M27" s="309"/>
      <c r="N27" s="720"/>
      <c r="O27" s="377" t="str">
        <f t="shared" si="3"/>
        <v/>
      </c>
      <c r="Q27" s="62"/>
    </row>
    <row r="28" spans="1:18" ht="12.95" customHeight="1">
      <c r="B28" s="12"/>
      <c r="C28" s="8"/>
      <c r="D28" s="8"/>
      <c r="E28" s="8"/>
      <c r="F28" s="335">
        <v>821000</v>
      </c>
      <c r="G28" s="361"/>
      <c r="H28" s="8" t="s">
        <v>89</v>
      </c>
      <c r="I28" s="389">
        <f t="shared" ref="I28:J28" si="11">SUM(I29:I30)</f>
        <v>3000</v>
      </c>
      <c r="J28" s="389">
        <f t="shared" si="11"/>
        <v>3000</v>
      </c>
      <c r="K28" s="556">
        <f>SUM(K29:K30)</f>
        <v>0</v>
      </c>
      <c r="L28" s="573">
        <f t="shared" ref="L28" si="12">SUM(L29:L30)</f>
        <v>3000</v>
      </c>
      <c r="M28" s="318">
        <f>SUM(M29:M30)</f>
        <v>0</v>
      </c>
      <c r="N28" s="721">
        <f>SUM(N29:N30)</f>
        <v>3000</v>
      </c>
      <c r="O28" s="376">
        <f t="shared" si="3"/>
        <v>100</v>
      </c>
      <c r="Q28" s="62"/>
    </row>
    <row r="29" spans="1:18" s="1" customFormat="1" ht="12.95" customHeight="1">
      <c r="A29" s="311"/>
      <c r="B29" s="10"/>
      <c r="C29" s="11"/>
      <c r="D29" s="11"/>
      <c r="E29" s="316"/>
      <c r="F29" s="336">
        <v>821200</v>
      </c>
      <c r="G29" s="362"/>
      <c r="H29" s="11" t="s">
        <v>90</v>
      </c>
      <c r="I29" s="392">
        <v>1000</v>
      </c>
      <c r="J29" s="392">
        <v>1000</v>
      </c>
      <c r="K29" s="557">
        <v>0</v>
      </c>
      <c r="L29" s="572">
        <v>1000</v>
      </c>
      <c r="M29" s="310">
        <v>0</v>
      </c>
      <c r="N29" s="719">
        <f t="shared" ref="N29:N30" si="13">SUM(L29:M29)</f>
        <v>1000</v>
      </c>
      <c r="O29" s="377">
        <f t="shared" si="3"/>
        <v>100</v>
      </c>
      <c r="Q29" s="62"/>
    </row>
    <row r="30" spans="1:18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392">
        <v>2000</v>
      </c>
      <c r="J30" s="392">
        <v>2000</v>
      </c>
      <c r="K30" s="557">
        <v>0</v>
      </c>
      <c r="L30" s="572">
        <v>2000</v>
      </c>
      <c r="M30" s="310">
        <v>0</v>
      </c>
      <c r="N30" s="719">
        <f t="shared" si="13"/>
        <v>2000</v>
      </c>
      <c r="O30" s="377">
        <f t="shared" si="3"/>
        <v>100</v>
      </c>
      <c r="P30" s="55"/>
      <c r="Q30" s="62"/>
    </row>
    <row r="31" spans="1:18" ht="8.1" customHeight="1">
      <c r="B31" s="10"/>
      <c r="C31" s="11"/>
      <c r="D31" s="11"/>
      <c r="E31" s="316"/>
      <c r="F31" s="336"/>
      <c r="G31" s="362"/>
      <c r="H31" s="11"/>
      <c r="I31" s="392"/>
      <c r="J31" s="392"/>
      <c r="K31" s="557"/>
      <c r="L31" s="572"/>
      <c r="M31" s="309"/>
      <c r="N31" s="720"/>
      <c r="O31" s="377" t="str">
        <f t="shared" si="3"/>
        <v/>
      </c>
      <c r="Q31" s="62"/>
    </row>
    <row r="32" spans="1:18" ht="12.95" customHeight="1">
      <c r="B32" s="12"/>
      <c r="C32" s="8"/>
      <c r="D32" s="8"/>
      <c r="E32" s="8"/>
      <c r="F32" s="335"/>
      <c r="G32" s="361"/>
      <c r="H32" s="8" t="s">
        <v>92</v>
      </c>
      <c r="I32" s="555" t="s">
        <v>889</v>
      </c>
      <c r="J32" s="555" t="s">
        <v>889</v>
      </c>
      <c r="K32" s="558">
        <v>22</v>
      </c>
      <c r="L32" s="801">
        <v>22</v>
      </c>
      <c r="M32" s="327"/>
      <c r="N32" s="722">
        <v>22</v>
      </c>
      <c r="O32" s="377"/>
      <c r="Q32" s="62"/>
    </row>
    <row r="33" spans="1:17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15">
        <f t="shared" ref="I33:N33" si="14">I8+I13+I16+I28</f>
        <v>838390</v>
      </c>
      <c r="J33" s="15">
        <f t="shared" si="14"/>
        <v>838390</v>
      </c>
      <c r="K33" s="575">
        <f t="shared" si="14"/>
        <v>592072</v>
      </c>
      <c r="L33" s="582">
        <f t="shared" si="14"/>
        <v>845450</v>
      </c>
      <c r="M33" s="318">
        <f t="shared" si="14"/>
        <v>0</v>
      </c>
      <c r="N33" s="721">
        <f t="shared" si="14"/>
        <v>845450</v>
      </c>
      <c r="O33" s="376">
        <f t="shared" si="3"/>
        <v>100.84209019668651</v>
      </c>
      <c r="Q33" s="62"/>
    </row>
    <row r="34" spans="1:17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838390</v>
      </c>
      <c r="J34" s="318">
        <f t="shared" ref="J34:L35" si="15">J33</f>
        <v>838390</v>
      </c>
      <c r="K34" s="575">
        <f t="shared" si="15"/>
        <v>592072</v>
      </c>
      <c r="L34" s="582">
        <f t="shared" si="15"/>
        <v>845450</v>
      </c>
      <c r="M34" s="318">
        <f>M33</f>
        <v>0</v>
      </c>
      <c r="N34" s="721">
        <f>N33</f>
        <v>845450</v>
      </c>
      <c r="O34" s="377">
        <f>IF(J34=0,"",N34/J34*100)</f>
        <v>100.84209019668651</v>
      </c>
    </row>
    <row r="35" spans="1:17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838390</v>
      </c>
      <c r="J35" s="318">
        <f t="shared" si="15"/>
        <v>838390</v>
      </c>
      <c r="K35" s="575">
        <f t="shared" si="15"/>
        <v>592072</v>
      </c>
      <c r="L35" s="582">
        <f t="shared" si="15"/>
        <v>845450</v>
      </c>
      <c r="M35" s="318">
        <f>M34</f>
        <v>0</v>
      </c>
      <c r="N35" s="721">
        <f>N34</f>
        <v>845450</v>
      </c>
      <c r="O35" s="377">
        <f t="shared" si="3"/>
        <v>100.84209019668651</v>
      </c>
    </row>
    <row r="36" spans="1:17" s="1" customFormat="1" ht="8.1" customHeight="1" thickBot="1">
      <c r="A36" s="311"/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3"/>
      <c r="O36" s="379"/>
    </row>
    <row r="37" spans="1:17" ht="12.95" customHeight="1">
      <c r="F37" s="338"/>
      <c r="G37" s="364"/>
      <c r="N37" s="423"/>
    </row>
    <row r="38" spans="1:17" ht="12.95" customHeight="1">
      <c r="B38" s="55"/>
      <c r="F38" s="338"/>
      <c r="G38" s="364"/>
      <c r="N38" s="423"/>
    </row>
    <row r="39" spans="1:17" ht="12.95" customHeight="1">
      <c r="F39" s="338"/>
      <c r="G39" s="364"/>
      <c r="N39" s="423"/>
    </row>
    <row r="40" spans="1:17" ht="12.95" customHeight="1">
      <c r="F40" s="338"/>
      <c r="G40" s="364"/>
      <c r="N40" s="423"/>
    </row>
    <row r="41" spans="1:17" ht="12.95" customHeight="1">
      <c r="F41" s="338"/>
      <c r="G41" s="364"/>
      <c r="N41" s="423"/>
    </row>
    <row r="42" spans="1:17" ht="12.95" customHeight="1">
      <c r="F42" s="338"/>
      <c r="G42" s="364"/>
      <c r="N42" s="423"/>
    </row>
    <row r="43" spans="1:17" ht="12.95" customHeight="1">
      <c r="F43" s="338"/>
      <c r="G43" s="364"/>
      <c r="N43" s="423"/>
    </row>
    <row r="44" spans="1:17" ht="12.95" customHeight="1">
      <c r="F44" s="338"/>
      <c r="G44" s="364"/>
      <c r="N44" s="423"/>
    </row>
    <row r="45" spans="1:17" ht="12.95" customHeight="1">
      <c r="F45" s="338"/>
      <c r="G45" s="364"/>
      <c r="N45" s="423"/>
    </row>
    <row r="46" spans="1:17" ht="12.95" customHeight="1">
      <c r="F46" s="338"/>
      <c r="G46" s="364"/>
      <c r="N46" s="423"/>
    </row>
    <row r="47" spans="1:17" ht="12.95" customHeight="1">
      <c r="F47" s="338"/>
      <c r="G47" s="364"/>
      <c r="N47" s="423"/>
    </row>
    <row r="48" spans="1:17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O4:O5"/>
    <mergeCell ref="H4:H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95"/>
  <sheetViews>
    <sheetView topLeftCell="G19" zoomScale="113" zoomScaleNormal="113" workbookViewId="0">
      <selection activeCell="L47" sqref="L47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97" t="s">
        <v>114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4" t="s">
        <v>909</v>
      </c>
      <c r="L4" s="918" t="s">
        <v>928</v>
      </c>
      <c r="M4" s="902"/>
      <c r="N4" s="903"/>
      <c r="O4" s="916" t="s">
        <v>848</v>
      </c>
    </row>
    <row r="5" spans="1:17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25"/>
      <c r="L5" s="587" t="s">
        <v>600</v>
      </c>
      <c r="M5" s="404" t="s">
        <v>601</v>
      </c>
      <c r="N5" s="715" t="s">
        <v>349</v>
      </c>
      <c r="O5" s="91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63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81</v>
      </c>
      <c r="E7" s="667" t="s">
        <v>816</v>
      </c>
      <c r="F7" s="5"/>
      <c r="G7" s="313"/>
      <c r="H7" s="5"/>
      <c r="I7" s="99"/>
      <c r="J7" s="99"/>
      <c r="K7" s="564"/>
      <c r="L7" s="4"/>
      <c r="M7" s="328"/>
      <c r="N7" s="724"/>
      <c r="O7" s="375"/>
    </row>
    <row r="8" spans="1:17" s="2" customFormat="1" ht="12.95" customHeight="1">
      <c r="A8" s="312"/>
      <c r="B8" s="6"/>
      <c r="C8" s="7"/>
      <c r="D8" s="7"/>
      <c r="E8" s="7"/>
      <c r="F8" s="335">
        <v>600000</v>
      </c>
      <c r="G8" s="361"/>
      <c r="H8" s="21" t="s">
        <v>116</v>
      </c>
      <c r="I8" s="301">
        <f t="shared" ref="I8:K8" si="0">I9+I10+I11</f>
        <v>486000</v>
      </c>
      <c r="J8" s="697">
        <f t="shared" si="0"/>
        <v>486000</v>
      </c>
      <c r="K8" s="706">
        <f t="shared" si="0"/>
        <v>368318</v>
      </c>
      <c r="L8" s="584">
        <f t="shared" ref="L8" si="1">L9+L10+L11</f>
        <v>536000</v>
      </c>
      <c r="M8" s="301">
        <f>M9+M10+M11</f>
        <v>0</v>
      </c>
      <c r="N8" s="725">
        <f>N9+N10+N11</f>
        <v>536000</v>
      </c>
      <c r="O8" s="376">
        <f>IF(J8=0,"",N8/J8*100)</f>
        <v>110.28806584362141</v>
      </c>
    </row>
    <row r="9" spans="1:17" s="2" customFormat="1" ht="12.95" customHeight="1">
      <c r="A9" s="312"/>
      <c r="B9" s="6"/>
      <c r="C9" s="7"/>
      <c r="D9" s="7"/>
      <c r="E9" s="7"/>
      <c r="F9" s="336">
        <v>600000</v>
      </c>
      <c r="G9" s="362"/>
      <c r="H9" s="40" t="s">
        <v>96</v>
      </c>
      <c r="I9" s="300">
        <v>450000</v>
      </c>
      <c r="J9" s="300">
        <v>450000</v>
      </c>
      <c r="K9" s="707">
        <v>341018</v>
      </c>
      <c r="L9" s="583">
        <v>500000</v>
      </c>
      <c r="M9" s="300">
        <v>0</v>
      </c>
      <c r="N9" s="726">
        <f t="shared" ref="N9:N11" si="2">SUM(L9:M9)</f>
        <v>500000</v>
      </c>
      <c r="O9" s="377">
        <f>IF(J9=0,"",N9/J9*100)</f>
        <v>111.11111111111111</v>
      </c>
    </row>
    <row r="10" spans="1:17" s="2" customFormat="1" ht="12.95" customHeight="1">
      <c r="A10" s="312"/>
      <c r="B10" s="6"/>
      <c r="C10" s="7"/>
      <c r="D10" s="7"/>
      <c r="E10" s="7"/>
      <c r="F10" s="336">
        <v>600000</v>
      </c>
      <c r="G10" s="362"/>
      <c r="H10" s="40" t="s">
        <v>97</v>
      </c>
      <c r="I10" s="300">
        <v>24000</v>
      </c>
      <c r="J10" s="300">
        <v>24000</v>
      </c>
      <c r="K10" s="707">
        <v>16700</v>
      </c>
      <c r="L10" s="583">
        <v>24000</v>
      </c>
      <c r="M10" s="300">
        <v>0</v>
      </c>
      <c r="N10" s="726">
        <f t="shared" si="2"/>
        <v>24000</v>
      </c>
      <c r="O10" s="377">
        <f t="shared" ref="O10:O33" si="3">IF(J10=0,"",N10/J10*100)</f>
        <v>100</v>
      </c>
    </row>
    <row r="11" spans="1:17" s="2" customFormat="1" ht="12.95" customHeight="1">
      <c r="A11" s="312"/>
      <c r="B11" s="6"/>
      <c r="C11" s="7"/>
      <c r="D11" s="7"/>
      <c r="E11" s="7"/>
      <c r="F11" s="336">
        <v>600000</v>
      </c>
      <c r="G11" s="362"/>
      <c r="H11" s="40" t="s">
        <v>117</v>
      </c>
      <c r="I11" s="300">
        <v>12000</v>
      </c>
      <c r="J11" s="300">
        <v>12000</v>
      </c>
      <c r="K11" s="707">
        <v>10600</v>
      </c>
      <c r="L11" s="583">
        <v>12000</v>
      </c>
      <c r="M11" s="300">
        <v>0</v>
      </c>
      <c r="N11" s="726">
        <f t="shared" si="2"/>
        <v>12000</v>
      </c>
      <c r="O11" s="377">
        <f t="shared" si="3"/>
        <v>100</v>
      </c>
    </row>
    <row r="12" spans="1:17" s="2" customFormat="1" ht="8.1" customHeight="1">
      <c r="A12" s="312"/>
      <c r="B12" s="6"/>
      <c r="C12" s="7"/>
      <c r="D12" s="7"/>
      <c r="E12" s="7"/>
      <c r="F12" s="335"/>
      <c r="G12" s="362"/>
      <c r="H12" s="5"/>
      <c r="I12" s="302"/>
      <c r="J12" s="699"/>
      <c r="K12" s="708"/>
      <c r="L12" s="588"/>
      <c r="M12" s="302"/>
      <c r="N12" s="727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611000</v>
      </c>
      <c r="G13" s="361"/>
      <c r="H13" s="8" t="s">
        <v>146</v>
      </c>
      <c r="I13" s="240">
        <f t="shared" ref="I13:K13" si="4">SUM(I14:I17)</f>
        <v>225530</v>
      </c>
      <c r="J13" s="700">
        <f t="shared" si="4"/>
        <v>225530</v>
      </c>
      <c r="K13" s="709">
        <f t="shared" si="4"/>
        <v>140472</v>
      </c>
      <c r="L13" s="578">
        <f t="shared" ref="L13" si="5">SUM(L14:L17)</f>
        <v>203540</v>
      </c>
      <c r="M13" s="240">
        <f>SUM(M14:M17)</f>
        <v>0</v>
      </c>
      <c r="N13" s="728">
        <f>SUM(N14:N17)</f>
        <v>203540</v>
      </c>
      <c r="O13" s="376">
        <f t="shared" si="3"/>
        <v>90.249634195007317</v>
      </c>
    </row>
    <row r="14" spans="1:17" ht="12.95" customHeight="1">
      <c r="B14" s="10"/>
      <c r="C14" s="11"/>
      <c r="D14" s="11"/>
      <c r="E14" s="316"/>
      <c r="F14" s="336">
        <v>611100</v>
      </c>
      <c r="G14" s="362"/>
      <c r="H14" s="20" t="s">
        <v>174</v>
      </c>
      <c r="I14" s="237">
        <v>138380</v>
      </c>
      <c r="J14" s="237">
        <v>138380</v>
      </c>
      <c r="K14" s="707">
        <v>97362</v>
      </c>
      <c r="L14" s="579">
        <f>137310+200</f>
        <v>137510</v>
      </c>
      <c r="M14" s="237">
        <v>0</v>
      </c>
      <c r="N14" s="726">
        <f t="shared" ref="N14:N16" si="6">SUM(L14:M14)</f>
        <v>137510</v>
      </c>
      <c r="O14" s="377">
        <f t="shared" si="3"/>
        <v>99.371296430119955</v>
      </c>
    </row>
    <row r="15" spans="1:17" ht="12.95" customHeight="1">
      <c r="B15" s="10"/>
      <c r="C15" s="11"/>
      <c r="D15" s="11"/>
      <c r="E15" s="316"/>
      <c r="F15" s="336">
        <v>611200</v>
      </c>
      <c r="G15" s="362"/>
      <c r="H15" s="11" t="s">
        <v>175</v>
      </c>
      <c r="I15" s="237">
        <v>24150</v>
      </c>
      <c r="J15" s="237">
        <v>24150</v>
      </c>
      <c r="K15" s="707">
        <v>15965</v>
      </c>
      <c r="L15" s="579">
        <f>22030+700</f>
        <v>22730</v>
      </c>
      <c r="M15" s="237">
        <v>0</v>
      </c>
      <c r="N15" s="726">
        <f t="shared" si="6"/>
        <v>22730</v>
      </c>
      <c r="O15" s="377">
        <f t="shared" si="3"/>
        <v>94.120082815734989</v>
      </c>
    </row>
    <row r="16" spans="1:17" ht="12.95" customHeight="1">
      <c r="B16" s="10"/>
      <c r="C16" s="11"/>
      <c r="D16" s="11"/>
      <c r="E16" s="316"/>
      <c r="F16" s="336">
        <v>611200</v>
      </c>
      <c r="G16" s="362" t="s">
        <v>556</v>
      </c>
      <c r="H16" s="386" t="s">
        <v>933</v>
      </c>
      <c r="I16" s="237">
        <v>63000</v>
      </c>
      <c r="J16" s="237">
        <v>63000</v>
      </c>
      <c r="K16" s="707">
        <v>27145</v>
      </c>
      <c r="L16" s="579">
        <v>43300</v>
      </c>
      <c r="M16" s="237">
        <v>0</v>
      </c>
      <c r="N16" s="726">
        <f t="shared" si="6"/>
        <v>43300</v>
      </c>
      <c r="O16" s="377">
        <f t="shared" si="3"/>
        <v>68.730158730158735</v>
      </c>
      <c r="P16" s="640"/>
      <c r="Q16" s="62"/>
    </row>
    <row r="17" spans="1:16" ht="8.1" customHeight="1">
      <c r="B17" s="10"/>
      <c r="C17" s="11"/>
      <c r="D17" s="11"/>
      <c r="E17" s="316"/>
      <c r="F17" s="336"/>
      <c r="G17" s="362"/>
      <c r="H17" s="20"/>
      <c r="I17" s="240"/>
      <c r="J17" s="700"/>
      <c r="K17" s="709"/>
      <c r="L17" s="578"/>
      <c r="M17" s="240"/>
      <c r="N17" s="728"/>
      <c r="O17" s="377" t="str">
        <f t="shared" si="3"/>
        <v/>
      </c>
    </row>
    <row r="18" spans="1:16" s="1" customFormat="1" ht="12.95" customHeight="1">
      <c r="A18" s="311"/>
      <c r="B18" s="12"/>
      <c r="C18" s="8"/>
      <c r="D18" s="8"/>
      <c r="E18" s="8"/>
      <c r="F18" s="335">
        <v>612000</v>
      </c>
      <c r="G18" s="362"/>
      <c r="H18" s="8" t="s">
        <v>145</v>
      </c>
      <c r="I18" s="240">
        <f t="shared" ref="I18:K18" si="7">I19+I20</f>
        <v>15010</v>
      </c>
      <c r="J18" s="700">
        <f t="shared" si="7"/>
        <v>15010</v>
      </c>
      <c r="K18" s="709">
        <f t="shared" si="7"/>
        <v>10696</v>
      </c>
      <c r="L18" s="578">
        <f t="shared" ref="L18" si="8">L19+L20</f>
        <v>14980</v>
      </c>
      <c r="M18" s="240">
        <f>M19+M20</f>
        <v>0</v>
      </c>
      <c r="N18" s="728">
        <f>N19+N20</f>
        <v>14980</v>
      </c>
      <c r="O18" s="376">
        <f t="shared" si="3"/>
        <v>99.80013324450367</v>
      </c>
    </row>
    <row r="19" spans="1:16" ht="12.95" customHeight="1">
      <c r="B19" s="10"/>
      <c r="C19" s="11"/>
      <c r="D19" s="11"/>
      <c r="E19" s="316"/>
      <c r="F19" s="336">
        <v>612100</v>
      </c>
      <c r="G19" s="362"/>
      <c r="H19" s="13" t="s">
        <v>82</v>
      </c>
      <c r="I19" s="237">
        <v>15010</v>
      </c>
      <c r="J19" s="237">
        <v>15010</v>
      </c>
      <c r="K19" s="707">
        <v>10696</v>
      </c>
      <c r="L19" s="579">
        <f>14920+60</f>
        <v>14980</v>
      </c>
      <c r="M19" s="237">
        <v>0</v>
      </c>
      <c r="N19" s="726">
        <f>SUM(L19:M19)</f>
        <v>14980</v>
      </c>
      <c r="O19" s="377">
        <f t="shared" si="3"/>
        <v>99.80013324450367</v>
      </c>
    </row>
    <row r="20" spans="1:16" ht="8.1" customHeight="1">
      <c r="B20" s="10"/>
      <c r="C20" s="11"/>
      <c r="D20" s="11"/>
      <c r="E20" s="316"/>
      <c r="F20" s="336"/>
      <c r="G20" s="362"/>
      <c r="H20" s="11"/>
      <c r="I20" s="297"/>
      <c r="J20" s="701"/>
      <c r="K20" s="710"/>
      <c r="L20" s="583"/>
      <c r="M20" s="297"/>
      <c r="N20" s="726"/>
      <c r="O20" s="377" t="str">
        <f t="shared" si="3"/>
        <v/>
      </c>
    </row>
    <row r="21" spans="1:16" s="1" customFormat="1" ht="12.95" customHeight="1">
      <c r="A21" s="311"/>
      <c r="B21" s="12"/>
      <c r="C21" s="8"/>
      <c r="D21" s="8"/>
      <c r="E21" s="8"/>
      <c r="F21" s="335">
        <v>613000</v>
      </c>
      <c r="G21" s="362"/>
      <c r="H21" s="8" t="s">
        <v>147</v>
      </c>
      <c r="I21" s="298">
        <f t="shared" ref="I21:K21" si="9">SUM(I22:I32)</f>
        <v>197080</v>
      </c>
      <c r="J21" s="702">
        <f t="shared" si="9"/>
        <v>197080</v>
      </c>
      <c r="K21" s="711">
        <f t="shared" si="9"/>
        <v>117784</v>
      </c>
      <c r="L21" s="588">
        <f t="shared" ref="L21" si="10">SUM(L22:L32)</f>
        <v>196010</v>
      </c>
      <c r="M21" s="298">
        <f>SUM(M22:M32)</f>
        <v>0</v>
      </c>
      <c r="N21" s="727">
        <f>SUM(N22:N32)</f>
        <v>196010</v>
      </c>
      <c r="O21" s="376">
        <f t="shared" si="3"/>
        <v>99.457073269738174</v>
      </c>
    </row>
    <row r="22" spans="1:16" ht="12.95" customHeight="1">
      <c r="B22" s="10"/>
      <c r="C22" s="11"/>
      <c r="D22" s="11"/>
      <c r="E22" s="316"/>
      <c r="F22" s="336">
        <v>613100</v>
      </c>
      <c r="G22" s="362"/>
      <c r="H22" s="11" t="s">
        <v>83</v>
      </c>
      <c r="I22" s="297">
        <v>11200</v>
      </c>
      <c r="J22" s="297">
        <v>11200</v>
      </c>
      <c r="K22" s="710">
        <v>4093</v>
      </c>
      <c r="L22" s="583">
        <v>6000</v>
      </c>
      <c r="M22" s="297">
        <v>0</v>
      </c>
      <c r="N22" s="726">
        <f t="shared" ref="N22:N32" si="11">SUM(L22:M22)</f>
        <v>6000</v>
      </c>
      <c r="O22" s="377">
        <f t="shared" si="3"/>
        <v>53.571428571428569</v>
      </c>
    </row>
    <row r="23" spans="1:16" ht="12.95" customHeight="1">
      <c r="B23" s="10"/>
      <c r="C23" s="11"/>
      <c r="D23" s="11"/>
      <c r="E23" s="316"/>
      <c r="F23" s="336">
        <v>613200</v>
      </c>
      <c r="G23" s="362"/>
      <c r="H23" s="11" t="s">
        <v>84</v>
      </c>
      <c r="I23" s="297">
        <v>0</v>
      </c>
      <c r="J23" s="297">
        <v>0</v>
      </c>
      <c r="K23" s="710">
        <v>0</v>
      </c>
      <c r="L23" s="583">
        <v>0</v>
      </c>
      <c r="M23" s="297">
        <v>0</v>
      </c>
      <c r="N23" s="726">
        <f t="shared" si="11"/>
        <v>0</v>
      </c>
      <c r="O23" s="377" t="str">
        <f t="shared" si="3"/>
        <v/>
      </c>
    </row>
    <row r="24" spans="1:16" ht="12.95" customHeight="1">
      <c r="B24" s="10"/>
      <c r="C24" s="11"/>
      <c r="D24" s="11"/>
      <c r="E24" s="316"/>
      <c r="F24" s="336">
        <v>613300</v>
      </c>
      <c r="G24" s="362"/>
      <c r="H24" s="20" t="s">
        <v>176</v>
      </c>
      <c r="I24" s="297">
        <v>5200</v>
      </c>
      <c r="J24" s="297">
        <v>5200</v>
      </c>
      <c r="K24" s="710">
        <v>2715</v>
      </c>
      <c r="L24" s="583">
        <v>5200</v>
      </c>
      <c r="M24" s="297">
        <v>0</v>
      </c>
      <c r="N24" s="726">
        <f t="shared" si="11"/>
        <v>5200</v>
      </c>
      <c r="O24" s="377">
        <f t="shared" si="3"/>
        <v>100</v>
      </c>
    </row>
    <row r="25" spans="1:16" ht="12.95" customHeight="1">
      <c r="B25" s="10"/>
      <c r="C25" s="11"/>
      <c r="D25" s="11"/>
      <c r="E25" s="316"/>
      <c r="F25" s="336">
        <v>613400</v>
      </c>
      <c r="G25" s="362"/>
      <c r="H25" s="11" t="s">
        <v>148</v>
      </c>
      <c r="I25" s="297">
        <v>1200</v>
      </c>
      <c r="J25" s="297">
        <v>1200</v>
      </c>
      <c r="K25" s="710">
        <v>40</v>
      </c>
      <c r="L25" s="583">
        <v>1200</v>
      </c>
      <c r="M25" s="297">
        <v>0</v>
      </c>
      <c r="N25" s="726">
        <f t="shared" si="11"/>
        <v>1200</v>
      </c>
      <c r="O25" s="377">
        <f t="shared" si="3"/>
        <v>100</v>
      </c>
    </row>
    <row r="26" spans="1:16" ht="12.95" customHeight="1">
      <c r="B26" s="10"/>
      <c r="C26" s="11"/>
      <c r="D26" s="11"/>
      <c r="E26" s="316"/>
      <c r="F26" s="336">
        <v>613500</v>
      </c>
      <c r="G26" s="362"/>
      <c r="H26" s="11" t="s">
        <v>85</v>
      </c>
      <c r="I26" s="299">
        <v>1500</v>
      </c>
      <c r="J26" s="299">
        <v>1500</v>
      </c>
      <c r="K26" s="712">
        <v>413</v>
      </c>
      <c r="L26" s="622">
        <v>1500</v>
      </c>
      <c r="M26" s="299">
        <v>0</v>
      </c>
      <c r="N26" s="726">
        <f t="shared" si="11"/>
        <v>1500</v>
      </c>
      <c r="O26" s="377">
        <f t="shared" si="3"/>
        <v>100</v>
      </c>
    </row>
    <row r="27" spans="1:16" ht="12.95" customHeight="1">
      <c r="B27" s="10"/>
      <c r="C27" s="11"/>
      <c r="D27" s="11"/>
      <c r="E27" s="316"/>
      <c r="F27" s="336">
        <v>613600</v>
      </c>
      <c r="G27" s="362"/>
      <c r="H27" s="20" t="s">
        <v>177</v>
      </c>
      <c r="I27" s="297">
        <v>1200</v>
      </c>
      <c r="J27" s="297">
        <v>1200</v>
      </c>
      <c r="K27" s="710">
        <v>250</v>
      </c>
      <c r="L27" s="583">
        <v>1200</v>
      </c>
      <c r="M27" s="297">
        <v>0</v>
      </c>
      <c r="N27" s="726">
        <f t="shared" si="11"/>
        <v>1200</v>
      </c>
      <c r="O27" s="377">
        <f t="shared" si="3"/>
        <v>100</v>
      </c>
    </row>
    <row r="28" spans="1:16" ht="12.95" customHeight="1">
      <c r="B28" s="10"/>
      <c r="C28" s="11"/>
      <c r="D28" s="11"/>
      <c r="E28" s="316"/>
      <c r="F28" s="336">
        <v>613700</v>
      </c>
      <c r="G28" s="362"/>
      <c r="H28" s="11" t="s">
        <v>86</v>
      </c>
      <c r="I28" s="297">
        <v>4000</v>
      </c>
      <c r="J28" s="297">
        <v>4000</v>
      </c>
      <c r="K28" s="710">
        <v>2294</v>
      </c>
      <c r="L28" s="583">
        <v>4000</v>
      </c>
      <c r="M28" s="297">
        <v>0</v>
      </c>
      <c r="N28" s="726">
        <f t="shared" si="11"/>
        <v>4000</v>
      </c>
      <c r="O28" s="377">
        <f t="shared" si="3"/>
        <v>100</v>
      </c>
    </row>
    <row r="29" spans="1:16" ht="12.95" customHeight="1">
      <c r="B29" s="10"/>
      <c r="C29" s="11"/>
      <c r="D29" s="11"/>
      <c r="E29" s="316"/>
      <c r="F29" s="336">
        <v>613800</v>
      </c>
      <c r="G29" s="362"/>
      <c r="H29" s="11" t="s">
        <v>149</v>
      </c>
      <c r="I29" s="300">
        <v>2500</v>
      </c>
      <c r="J29" s="300">
        <v>2500</v>
      </c>
      <c r="K29" s="707">
        <v>430</v>
      </c>
      <c r="L29" s="583">
        <v>2500</v>
      </c>
      <c r="M29" s="300">
        <v>0</v>
      </c>
      <c r="N29" s="726">
        <f t="shared" si="11"/>
        <v>2500</v>
      </c>
      <c r="O29" s="377">
        <f t="shared" si="3"/>
        <v>100</v>
      </c>
    </row>
    <row r="30" spans="1:16" ht="12.95" customHeight="1">
      <c r="B30" s="10"/>
      <c r="C30" s="11"/>
      <c r="D30" s="11"/>
      <c r="E30" s="316"/>
      <c r="F30" s="339">
        <v>613900</v>
      </c>
      <c r="G30" s="362"/>
      <c r="H30" s="14" t="s">
        <v>150</v>
      </c>
      <c r="I30" s="300">
        <v>113200</v>
      </c>
      <c r="J30" s="300">
        <v>113200</v>
      </c>
      <c r="K30" s="707">
        <v>76172</v>
      </c>
      <c r="L30" s="583">
        <v>125000</v>
      </c>
      <c r="M30" s="300">
        <v>0</v>
      </c>
      <c r="N30" s="726">
        <f t="shared" si="11"/>
        <v>125000</v>
      </c>
      <c r="O30" s="377">
        <f t="shared" si="3"/>
        <v>110.42402826855124</v>
      </c>
      <c r="P30" s="640"/>
    </row>
    <row r="31" spans="1:16" ht="12.95" customHeight="1">
      <c r="B31" s="10"/>
      <c r="C31" s="11"/>
      <c r="D31" s="11"/>
      <c r="E31" s="316"/>
      <c r="F31" s="336">
        <v>613900</v>
      </c>
      <c r="G31" s="362" t="s">
        <v>557</v>
      </c>
      <c r="H31" s="20" t="s">
        <v>183</v>
      </c>
      <c r="I31" s="300">
        <v>0</v>
      </c>
      <c r="J31" s="300">
        <v>0</v>
      </c>
      <c r="K31" s="707">
        <v>0</v>
      </c>
      <c r="L31" s="583">
        <v>0</v>
      </c>
      <c r="M31" s="300">
        <v>0</v>
      </c>
      <c r="N31" s="726">
        <f t="shared" si="11"/>
        <v>0</v>
      </c>
      <c r="O31" s="377" t="str">
        <f t="shared" si="3"/>
        <v/>
      </c>
    </row>
    <row r="32" spans="1:16" ht="12.95" customHeight="1">
      <c r="B32" s="10"/>
      <c r="C32" s="11"/>
      <c r="D32" s="11"/>
      <c r="E32" s="316"/>
      <c r="F32" s="336">
        <v>613900</v>
      </c>
      <c r="G32" s="362" t="s">
        <v>556</v>
      </c>
      <c r="H32" s="386" t="s">
        <v>934</v>
      </c>
      <c r="I32" s="300">
        <v>57080</v>
      </c>
      <c r="J32" s="300">
        <v>57080</v>
      </c>
      <c r="K32" s="707">
        <v>31377</v>
      </c>
      <c r="L32" s="583">
        <v>49410</v>
      </c>
      <c r="M32" s="300">
        <v>0</v>
      </c>
      <c r="N32" s="726">
        <f t="shared" si="11"/>
        <v>49410</v>
      </c>
      <c r="O32" s="377">
        <f t="shared" si="3"/>
        <v>86.562718990889977</v>
      </c>
    </row>
    <row r="33" spans="1:19" ht="8.1" customHeight="1">
      <c r="B33" s="10"/>
      <c r="C33" s="11"/>
      <c r="D33" s="11"/>
      <c r="E33" s="316"/>
      <c r="F33" s="336"/>
      <c r="G33" s="362"/>
      <c r="H33" s="11"/>
      <c r="I33" s="297"/>
      <c r="J33" s="701"/>
      <c r="K33" s="710"/>
      <c r="L33" s="583"/>
      <c r="M33" s="297"/>
      <c r="N33" s="726"/>
      <c r="O33" s="377" t="str">
        <f t="shared" si="3"/>
        <v/>
      </c>
    </row>
    <row r="34" spans="1:19" s="1" customFormat="1" ht="12.95" customHeight="1">
      <c r="A34" s="311"/>
      <c r="B34" s="12"/>
      <c r="C34" s="8"/>
      <c r="D34" s="8"/>
      <c r="E34" s="8"/>
      <c r="F34" s="335">
        <v>614000</v>
      </c>
      <c r="G34" s="362"/>
      <c r="H34" s="8" t="s">
        <v>178</v>
      </c>
      <c r="I34" s="302">
        <f>SUM(I35:I44)</f>
        <v>717000</v>
      </c>
      <c r="J34" s="699">
        <f>SUM(J35:J44)</f>
        <v>717000</v>
      </c>
      <c r="K34" s="708">
        <f t="shared" ref="K34" si="12">SUM(K35:K44)</f>
        <v>566738</v>
      </c>
      <c r="L34" s="588">
        <f>SUM(L35:L44)</f>
        <v>767000</v>
      </c>
      <c r="M34" s="302">
        <f>SUM(M35:M44)</f>
        <v>0</v>
      </c>
      <c r="N34" s="727">
        <f>SUM(N35:N44)</f>
        <v>767000</v>
      </c>
      <c r="O34" s="376">
        <f>IF(J34=0,"",N34/J34*100)</f>
        <v>106.97350069735008</v>
      </c>
    </row>
    <row r="35" spans="1:19" s="68" customFormat="1" ht="12.95" customHeight="1">
      <c r="B35" s="69"/>
      <c r="C35" s="13"/>
      <c r="D35" s="13"/>
      <c r="E35" s="13"/>
      <c r="F35" s="336">
        <v>614100</v>
      </c>
      <c r="G35" s="362" t="s">
        <v>558</v>
      </c>
      <c r="H35" s="84" t="s">
        <v>219</v>
      </c>
      <c r="I35" s="387">
        <v>200000</v>
      </c>
      <c r="J35" s="387">
        <v>200000</v>
      </c>
      <c r="K35" s="712">
        <v>150000</v>
      </c>
      <c r="L35" s="571">
        <v>250000</v>
      </c>
      <c r="M35" s="387">
        <v>0</v>
      </c>
      <c r="N35" s="726">
        <f t="shared" ref="N35:N44" si="13">SUM(L35:M35)</f>
        <v>250000</v>
      </c>
      <c r="O35" s="377">
        <f t="shared" ref="O35:O55" si="14">IF(J35=0,"",N35/J35*100)</f>
        <v>125</v>
      </c>
    </row>
    <row r="36" spans="1:19" s="118" customFormat="1" ht="12.95" customHeight="1">
      <c r="B36" s="115"/>
      <c r="C36" s="116"/>
      <c r="D36" s="116"/>
      <c r="E36" s="116"/>
      <c r="F36" s="340">
        <v>614200</v>
      </c>
      <c r="G36" s="362" t="s">
        <v>559</v>
      </c>
      <c r="H36" s="117" t="s">
        <v>542</v>
      </c>
      <c r="I36" s="414">
        <v>150000</v>
      </c>
      <c r="J36" s="414">
        <v>150000</v>
      </c>
      <c r="K36" s="713">
        <v>149800</v>
      </c>
      <c r="L36" s="835">
        <v>150000</v>
      </c>
      <c r="M36" s="414">
        <v>0</v>
      </c>
      <c r="N36" s="726">
        <f t="shared" si="13"/>
        <v>150000</v>
      </c>
      <c r="O36" s="377">
        <f t="shared" si="14"/>
        <v>100</v>
      </c>
      <c r="S36" s="119"/>
    </row>
    <row r="37" spans="1:19" ht="12.95" customHeight="1">
      <c r="B37" s="10"/>
      <c r="C37" s="11"/>
      <c r="D37" s="11"/>
      <c r="E37" s="316"/>
      <c r="F37" s="336">
        <v>614300</v>
      </c>
      <c r="G37" s="362" t="s">
        <v>560</v>
      </c>
      <c r="H37" s="407" t="s">
        <v>604</v>
      </c>
      <c r="I37" s="388">
        <v>50000</v>
      </c>
      <c r="J37" s="388">
        <v>50000</v>
      </c>
      <c r="K37" s="714">
        <v>50000</v>
      </c>
      <c r="L37" s="571">
        <v>50000</v>
      </c>
      <c r="M37" s="388">
        <v>0</v>
      </c>
      <c r="N37" s="726">
        <f t="shared" si="13"/>
        <v>50000</v>
      </c>
      <c r="O37" s="377">
        <f t="shared" si="14"/>
        <v>100</v>
      </c>
    </row>
    <row r="38" spans="1:19" ht="12.95" customHeight="1">
      <c r="B38" s="10"/>
      <c r="C38" s="11"/>
      <c r="D38" s="11"/>
      <c r="E38" s="316"/>
      <c r="F38" s="336">
        <v>614300</v>
      </c>
      <c r="G38" s="362" t="s">
        <v>561</v>
      </c>
      <c r="H38" s="78" t="s">
        <v>196</v>
      </c>
      <c r="I38" s="388">
        <v>35000</v>
      </c>
      <c r="J38" s="388">
        <v>35000</v>
      </c>
      <c r="K38" s="714">
        <v>22144</v>
      </c>
      <c r="L38" s="571">
        <v>35000</v>
      </c>
      <c r="M38" s="388">
        <v>0</v>
      </c>
      <c r="N38" s="726">
        <f t="shared" si="13"/>
        <v>35000</v>
      </c>
      <c r="O38" s="377">
        <f t="shared" si="14"/>
        <v>100</v>
      </c>
    </row>
    <row r="39" spans="1:19" ht="12.95" customHeight="1">
      <c r="B39" s="10"/>
      <c r="C39" s="11"/>
      <c r="D39" s="11"/>
      <c r="E39" s="316"/>
      <c r="F39" s="336">
        <v>614300</v>
      </c>
      <c r="G39" s="362" t="s">
        <v>562</v>
      </c>
      <c r="H39" s="78" t="s">
        <v>218</v>
      </c>
      <c r="I39" s="388">
        <v>45000</v>
      </c>
      <c r="J39" s="388">
        <v>45000</v>
      </c>
      <c r="K39" s="714">
        <v>28812</v>
      </c>
      <c r="L39" s="571">
        <v>45000</v>
      </c>
      <c r="M39" s="388">
        <v>0</v>
      </c>
      <c r="N39" s="726">
        <f t="shared" si="13"/>
        <v>45000</v>
      </c>
      <c r="O39" s="377">
        <f t="shared" si="14"/>
        <v>100</v>
      </c>
    </row>
    <row r="40" spans="1:19" ht="12.95" customHeight="1">
      <c r="B40" s="10"/>
      <c r="C40" s="11"/>
      <c r="D40" s="11"/>
      <c r="E40" s="316"/>
      <c r="F40" s="336">
        <v>614300</v>
      </c>
      <c r="G40" s="362" t="s">
        <v>563</v>
      </c>
      <c r="H40" s="406" t="s">
        <v>683</v>
      </c>
      <c r="I40" s="388">
        <v>45000</v>
      </c>
      <c r="J40" s="388">
        <v>45000</v>
      </c>
      <c r="K40" s="714">
        <v>28812</v>
      </c>
      <c r="L40" s="571">
        <v>45000</v>
      </c>
      <c r="M40" s="388">
        <v>0</v>
      </c>
      <c r="N40" s="726">
        <f t="shared" si="13"/>
        <v>45000</v>
      </c>
      <c r="O40" s="377">
        <f t="shared" si="14"/>
        <v>100</v>
      </c>
    </row>
    <row r="41" spans="1:19" ht="12.95" customHeight="1">
      <c r="B41" s="10"/>
      <c r="C41" s="11"/>
      <c r="D41" s="11"/>
      <c r="E41" s="316"/>
      <c r="F41" s="336">
        <v>614300</v>
      </c>
      <c r="G41" s="362" t="s">
        <v>564</v>
      </c>
      <c r="H41" s="406" t="s">
        <v>682</v>
      </c>
      <c r="I41" s="388">
        <v>17000</v>
      </c>
      <c r="J41" s="388">
        <v>17000</v>
      </c>
      <c r="K41" s="714">
        <v>10860</v>
      </c>
      <c r="L41" s="571">
        <v>17000</v>
      </c>
      <c r="M41" s="388">
        <v>0</v>
      </c>
      <c r="N41" s="726">
        <f t="shared" si="13"/>
        <v>17000</v>
      </c>
      <c r="O41" s="377">
        <f t="shared" si="14"/>
        <v>100</v>
      </c>
    </row>
    <row r="42" spans="1:19" ht="12.95" customHeight="1">
      <c r="B42" s="10"/>
      <c r="C42" s="11"/>
      <c r="D42" s="11"/>
      <c r="E42" s="316"/>
      <c r="F42" s="336">
        <v>614300</v>
      </c>
      <c r="G42" s="362" t="s">
        <v>565</v>
      </c>
      <c r="H42" s="78" t="s">
        <v>198</v>
      </c>
      <c r="I42" s="388">
        <v>30000</v>
      </c>
      <c r="J42" s="388">
        <v>30000</v>
      </c>
      <c r="K42" s="714">
        <v>22500</v>
      </c>
      <c r="L42" s="571">
        <v>30000</v>
      </c>
      <c r="M42" s="388">
        <v>0</v>
      </c>
      <c r="N42" s="726">
        <f t="shared" si="13"/>
        <v>30000</v>
      </c>
      <c r="O42" s="377">
        <f t="shared" si="14"/>
        <v>100</v>
      </c>
    </row>
    <row r="43" spans="1:19" ht="12.95" customHeight="1">
      <c r="B43" s="10"/>
      <c r="C43" s="11"/>
      <c r="D43" s="11"/>
      <c r="E43" s="316"/>
      <c r="F43" s="336">
        <v>614300</v>
      </c>
      <c r="G43" s="362" t="s">
        <v>566</v>
      </c>
      <c r="H43" s="78" t="s">
        <v>540</v>
      </c>
      <c r="I43" s="388">
        <v>15000</v>
      </c>
      <c r="J43" s="388">
        <v>15000</v>
      </c>
      <c r="K43" s="714">
        <v>10000</v>
      </c>
      <c r="L43" s="571">
        <v>15000</v>
      </c>
      <c r="M43" s="388">
        <v>0</v>
      </c>
      <c r="N43" s="726">
        <f t="shared" si="13"/>
        <v>15000</v>
      </c>
      <c r="O43" s="377">
        <f t="shared" ref="O43" si="15">IF(J43=0,"",N43/J43*100)</f>
        <v>100</v>
      </c>
    </row>
    <row r="44" spans="1:19" ht="12.95" customHeight="1">
      <c r="B44" s="10"/>
      <c r="C44" s="11"/>
      <c r="D44" s="11"/>
      <c r="E44" s="316"/>
      <c r="F44" s="336">
        <v>614300</v>
      </c>
      <c r="G44" s="362" t="s">
        <v>861</v>
      </c>
      <c r="H44" s="183" t="s">
        <v>95</v>
      </c>
      <c r="I44" s="388">
        <v>130000</v>
      </c>
      <c r="J44" s="388">
        <v>130000</v>
      </c>
      <c r="K44" s="714">
        <v>93810</v>
      </c>
      <c r="L44" s="571">
        <v>130000</v>
      </c>
      <c r="M44" s="388">
        <v>0</v>
      </c>
      <c r="N44" s="726">
        <f t="shared" si="13"/>
        <v>130000</v>
      </c>
      <c r="O44" s="377">
        <f t="shared" si="14"/>
        <v>100</v>
      </c>
    </row>
    <row r="45" spans="1:19" ht="8.1" customHeight="1">
      <c r="B45" s="10"/>
      <c r="C45" s="11"/>
      <c r="D45" s="11"/>
      <c r="E45" s="316"/>
      <c r="F45" s="336"/>
      <c r="G45" s="362"/>
      <c r="H45" s="78"/>
      <c r="I45" s="303"/>
      <c r="J45" s="704"/>
      <c r="K45" s="714"/>
      <c r="L45" s="622"/>
      <c r="M45" s="303"/>
      <c r="N45" s="726"/>
      <c r="O45" s="377" t="str">
        <f t="shared" si="14"/>
        <v/>
      </c>
    </row>
    <row r="46" spans="1:19" ht="12.95" customHeight="1">
      <c r="B46" s="10"/>
      <c r="C46" s="11"/>
      <c r="D46" s="11"/>
      <c r="E46" s="316"/>
      <c r="F46" s="335">
        <v>615000</v>
      </c>
      <c r="G46" s="362"/>
      <c r="H46" s="8" t="s">
        <v>88</v>
      </c>
      <c r="I46" s="302">
        <f t="shared" ref="I46:L46" si="16">I47</f>
        <v>50000</v>
      </c>
      <c r="J46" s="699">
        <f t="shared" si="16"/>
        <v>0</v>
      </c>
      <c r="K46" s="708">
        <f t="shared" si="16"/>
        <v>0</v>
      </c>
      <c r="L46" s="588">
        <f t="shared" si="16"/>
        <v>147000</v>
      </c>
      <c r="M46" s="302">
        <f>M47</f>
        <v>0</v>
      </c>
      <c r="N46" s="727">
        <f>N47</f>
        <v>147000</v>
      </c>
      <c r="O46" s="376" t="str">
        <f t="shared" si="14"/>
        <v/>
      </c>
    </row>
    <row r="47" spans="1:19" ht="12.95" customHeight="1">
      <c r="B47" s="10"/>
      <c r="C47" s="11"/>
      <c r="D47" s="11"/>
      <c r="E47" s="316"/>
      <c r="F47" s="336">
        <v>615100</v>
      </c>
      <c r="G47" s="362"/>
      <c r="H47" s="13" t="s">
        <v>88</v>
      </c>
      <c r="I47" s="299">
        <v>50000</v>
      </c>
      <c r="J47" s="703">
        <v>0</v>
      </c>
      <c r="K47" s="712">
        <v>0</v>
      </c>
      <c r="L47" s="622">
        <f>85000+51000+11000</f>
        <v>147000</v>
      </c>
      <c r="M47" s="299">
        <v>0</v>
      </c>
      <c r="N47" s="726">
        <f>SUM(L47:M47)</f>
        <v>147000</v>
      </c>
      <c r="O47" s="377" t="str">
        <f t="shared" si="14"/>
        <v/>
      </c>
    </row>
    <row r="48" spans="1:19" ht="8.1" customHeight="1">
      <c r="B48" s="10"/>
      <c r="C48" s="11"/>
      <c r="D48" s="11"/>
      <c r="E48" s="316"/>
      <c r="F48" s="336"/>
      <c r="G48" s="362"/>
      <c r="H48" s="14"/>
      <c r="I48" s="300"/>
      <c r="J48" s="698"/>
      <c r="K48" s="707"/>
      <c r="L48" s="583"/>
      <c r="M48" s="300"/>
      <c r="N48" s="726"/>
      <c r="O48" s="377" t="str">
        <f t="shared" si="14"/>
        <v/>
      </c>
    </row>
    <row r="49" spans="1:17" ht="12.95" customHeight="1">
      <c r="B49" s="12"/>
      <c r="C49" s="8"/>
      <c r="D49" s="8"/>
      <c r="E49" s="8"/>
      <c r="F49" s="335">
        <v>821000</v>
      </c>
      <c r="G49" s="362"/>
      <c r="H49" s="8" t="s">
        <v>89</v>
      </c>
      <c r="I49" s="302">
        <f t="shared" ref="I49:K49" si="17">SUM(I50:I52)</f>
        <v>30000</v>
      </c>
      <c r="J49" s="699">
        <f t="shared" si="17"/>
        <v>80000</v>
      </c>
      <c r="K49" s="708">
        <f t="shared" si="17"/>
        <v>16502</v>
      </c>
      <c r="L49" s="588">
        <f t="shared" ref="L49" si="18">SUM(L50:L52)</f>
        <v>80000</v>
      </c>
      <c r="M49" s="318">
        <f>SUM(M50:M52)</f>
        <v>0</v>
      </c>
      <c r="N49" s="721">
        <f>SUM(N50:N52)</f>
        <v>80000</v>
      </c>
      <c r="O49" s="376">
        <f t="shared" si="14"/>
        <v>100</v>
      </c>
    </row>
    <row r="50" spans="1:17" ht="12.95" customHeight="1">
      <c r="B50" s="10"/>
      <c r="C50" s="11"/>
      <c r="D50" s="11"/>
      <c r="E50" s="316"/>
      <c r="F50" s="336">
        <v>821200</v>
      </c>
      <c r="G50" s="362"/>
      <c r="H50" s="11" t="s">
        <v>90</v>
      </c>
      <c r="I50" s="300">
        <v>25000</v>
      </c>
      <c r="J50" s="698">
        <v>25000</v>
      </c>
      <c r="K50" s="707">
        <v>13773</v>
      </c>
      <c r="L50" s="583">
        <v>25000</v>
      </c>
      <c r="M50" s="310">
        <v>0</v>
      </c>
      <c r="N50" s="726">
        <f t="shared" ref="N50:N52" si="19">SUM(L50:M50)</f>
        <v>25000</v>
      </c>
      <c r="O50" s="377">
        <f t="shared" si="14"/>
        <v>100</v>
      </c>
      <c r="Q50" s="640"/>
    </row>
    <row r="51" spans="1:17" ht="12.95" customHeight="1">
      <c r="B51" s="10"/>
      <c r="C51" s="11"/>
      <c r="D51" s="11"/>
      <c r="E51" s="316"/>
      <c r="F51" s="336">
        <v>821300</v>
      </c>
      <c r="G51" s="362"/>
      <c r="H51" s="11" t="s">
        <v>91</v>
      </c>
      <c r="I51" s="303">
        <v>5000</v>
      </c>
      <c r="J51" s="704">
        <v>5000</v>
      </c>
      <c r="K51" s="714">
        <v>2729</v>
      </c>
      <c r="L51" s="622">
        <v>5000</v>
      </c>
      <c r="M51" s="326">
        <v>0</v>
      </c>
      <c r="N51" s="726">
        <f t="shared" si="19"/>
        <v>5000</v>
      </c>
      <c r="O51" s="377">
        <f t="shared" si="14"/>
        <v>100</v>
      </c>
      <c r="P51" s="640"/>
    </row>
    <row r="52" spans="1:17" ht="12.95" customHeight="1">
      <c r="B52" s="10"/>
      <c r="C52" s="11"/>
      <c r="D52" s="11"/>
      <c r="E52" s="316"/>
      <c r="F52" s="336">
        <v>821500</v>
      </c>
      <c r="G52" s="362"/>
      <c r="H52" s="11" t="s">
        <v>456</v>
      </c>
      <c r="I52" s="561">
        <v>0</v>
      </c>
      <c r="J52" s="705">
        <v>50000</v>
      </c>
      <c r="K52" s="559">
        <v>0</v>
      </c>
      <c r="L52" s="839">
        <v>50000</v>
      </c>
      <c r="M52" s="102">
        <v>0</v>
      </c>
      <c r="N52" s="726">
        <f t="shared" si="19"/>
        <v>50000</v>
      </c>
      <c r="O52" s="377">
        <f t="shared" si="14"/>
        <v>100</v>
      </c>
    </row>
    <row r="53" spans="1:17" s="1" customFormat="1" ht="8.1" customHeight="1">
      <c r="A53" s="311"/>
      <c r="B53" s="10"/>
      <c r="C53" s="11"/>
      <c r="D53" s="11"/>
      <c r="E53" s="316"/>
      <c r="F53" s="336"/>
      <c r="G53" s="362"/>
      <c r="H53" s="11"/>
      <c r="I53" s="302"/>
      <c r="J53" s="699"/>
      <c r="K53" s="708"/>
      <c r="L53" s="582"/>
      <c r="M53" s="318"/>
      <c r="N53" s="721"/>
      <c r="O53" s="377" t="str">
        <f t="shared" si="14"/>
        <v/>
      </c>
    </row>
    <row r="54" spans="1:17" ht="12.95" customHeight="1">
      <c r="B54" s="12"/>
      <c r="C54" s="8"/>
      <c r="D54" s="8"/>
      <c r="E54" s="8"/>
      <c r="F54" s="335"/>
      <c r="G54" s="362"/>
      <c r="H54" s="8" t="s">
        <v>92</v>
      </c>
      <c r="I54" s="302">
        <v>7</v>
      </c>
      <c r="J54" s="699">
        <v>7</v>
      </c>
      <c r="K54" s="708">
        <v>6</v>
      </c>
      <c r="L54" s="582">
        <v>7</v>
      </c>
      <c r="M54" s="318"/>
      <c r="N54" s="721">
        <v>7</v>
      </c>
      <c r="O54" s="377"/>
    </row>
    <row r="55" spans="1:17" ht="12.95" customHeight="1">
      <c r="B55" s="12"/>
      <c r="C55" s="8"/>
      <c r="D55" s="8"/>
      <c r="E55" s="8"/>
      <c r="F55" s="335"/>
      <c r="G55" s="362"/>
      <c r="H55" s="8" t="s">
        <v>110</v>
      </c>
      <c r="I55" s="15">
        <f t="shared" ref="I55:N55" si="20">I8+I13+I18+I21+I34+I46+I49</f>
        <v>1720620</v>
      </c>
      <c r="J55" s="575">
        <f t="shared" si="20"/>
        <v>1720620</v>
      </c>
      <c r="K55" s="565">
        <f t="shared" si="20"/>
        <v>1220510</v>
      </c>
      <c r="L55" s="582">
        <f t="shared" si="20"/>
        <v>1944530</v>
      </c>
      <c r="M55" s="318">
        <f t="shared" si="20"/>
        <v>0</v>
      </c>
      <c r="N55" s="721">
        <f t="shared" si="20"/>
        <v>1944530</v>
      </c>
      <c r="O55" s="376">
        <f t="shared" si="14"/>
        <v>113.01333240343597</v>
      </c>
    </row>
    <row r="56" spans="1:17" ht="12.95" customHeight="1">
      <c r="B56" s="12"/>
      <c r="C56" s="8"/>
      <c r="D56" s="8"/>
      <c r="E56" s="8"/>
      <c r="F56" s="335"/>
      <c r="G56" s="362"/>
      <c r="H56" s="8" t="s">
        <v>93</v>
      </c>
      <c r="I56" s="11"/>
      <c r="J56" s="11"/>
      <c r="K56" s="566"/>
      <c r="L56" s="315"/>
      <c r="M56" s="316"/>
      <c r="N56" s="729"/>
      <c r="O56" s="378"/>
    </row>
    <row r="57" spans="1:17" ht="12.95" customHeight="1">
      <c r="B57" s="12"/>
      <c r="C57" s="8"/>
      <c r="D57" s="8"/>
      <c r="E57" s="8"/>
      <c r="F57" s="335"/>
      <c r="G57" s="362"/>
      <c r="H57" s="8" t="s">
        <v>94</v>
      </c>
      <c r="I57" s="11"/>
      <c r="J57" s="11"/>
      <c r="K57" s="566"/>
      <c r="L57" s="315"/>
      <c r="M57" s="316"/>
      <c r="N57" s="729"/>
      <c r="O57" s="378"/>
    </row>
    <row r="58" spans="1:17" s="1" customFormat="1" ht="8.1" customHeight="1" thickBot="1">
      <c r="A58" s="311"/>
      <c r="B58" s="16"/>
      <c r="C58" s="17"/>
      <c r="D58" s="17"/>
      <c r="E58" s="17"/>
      <c r="F58" s="337"/>
      <c r="G58" s="363"/>
      <c r="H58" s="17"/>
      <c r="I58" s="17"/>
      <c r="J58" s="17"/>
      <c r="K58" s="567"/>
      <c r="L58" s="16"/>
      <c r="M58" s="17"/>
      <c r="N58" s="730"/>
      <c r="O58" s="379"/>
    </row>
    <row r="59" spans="1:17" s="1" customFormat="1" ht="15.95" customHeight="1">
      <c r="A59" s="311"/>
      <c r="B59" s="9"/>
      <c r="C59" s="9"/>
      <c r="D59" s="9"/>
      <c r="E59" s="314"/>
      <c r="F59" s="338"/>
      <c r="G59" s="364"/>
      <c r="H59" s="9"/>
      <c r="I59" s="9"/>
      <c r="J59" s="9"/>
      <c r="K59" s="9"/>
      <c r="L59" s="314"/>
      <c r="M59" s="314"/>
      <c r="N59" s="423"/>
      <c r="O59" s="380"/>
    </row>
    <row r="60" spans="1:17" s="1" customFormat="1" ht="15.95" customHeight="1">
      <c r="A60" s="311"/>
      <c r="B60" s="9"/>
      <c r="C60" s="9"/>
      <c r="D60" s="9"/>
      <c r="E60" s="314"/>
      <c r="F60" s="338"/>
      <c r="G60" s="364"/>
      <c r="H60" s="9"/>
      <c r="I60" s="9"/>
      <c r="J60" s="9"/>
      <c r="K60" s="9"/>
      <c r="L60" s="314"/>
      <c r="M60" s="314"/>
      <c r="N60" s="423"/>
      <c r="O60" s="840"/>
    </row>
    <row r="61" spans="1:17" s="1" customFormat="1" ht="12.95" customHeight="1">
      <c r="A61" s="311"/>
      <c r="B61" s="9"/>
      <c r="C61" s="9"/>
      <c r="D61" s="9"/>
      <c r="E61" s="314"/>
      <c r="F61" s="338"/>
      <c r="G61" s="364"/>
      <c r="H61" s="9"/>
      <c r="I61" s="9"/>
      <c r="J61" s="9"/>
      <c r="K61" s="9"/>
      <c r="L61" s="314"/>
      <c r="M61" s="314"/>
      <c r="N61" s="423"/>
      <c r="O61" s="380"/>
    </row>
    <row r="62" spans="1:17" ht="12.95" customHeight="1">
      <c r="F62" s="338"/>
      <c r="G62" s="364"/>
      <c r="N62" s="423"/>
    </row>
    <row r="63" spans="1:17" ht="14.25">
      <c r="F63" s="338"/>
      <c r="G63" s="364"/>
      <c r="N63" s="423"/>
    </row>
    <row r="64" spans="1:17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96"/>
  <sheetViews>
    <sheetView zoomScaleNormal="100" workbookViewId="0">
      <selection activeCell="Q30" sqref="Q30"/>
    </sheetView>
  </sheetViews>
  <sheetFormatPr defaultColWidth="9.140625"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8" ht="13.5" thickBot="1"/>
    <row r="2" spans="1:18" s="408" customFormat="1" ht="20.100000000000001" customHeight="1" thickTop="1" thickBot="1">
      <c r="B2" s="897" t="s">
        <v>780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412"/>
    </row>
    <row r="3" spans="1:18" s="1" customFormat="1" ht="8.1" customHeight="1" thickTop="1" thickBot="1">
      <c r="A3" s="311"/>
      <c r="E3" s="311"/>
      <c r="F3" s="2"/>
      <c r="G3" s="312"/>
      <c r="H3" s="900"/>
      <c r="I3" s="900"/>
      <c r="J3" s="282"/>
      <c r="K3" s="282"/>
      <c r="L3" s="107"/>
      <c r="M3" s="107"/>
      <c r="N3" s="107"/>
      <c r="O3" s="374"/>
    </row>
    <row r="4" spans="1:18" s="1" customFormat="1" ht="39" customHeight="1">
      <c r="A4" s="311"/>
      <c r="B4" s="904" t="s">
        <v>77</v>
      </c>
      <c r="C4" s="919" t="s">
        <v>78</v>
      </c>
      <c r="D4" s="920" t="s">
        <v>107</v>
      </c>
      <c r="E4" s="926" t="s">
        <v>815</v>
      </c>
      <c r="F4" s="921" t="s">
        <v>516</v>
      </c>
      <c r="G4" s="909" t="s">
        <v>555</v>
      </c>
      <c r="H4" s="910" t="s">
        <v>79</v>
      </c>
      <c r="I4" s="922" t="s">
        <v>902</v>
      </c>
      <c r="J4" s="923" t="s">
        <v>846</v>
      </c>
      <c r="K4" s="927" t="s">
        <v>909</v>
      </c>
      <c r="L4" s="918" t="s">
        <v>928</v>
      </c>
      <c r="M4" s="902"/>
      <c r="N4" s="903"/>
      <c r="O4" s="916" t="s">
        <v>848</v>
      </c>
      <c r="Q4" s="81"/>
    </row>
    <row r="5" spans="1:18" s="311" customFormat="1" ht="27" customHeight="1">
      <c r="B5" s="905"/>
      <c r="C5" s="907"/>
      <c r="D5" s="907"/>
      <c r="E5" s="907"/>
      <c r="F5" s="911"/>
      <c r="G5" s="907"/>
      <c r="H5" s="911"/>
      <c r="I5" s="911"/>
      <c r="J5" s="911"/>
      <c r="K5" s="915"/>
      <c r="L5" s="587" t="s">
        <v>600</v>
      </c>
      <c r="M5" s="404" t="s">
        <v>601</v>
      </c>
      <c r="N5" s="715" t="s">
        <v>349</v>
      </c>
      <c r="O5" s="91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16" t="s">
        <v>817</v>
      </c>
      <c r="O6" s="527">
        <v>14</v>
      </c>
    </row>
    <row r="7" spans="1:18" s="2" customFormat="1" ht="12.95" customHeight="1">
      <c r="A7" s="312"/>
      <c r="B7" s="6" t="s">
        <v>115</v>
      </c>
      <c r="C7" s="7" t="s">
        <v>80</v>
      </c>
      <c r="D7" s="7" t="s">
        <v>113</v>
      </c>
      <c r="E7" s="667" t="s">
        <v>816</v>
      </c>
      <c r="F7" s="5"/>
      <c r="G7" s="313"/>
      <c r="H7" s="5"/>
      <c r="I7" s="5"/>
      <c r="J7" s="5"/>
      <c r="K7" s="574"/>
      <c r="L7" s="4"/>
      <c r="M7" s="313"/>
      <c r="N7" s="717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389">
        <f t="shared" ref="I8" si="0">SUM(I9:I12)</f>
        <v>0</v>
      </c>
      <c r="J8" s="389">
        <f t="shared" ref="J8" si="1">SUM(J9:J12)</f>
        <v>0</v>
      </c>
      <c r="K8" s="560">
        <f>SUM(K9:K11)</f>
        <v>0</v>
      </c>
      <c r="L8" s="695">
        <f t="shared" ref="L8" si="2">SUM(L9:L12)</f>
        <v>0</v>
      </c>
      <c r="M8" s="236">
        <f>SUM(M9:M12)</f>
        <v>0</v>
      </c>
      <c r="N8" s="718">
        <f>SUM(N9:N12)</f>
        <v>0</v>
      </c>
      <c r="O8" s="376" t="str">
        <f>IF(J8=0,"",N8/J8*100)</f>
        <v/>
      </c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392">
        <v>0</v>
      </c>
      <c r="J9" s="392">
        <v>0</v>
      </c>
      <c r="K9" s="559">
        <v>0</v>
      </c>
      <c r="L9" s="568">
        <v>0</v>
      </c>
      <c r="M9" s="235">
        <v>0</v>
      </c>
      <c r="N9" s="719">
        <f>SUM(L9:M9)</f>
        <v>0</v>
      </c>
      <c r="O9" s="377" t="str">
        <f>IF(J9=0,"",N9/J9*100)</f>
        <v/>
      </c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392">
        <v>0</v>
      </c>
      <c r="J10" s="392">
        <v>0</v>
      </c>
      <c r="K10" s="559">
        <v>0</v>
      </c>
      <c r="L10" s="568">
        <v>0</v>
      </c>
      <c r="M10" s="235">
        <v>0</v>
      </c>
      <c r="N10" s="719">
        <f t="shared" ref="N10:N11" si="3">SUM(L10:M10)</f>
        <v>0</v>
      </c>
      <c r="O10" s="377" t="str">
        <f t="shared" ref="O10:O33" si="4">IF(J10=0,"",N10/J10*100)</f>
        <v/>
      </c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392">
        <f t="shared" ref="I11:J11" si="5">SUM(G11:H11)</f>
        <v>0</v>
      </c>
      <c r="J11" s="392">
        <f t="shared" si="5"/>
        <v>0</v>
      </c>
      <c r="K11" s="559">
        <v>0</v>
      </c>
      <c r="L11" s="568">
        <v>0</v>
      </c>
      <c r="M11" s="235">
        <v>0</v>
      </c>
      <c r="N11" s="719">
        <f t="shared" si="3"/>
        <v>0</v>
      </c>
      <c r="O11" s="377" t="str">
        <f t="shared" si="4"/>
        <v/>
      </c>
      <c r="Q11" s="62"/>
    </row>
    <row r="12" spans="1:18" ht="8.1" customHeight="1">
      <c r="B12" s="10"/>
      <c r="C12" s="11"/>
      <c r="D12" s="11"/>
      <c r="E12" s="316"/>
      <c r="F12" s="336"/>
      <c r="G12" s="362"/>
      <c r="H12" s="20"/>
      <c r="I12" s="392"/>
      <c r="J12" s="392"/>
      <c r="K12" s="559"/>
      <c r="L12" s="568"/>
      <c r="M12" s="235"/>
      <c r="N12" s="719"/>
      <c r="O12" s="377" t="str">
        <f t="shared" si="4"/>
        <v/>
      </c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L13" si="6">I14</f>
        <v>0</v>
      </c>
      <c r="J13" s="389">
        <f t="shared" si="6"/>
        <v>0</v>
      </c>
      <c r="K13" s="560">
        <f>K14</f>
        <v>0</v>
      </c>
      <c r="L13" s="695">
        <f t="shared" si="6"/>
        <v>0</v>
      </c>
      <c r="M13" s="236">
        <f>M14</f>
        <v>0</v>
      </c>
      <c r="N13" s="718">
        <f>N14</f>
        <v>0</v>
      </c>
      <c r="O13" s="376" t="str">
        <f t="shared" si="4"/>
        <v/>
      </c>
      <c r="R13" s="68"/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392">
        <v>0</v>
      </c>
      <c r="J14" s="392">
        <v>0</v>
      </c>
      <c r="K14" s="559">
        <v>0</v>
      </c>
      <c r="L14" s="568">
        <v>0</v>
      </c>
      <c r="M14" s="235">
        <v>0</v>
      </c>
      <c r="N14" s="719">
        <f>SUM(L14:M14)</f>
        <v>0</v>
      </c>
      <c r="O14" s="377" t="str">
        <f t="shared" si="4"/>
        <v/>
      </c>
      <c r="R14" s="55"/>
    </row>
    <row r="15" spans="1:18" ht="8.1" customHeight="1">
      <c r="B15" s="10"/>
      <c r="C15" s="11"/>
      <c r="D15" s="11"/>
      <c r="E15" s="316"/>
      <c r="F15" s="336"/>
      <c r="G15" s="362"/>
      <c r="H15" s="11"/>
      <c r="I15" s="392"/>
      <c r="J15" s="392"/>
      <c r="K15" s="559"/>
      <c r="L15" s="569"/>
      <c r="M15" s="309"/>
      <c r="N15" s="720"/>
      <c r="O15" s="377" t="str">
        <f t="shared" si="4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" si="7">SUM(I17:I26)</f>
        <v>0</v>
      </c>
      <c r="J16" s="389">
        <f t="shared" ref="J16" si="8">SUM(J17:J26)</f>
        <v>0</v>
      </c>
      <c r="K16" s="560">
        <f>SUM(K17:K26)</f>
        <v>0</v>
      </c>
      <c r="L16" s="696">
        <f t="shared" ref="L16" si="9">SUM(L17:L26)</f>
        <v>0</v>
      </c>
      <c r="M16" s="323">
        <f>SUM(M17:M26)</f>
        <v>0</v>
      </c>
      <c r="N16" s="721">
        <f>SUM(N17:N26)</f>
        <v>0</v>
      </c>
      <c r="O16" s="376" t="str">
        <f t="shared" si="4"/>
        <v/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392">
        <v>0</v>
      </c>
      <c r="J17" s="392">
        <v>0</v>
      </c>
      <c r="K17" s="559">
        <v>0</v>
      </c>
      <c r="L17" s="569">
        <v>0</v>
      </c>
      <c r="M17" s="393">
        <v>0</v>
      </c>
      <c r="N17" s="719">
        <f t="shared" ref="N17:N26" si="10">SUM(L17:M17)</f>
        <v>0</v>
      </c>
      <c r="O17" s="377" t="str">
        <f t="shared" si="4"/>
        <v/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392">
        <f t="shared" ref="I18:J24" si="11">SUM(G18:H18)</f>
        <v>0</v>
      </c>
      <c r="J18" s="392">
        <f t="shared" si="11"/>
        <v>0</v>
      </c>
      <c r="K18" s="559">
        <v>0</v>
      </c>
      <c r="L18" s="569">
        <v>0</v>
      </c>
      <c r="M18" s="393">
        <v>0</v>
      </c>
      <c r="N18" s="719">
        <f t="shared" si="10"/>
        <v>0</v>
      </c>
      <c r="O18" s="377" t="str">
        <f t="shared" si="4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392">
        <v>0</v>
      </c>
      <c r="J19" s="392">
        <v>0</v>
      </c>
      <c r="K19" s="559">
        <v>0</v>
      </c>
      <c r="L19" s="569">
        <v>0</v>
      </c>
      <c r="M19" s="393">
        <v>0</v>
      </c>
      <c r="N19" s="719">
        <f t="shared" si="10"/>
        <v>0</v>
      </c>
      <c r="O19" s="377" t="str">
        <f t="shared" si="4"/>
        <v/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392">
        <f t="shared" si="11"/>
        <v>0</v>
      </c>
      <c r="J20" s="392">
        <f t="shared" si="11"/>
        <v>0</v>
      </c>
      <c r="K20" s="559">
        <v>0</v>
      </c>
      <c r="L20" s="569">
        <v>0</v>
      </c>
      <c r="M20" s="393">
        <v>0</v>
      </c>
      <c r="N20" s="719">
        <f t="shared" si="10"/>
        <v>0</v>
      </c>
      <c r="O20" s="377" t="str">
        <f t="shared" si="4"/>
        <v/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392">
        <f t="shared" si="11"/>
        <v>0</v>
      </c>
      <c r="J21" s="392">
        <f t="shared" si="11"/>
        <v>0</v>
      </c>
      <c r="K21" s="559">
        <v>0</v>
      </c>
      <c r="L21" s="569">
        <v>0</v>
      </c>
      <c r="M21" s="393">
        <v>0</v>
      </c>
      <c r="N21" s="719">
        <f t="shared" si="10"/>
        <v>0</v>
      </c>
      <c r="O21" s="377" t="str">
        <f t="shared" si="4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392">
        <f t="shared" si="11"/>
        <v>0</v>
      </c>
      <c r="J22" s="392">
        <f t="shared" si="11"/>
        <v>0</v>
      </c>
      <c r="K22" s="559">
        <v>0</v>
      </c>
      <c r="L22" s="569">
        <v>0</v>
      </c>
      <c r="M22" s="393">
        <v>0</v>
      </c>
      <c r="N22" s="719">
        <f t="shared" si="10"/>
        <v>0</v>
      </c>
      <c r="O22" s="377" t="str">
        <f t="shared" si="4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392">
        <v>0</v>
      </c>
      <c r="J23" s="392">
        <v>0</v>
      </c>
      <c r="K23" s="559">
        <v>0</v>
      </c>
      <c r="L23" s="569">
        <v>0</v>
      </c>
      <c r="M23" s="393">
        <v>0</v>
      </c>
      <c r="N23" s="719">
        <f t="shared" si="10"/>
        <v>0</v>
      </c>
      <c r="O23" s="377" t="str">
        <f t="shared" si="4"/>
        <v/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392">
        <f t="shared" si="11"/>
        <v>0</v>
      </c>
      <c r="J24" s="392">
        <f t="shared" si="11"/>
        <v>0</v>
      </c>
      <c r="K24" s="559">
        <v>0</v>
      </c>
      <c r="L24" s="569">
        <v>0</v>
      </c>
      <c r="M24" s="393">
        <v>0</v>
      </c>
      <c r="N24" s="719">
        <f t="shared" si="10"/>
        <v>0</v>
      </c>
      <c r="O24" s="377" t="str">
        <f t="shared" si="4"/>
        <v/>
      </c>
      <c r="P24" s="55"/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392">
        <v>0</v>
      </c>
      <c r="J25" s="392">
        <v>0</v>
      </c>
      <c r="K25" s="559">
        <v>0</v>
      </c>
      <c r="L25" s="568">
        <v>0</v>
      </c>
      <c r="M25" s="396">
        <v>0</v>
      </c>
      <c r="N25" s="719">
        <f t="shared" si="10"/>
        <v>0</v>
      </c>
      <c r="O25" s="377" t="str">
        <f t="shared" si="4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392">
        <v>0</v>
      </c>
      <c r="J26" s="392">
        <v>0</v>
      </c>
      <c r="K26" s="559">
        <v>0</v>
      </c>
      <c r="L26" s="569">
        <v>0</v>
      </c>
      <c r="M26" s="393">
        <v>0</v>
      </c>
      <c r="N26" s="719">
        <f t="shared" si="10"/>
        <v>0</v>
      </c>
      <c r="O26" s="377" t="str">
        <f t="shared" si="4"/>
        <v/>
      </c>
    </row>
    <row r="27" spans="1:16" ht="8.1" customHeight="1">
      <c r="B27" s="10"/>
      <c r="C27" s="11"/>
      <c r="D27" s="11"/>
      <c r="E27" s="316"/>
      <c r="F27" s="336"/>
      <c r="G27" s="362"/>
      <c r="H27" s="11"/>
      <c r="I27" s="389"/>
      <c r="J27" s="389"/>
      <c r="K27" s="560"/>
      <c r="L27" s="694"/>
      <c r="M27" s="318"/>
      <c r="N27" s="721"/>
      <c r="O27" s="377" t="str">
        <f t="shared" si="4"/>
        <v/>
      </c>
    </row>
    <row r="28" spans="1:16" s="1" customFormat="1" ht="12.95" customHeight="1">
      <c r="A28" s="311"/>
      <c r="B28" s="12"/>
      <c r="C28" s="8"/>
      <c r="D28" s="8"/>
      <c r="E28" s="666"/>
      <c r="F28" s="346">
        <v>614000</v>
      </c>
      <c r="G28" s="373"/>
      <c r="H28" s="8" t="s">
        <v>178</v>
      </c>
      <c r="I28" s="389">
        <f t="shared" ref="I28:N28" si="12">SUM(I29:I29)</f>
        <v>0</v>
      </c>
      <c r="J28" s="389">
        <f t="shared" si="12"/>
        <v>0</v>
      </c>
      <c r="K28" s="560">
        <f t="shared" si="12"/>
        <v>0</v>
      </c>
      <c r="L28" s="694">
        <f t="shared" si="12"/>
        <v>0</v>
      </c>
      <c r="M28" s="318">
        <f t="shared" si="12"/>
        <v>0</v>
      </c>
      <c r="N28" s="721">
        <f t="shared" si="12"/>
        <v>0</v>
      </c>
      <c r="O28" s="376" t="str">
        <f t="shared" si="4"/>
        <v/>
      </c>
    </row>
    <row r="29" spans="1:16" ht="12.95" customHeight="1">
      <c r="B29" s="10"/>
      <c r="C29" s="11"/>
      <c r="D29" s="24"/>
      <c r="E29" s="24"/>
      <c r="F29" s="384">
        <v>614200</v>
      </c>
      <c r="G29" s="370" t="s">
        <v>567</v>
      </c>
      <c r="H29" s="41" t="s">
        <v>98</v>
      </c>
      <c r="I29" s="392">
        <v>0</v>
      </c>
      <c r="J29" s="392">
        <v>0</v>
      </c>
      <c r="K29" s="559">
        <v>0</v>
      </c>
      <c r="L29" s="568">
        <v>0</v>
      </c>
      <c r="M29" s="310">
        <v>0</v>
      </c>
      <c r="N29" s="719">
        <f>SUM(L29:M29)</f>
        <v>0</v>
      </c>
      <c r="O29" s="377" t="str">
        <f t="shared" si="4"/>
        <v/>
      </c>
    </row>
    <row r="30" spans="1:16" ht="8.1" customHeight="1">
      <c r="B30" s="10"/>
      <c r="C30" s="11"/>
      <c r="D30" s="11"/>
      <c r="E30" s="662"/>
      <c r="F30" s="344"/>
      <c r="G30" s="369"/>
      <c r="H30" s="11"/>
      <c r="I30" s="392"/>
      <c r="J30" s="392"/>
      <c r="K30" s="559"/>
      <c r="L30" s="569"/>
      <c r="M30" s="309"/>
      <c r="N30" s="720"/>
      <c r="O30" s="377" t="str">
        <f t="shared" si="4"/>
        <v/>
      </c>
    </row>
    <row r="31" spans="1:16" s="1" customFormat="1" ht="12.95" customHeight="1">
      <c r="A31" s="311"/>
      <c r="B31" s="12"/>
      <c r="C31" s="8"/>
      <c r="D31" s="8"/>
      <c r="E31" s="8"/>
      <c r="F31" s="335">
        <v>821000</v>
      </c>
      <c r="G31" s="361"/>
      <c r="H31" s="8" t="s">
        <v>89</v>
      </c>
      <c r="I31" s="389">
        <f t="shared" ref="I31" si="13">SUM(I32:I33)</f>
        <v>0</v>
      </c>
      <c r="J31" s="389">
        <f t="shared" ref="J31" si="14">SUM(J32:J33)</f>
        <v>0</v>
      </c>
      <c r="K31" s="560">
        <f>SUM(K32:K33)</f>
        <v>0</v>
      </c>
      <c r="L31" s="694">
        <f t="shared" ref="L31" si="15">SUM(L32:L33)</f>
        <v>0</v>
      </c>
      <c r="M31" s="318">
        <f>SUM(M32:M33)</f>
        <v>0</v>
      </c>
      <c r="N31" s="721">
        <f>SUM(N32:N33)</f>
        <v>0</v>
      </c>
      <c r="O31" s="376" t="str">
        <f t="shared" si="4"/>
        <v/>
      </c>
    </row>
    <row r="32" spans="1:16" ht="12.95" customHeight="1">
      <c r="B32" s="10"/>
      <c r="C32" s="11"/>
      <c r="D32" s="11"/>
      <c r="E32" s="316"/>
      <c r="F32" s="336">
        <v>821200</v>
      </c>
      <c r="G32" s="362"/>
      <c r="H32" s="11" t="s">
        <v>90</v>
      </c>
      <c r="I32" s="392">
        <f t="shared" ref="I32:J32" si="16">SUM(G32:H32)</f>
        <v>0</v>
      </c>
      <c r="J32" s="392">
        <f t="shared" si="16"/>
        <v>0</v>
      </c>
      <c r="K32" s="559">
        <v>0</v>
      </c>
      <c r="L32" s="568">
        <v>0</v>
      </c>
      <c r="M32" s="310">
        <v>0</v>
      </c>
      <c r="N32" s="719">
        <f t="shared" ref="N32:N33" si="17">SUM(L32:M32)</f>
        <v>0</v>
      </c>
      <c r="O32" s="377" t="str">
        <f t="shared" si="4"/>
        <v/>
      </c>
    </row>
    <row r="33" spans="1:15" ht="12.95" customHeight="1">
      <c r="B33" s="10"/>
      <c r="C33" s="11"/>
      <c r="D33" s="11"/>
      <c r="E33" s="316"/>
      <c r="F33" s="336">
        <v>821300</v>
      </c>
      <c r="G33" s="362"/>
      <c r="H33" s="11" t="s">
        <v>91</v>
      </c>
      <c r="I33" s="392">
        <v>0</v>
      </c>
      <c r="J33" s="392">
        <v>0</v>
      </c>
      <c r="K33" s="559">
        <v>0</v>
      </c>
      <c r="L33" s="569">
        <v>0</v>
      </c>
      <c r="M33" s="309">
        <v>0</v>
      </c>
      <c r="N33" s="719">
        <f t="shared" si="17"/>
        <v>0</v>
      </c>
      <c r="O33" s="377" t="str">
        <f t="shared" si="4"/>
        <v/>
      </c>
    </row>
    <row r="34" spans="1:15" ht="8.1" customHeight="1">
      <c r="B34" s="10"/>
      <c r="C34" s="11"/>
      <c r="D34" s="11"/>
      <c r="E34" s="316"/>
      <c r="F34" s="336"/>
      <c r="G34" s="362"/>
      <c r="H34" s="11"/>
      <c r="I34" s="392"/>
      <c r="J34" s="392"/>
      <c r="K34" s="559"/>
      <c r="L34" s="569"/>
      <c r="M34" s="309"/>
      <c r="N34" s="720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92</v>
      </c>
      <c r="I35" s="389">
        <v>0</v>
      </c>
      <c r="J35" s="389">
        <v>0</v>
      </c>
      <c r="K35" s="560">
        <v>0</v>
      </c>
      <c r="L35" s="695">
        <v>0</v>
      </c>
      <c r="M35" s="325"/>
      <c r="N35" s="721">
        <v>0</v>
      </c>
      <c r="O35" s="377"/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110</v>
      </c>
      <c r="I36" s="15">
        <f t="shared" ref="I36:N36" si="18">I31+I28+I16+I13+I8</f>
        <v>0</v>
      </c>
      <c r="J36" s="15">
        <f t="shared" si="18"/>
        <v>0</v>
      </c>
      <c r="K36" s="565">
        <f t="shared" si="18"/>
        <v>0</v>
      </c>
      <c r="L36" s="582">
        <f t="shared" si="18"/>
        <v>0</v>
      </c>
      <c r="M36" s="318">
        <f t="shared" si="18"/>
        <v>0</v>
      </c>
      <c r="N36" s="721">
        <f t="shared" si="18"/>
        <v>0</v>
      </c>
      <c r="O36" s="376" t="str">
        <f>IF(J36=0,"",N36/J36*100)</f>
        <v/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93</v>
      </c>
      <c r="I37" s="15"/>
      <c r="J37" s="15"/>
      <c r="K37" s="565"/>
      <c r="L37" s="582"/>
      <c r="M37" s="318"/>
      <c r="N37" s="721"/>
      <c r="O37" s="383"/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94</v>
      </c>
      <c r="I38" s="30"/>
      <c r="J38" s="30"/>
      <c r="K38" s="636"/>
      <c r="L38" s="580"/>
      <c r="M38" s="309"/>
      <c r="N38" s="720"/>
      <c r="O38" s="378"/>
    </row>
    <row r="39" spans="1:15" ht="8.1" customHeight="1" thickBot="1">
      <c r="B39" s="16"/>
      <c r="C39" s="17"/>
      <c r="D39" s="17"/>
      <c r="E39" s="17"/>
      <c r="F39" s="337"/>
      <c r="G39" s="363"/>
      <c r="H39" s="17"/>
      <c r="I39" s="17"/>
      <c r="J39" s="17"/>
      <c r="K39" s="27"/>
      <c r="L39" s="16"/>
      <c r="M39" s="17"/>
      <c r="N39" s="730"/>
      <c r="O39" s="379"/>
    </row>
    <row r="40" spans="1:15" ht="12.95" customHeight="1"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13</vt:i4>
      </vt:variant>
    </vt:vector>
  </HeadingPairs>
  <TitlesOfParts>
    <vt:vector size="59" baseType="lpstr">
      <vt:lpstr>Naslovnica</vt:lpstr>
      <vt:lpstr>Sadrzaj</vt:lpstr>
      <vt:lpstr>Uvod</vt:lpstr>
      <vt:lpstr>Prihodi</vt:lpstr>
      <vt:lpstr>Rashodi</vt:lpstr>
      <vt:lpstr>1</vt:lpstr>
      <vt:lpstr>3</vt:lpstr>
      <vt:lpstr>4 (S)</vt:lpstr>
      <vt:lpstr>5</vt:lpstr>
      <vt:lpstr>6</vt:lpstr>
      <vt:lpstr>7</vt:lpstr>
      <vt:lpstr>4 (N)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2020-12-14T08:17:18Z</cp:lastPrinted>
  <dcterms:created xsi:type="dcterms:W3CDTF">2004-07-23T11:14:23Z</dcterms:created>
  <dcterms:modified xsi:type="dcterms:W3CDTF">2020-12-21T08:11:19Z</dcterms:modified>
</cp:coreProperties>
</file>