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5670" windowWidth="28845" windowHeight="7245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 (S)" sheetId="65066" r:id="rId9"/>
    <sheet name="5" sheetId="65067" r:id="rId10"/>
    <sheet name="6" sheetId="65099" r:id="rId11"/>
    <sheet name="7" sheetId="65123" r:id="rId12"/>
    <sheet name="4 (N)" sheetId="65140" r:id="rId13"/>
    <sheet name="8" sheetId="65068" r:id="rId14"/>
    <sheet name="9" sheetId="65069" r:id="rId15"/>
    <sheet name="10" sheetId="65070" r:id="rId16"/>
    <sheet name="11" sheetId="65071" r:id="rId17"/>
    <sheet name="12" sheetId="65074" r:id="rId18"/>
    <sheet name="13" sheetId="65100" r:id="rId19"/>
    <sheet name="14" sheetId="65115" r:id="rId20"/>
    <sheet name="15" sheetId="65075" r:id="rId21"/>
    <sheet name="16" sheetId="65076" r:id="rId22"/>
    <sheet name="17" sheetId="65077" r:id="rId23"/>
    <sheet name="18" sheetId="65078" r:id="rId24"/>
    <sheet name="19" sheetId="65079" r:id="rId25"/>
    <sheet name="20" sheetId="65080" r:id="rId26"/>
    <sheet name="21" sheetId="65082" r:id="rId27"/>
    <sheet name="22" sheetId="65081" r:id="rId28"/>
    <sheet name="23" sheetId="65122" r:id="rId29"/>
    <sheet name="24" sheetId="65083" r:id="rId30"/>
    <sheet name="25" sheetId="65084" r:id="rId31"/>
    <sheet name="26" sheetId="65085" r:id="rId32"/>
    <sheet name="27" sheetId="65086" r:id="rId33"/>
    <sheet name="28" sheetId="65087" r:id="rId34"/>
    <sheet name="29" sheetId="65088" r:id="rId35"/>
    <sheet name="30" sheetId="65089" r:id="rId36"/>
    <sheet name="31" sheetId="65093" r:id="rId37"/>
    <sheet name="32" sheetId="65094" r:id="rId38"/>
    <sheet name="33" sheetId="65095" r:id="rId39"/>
    <sheet name="34" sheetId="65096" r:id="rId40"/>
    <sheet name="35" sheetId="65097" r:id="rId41"/>
    <sheet name="36" sheetId="65098" r:id="rId42"/>
    <sheet name="37" sheetId="65105" r:id="rId43"/>
    <sheet name="Sumarno" sheetId="65124" r:id="rId44"/>
    <sheet name="Funkcijska" sheetId="65137" r:id="rId45"/>
    <sheet name="Kap.pror." sheetId="65125" r:id="rId46"/>
    <sheet name="Kraj" sheetId="65061" r:id="rId47"/>
  </sheets>
  <definedNames>
    <definedName name="ACCOUNTEDPERIODTYPE1" localSheetId="12">#REF!</definedName>
    <definedName name="ACCOUNTEDPERIODTYPE1">#REF!</definedName>
    <definedName name="APPSUSERNAME1" localSheetId="12">#REF!</definedName>
    <definedName name="APPSUSERNAME1">#REF!</definedName>
    <definedName name="BUDGETORGID1" localSheetId="12">#REF!</definedName>
    <definedName name="BUDGETORGID1">#REF!</definedName>
    <definedName name="BUDGETORGNAME1" localSheetId="12">#REF!</definedName>
    <definedName name="BUDGETORGNAME1">#REF!</definedName>
    <definedName name="CHARTOFACCOUNTSID1" localSheetId="12">#REF!</definedName>
    <definedName name="CHARTOFACCOUNTSID1">#REF!</definedName>
    <definedName name="CONNECTSTRING1" localSheetId="12">#REF!</definedName>
    <definedName name="CONNECTSTRING1">#REF!</definedName>
    <definedName name="CREATESUMMARYJNLS1" localSheetId="12">#REF!</definedName>
    <definedName name="CREATESUMMARYJNLS1">#REF!</definedName>
    <definedName name="CRITERIACOLUMN1" localSheetId="12">#REF!</definedName>
    <definedName name="CRITERIACOLUMN1">#REF!</definedName>
    <definedName name="DBNAME1" localSheetId="12">#REF!</definedName>
    <definedName name="DBNAME1">#REF!</definedName>
    <definedName name="DBUSERNAME1" localSheetId="12">#REF!</definedName>
    <definedName name="DBUSERNAME1">#REF!</definedName>
    <definedName name="DELETELOGICTYPE1" localSheetId="12">#REF!</definedName>
    <definedName name="DELETELOGICTYPE1">#REF!</definedName>
    <definedName name="FFAPPCOLNAME1_1" localSheetId="12">#REF!</definedName>
    <definedName name="FFAPPCOLNAME1_1">#REF!</definedName>
    <definedName name="FFAPPCOLNAME2_1" localSheetId="12">#REF!</definedName>
    <definedName name="FFAPPCOLNAME2_1">#REF!</definedName>
    <definedName name="FFAPPCOLNAME3_1" localSheetId="12">#REF!</definedName>
    <definedName name="FFAPPCOLNAME3_1">#REF!</definedName>
    <definedName name="FFAPPCOLNAME4_1" localSheetId="12">#REF!</definedName>
    <definedName name="FFAPPCOLNAME4_1">#REF!</definedName>
    <definedName name="FFAPPCOLNAME5_1" localSheetId="12">#REF!</definedName>
    <definedName name="FFAPPCOLNAME5_1">#REF!</definedName>
    <definedName name="FFAPPCOLNAME6_1" localSheetId="12">#REF!</definedName>
    <definedName name="FFAPPCOLNAME6_1">#REF!</definedName>
    <definedName name="FFSEGMENT1_1" localSheetId="12">#REF!</definedName>
    <definedName name="FFSEGMENT1_1">#REF!</definedName>
    <definedName name="FFSEGMENT2_1" localSheetId="12">#REF!</definedName>
    <definedName name="FFSEGMENT2_1">#REF!</definedName>
    <definedName name="FFSEGMENT3_1" localSheetId="12">#REF!</definedName>
    <definedName name="FFSEGMENT3_1">#REF!</definedName>
    <definedName name="FFSEGMENT4_1" localSheetId="12">#REF!</definedName>
    <definedName name="FFSEGMENT4_1">#REF!</definedName>
    <definedName name="FFSEGMENT5_1" localSheetId="12">#REF!</definedName>
    <definedName name="FFSEGMENT5_1">#REF!</definedName>
    <definedName name="FFSEGMENT6_1" localSheetId="12">#REF!</definedName>
    <definedName name="FFSEGMENT6_1">#REF!</definedName>
    <definedName name="FFSEGSEPARATOR1" localSheetId="12">#REF!</definedName>
    <definedName name="FFSEGSEPARATOR1">#REF!</definedName>
    <definedName name="FIELDNAMECOLUMN1" localSheetId="12">#REF!</definedName>
    <definedName name="FIELDNAMECOLUMN1">#REF!</definedName>
    <definedName name="FIELDNAMEROW1" localSheetId="12">#REF!</definedName>
    <definedName name="FIELDNAMEROW1">#REF!</definedName>
    <definedName name="FIRSTDATAROW1" localSheetId="12">#REF!</definedName>
    <definedName name="FIRSTDATAROW1">#REF!</definedName>
    <definedName name="FNDNAM1" localSheetId="12">#REF!</definedName>
    <definedName name="FNDNAM1">#REF!</definedName>
    <definedName name="FNDUSERID1" localSheetId="12">#REF!</definedName>
    <definedName name="FNDUSERID1">#REF!</definedName>
    <definedName name="FUNCTIONALCURRENCY1" localSheetId="12">#REF!</definedName>
    <definedName name="FUNCTIONALCURRENCY1">#REF!</definedName>
    <definedName name="GWYUID1" localSheetId="12">#REF!</definedName>
    <definedName name="GWYUID1">#REF!</definedName>
    <definedName name="IMPORTDFF1" localSheetId="12">#REF!</definedName>
    <definedName name="IMPORTDFF1">#REF!</definedName>
    <definedName name="_xlnm.Print_Titles" localSheetId="44">Funkcijska!$1:$6</definedName>
    <definedName name="_xlnm.Print_Titles" localSheetId="4">Prihodi!$2:$4</definedName>
    <definedName name="_xlnm.Print_Titles" localSheetId="5">Rashodi!$1:$6</definedName>
    <definedName name="LABELTEXTCOLUMN1" localSheetId="12">#REF!</definedName>
    <definedName name="LABELTEXTCOLUMN1">#REF!</definedName>
    <definedName name="LABELTEXTROW1" localSheetId="12">#REF!</definedName>
    <definedName name="LABELTEXTROW1">#REF!</definedName>
    <definedName name="NOOFFFSEGMENTS1" localSheetId="12">#REF!</definedName>
    <definedName name="NOOFFFSEGMENTS1">#REF!</definedName>
    <definedName name="NUMBEROFDETAILFIELDS1" localSheetId="12">#REF!</definedName>
    <definedName name="NUMBEROFDETAILFIELDS1">#REF!</definedName>
    <definedName name="NUMBEROFHEADERFIELDS1" localSheetId="12">#REF!</definedName>
    <definedName name="NUMBEROFHEADERFIELDS1">#REF!</definedName>
    <definedName name="PERIODSETNAME1" localSheetId="12">#REF!</definedName>
    <definedName name="PERIODSETNAME1">#REF!</definedName>
    <definedName name="_xlnm.Print_Area" localSheetId="20">'15'!$A$1:$P$46</definedName>
    <definedName name="_xlnm.Print_Area" localSheetId="21">'16'!$A$1:$P$58</definedName>
    <definedName name="_xlnm.Print_Area" localSheetId="22">'17'!$A$1:$P$43</definedName>
    <definedName name="_xlnm.Print_Area" localSheetId="26">'21'!$A$1:$P$36</definedName>
    <definedName name="_xlnm.Print_Area" localSheetId="44">Funkcijska!$A$7:$G$106</definedName>
    <definedName name="_xlnm.Print_Area" localSheetId="46">Kraj!$A$1:$H$23</definedName>
    <definedName name="_xlnm.Print_Area" localSheetId="4">Prihodi!$B$4:$I$248</definedName>
    <definedName name="_xlnm.Print_Area" localSheetId="5">Rashodi!$C$7:$M$130</definedName>
    <definedName name="_xlnm.Print_Area" localSheetId="1">Sadrzaj!$A$1:$U$33</definedName>
    <definedName name="_xlnm.Print_Area" localSheetId="2">Uvod!$B$1:$I$44</definedName>
    <definedName name="POSTERRORSTOSUSP1" localSheetId="12">#REF!</definedName>
    <definedName name="POSTERRORSTOSUSP1">#REF!</definedName>
    <definedName name="RESPONSIBILITYAPPLICATIONID1" localSheetId="12">#REF!</definedName>
    <definedName name="RESPONSIBILITYAPPLICATIONID1">#REF!</definedName>
    <definedName name="RESPONSIBILITYID1" localSheetId="12">#REF!</definedName>
    <definedName name="RESPONSIBILITYID1">#REF!</definedName>
    <definedName name="RESPONSIBILITYNAME1" localSheetId="12">#REF!</definedName>
    <definedName name="RESPONSIBILITYNAME1">#REF!</definedName>
    <definedName name="ROWSTOUPLOAD1" localSheetId="12">#REF!</definedName>
    <definedName name="ROWSTOUPLOAD1">#REF!</definedName>
    <definedName name="SETOFBOOKSID1" localSheetId="12">#REF!</definedName>
    <definedName name="SETOFBOOKSID1">#REF!</definedName>
    <definedName name="SETOFBOOKSNAME1" localSheetId="12">#REF!</definedName>
    <definedName name="SETOFBOOKSNAME1">#REF!</definedName>
    <definedName name="STARTJOURNALIMPORT1" localSheetId="12">#REF!</definedName>
    <definedName name="STARTJOURNALIMPORT1">#REF!</definedName>
    <definedName name="TEMPLATENUMBER1" localSheetId="12">#REF!</definedName>
    <definedName name="TEMPLATENUMBER1">#REF!</definedName>
    <definedName name="TEMPLATESTYLE1" localSheetId="12">#REF!</definedName>
    <definedName name="TEMPLATESTYLE1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L82" i="300"/>
  <c r="L83"/>
  <c r="L64"/>
  <c r="L65"/>
  <c r="H212" i="65139"/>
  <c r="I54"/>
  <c r="I51"/>
  <c r="I50"/>
  <c r="I49"/>
  <c r="I55"/>
  <c r="H54"/>
  <c r="H55"/>
  <c r="H50"/>
  <c r="H51"/>
  <c r="L30" i="65087"/>
  <c r="L20" i="65083"/>
  <c r="L30" i="65081"/>
  <c r="M30"/>
  <c r="L47" i="65080" l="1"/>
  <c r="M47"/>
  <c r="L46" l="1"/>
  <c r="G174" i="65139"/>
  <c r="F98" l="1"/>
  <c r="F89"/>
  <c r="G142"/>
  <c r="G141"/>
  <c r="G140"/>
  <c r="G137"/>
  <c r="G55"/>
  <c r="G115"/>
  <c r="G109"/>
  <c r="G89"/>
  <c r="L31" i="65077"/>
  <c r="L29"/>
  <c r="G138" i="65139" l="1"/>
  <c r="G51"/>
  <c r="E242"/>
  <c r="E240"/>
  <c r="E239" s="1"/>
  <c r="E238" s="1"/>
  <c r="E237" s="1"/>
  <c r="E231"/>
  <c r="E226"/>
  <c r="E224"/>
  <c r="E223"/>
  <c r="E221"/>
  <c r="E218"/>
  <c r="E208"/>
  <c r="E206"/>
  <c r="E205" s="1"/>
  <c r="E199"/>
  <c r="E198" s="1"/>
  <c r="E197" s="1"/>
  <c r="E192"/>
  <c r="E191" s="1"/>
  <c r="E187"/>
  <c r="E185"/>
  <c r="E178"/>
  <c r="E177" s="1"/>
  <c r="E176" s="1"/>
  <c r="E175" s="1"/>
  <c r="E172"/>
  <c r="E170"/>
  <c r="E169"/>
  <c r="E168" s="1"/>
  <c r="E167" s="1"/>
  <c r="E159"/>
  <c r="E158" s="1"/>
  <c r="E152"/>
  <c r="E143"/>
  <c r="E136"/>
  <c r="E135" s="1"/>
  <c r="E101" s="1"/>
  <c r="E132"/>
  <c r="E130"/>
  <c r="E128"/>
  <c r="E126"/>
  <c r="E125"/>
  <c r="E123"/>
  <c r="E118"/>
  <c r="E108"/>
  <c r="E107"/>
  <c r="E102"/>
  <c r="E96"/>
  <c r="E95"/>
  <c r="E92"/>
  <c r="E87"/>
  <c r="E85" s="1"/>
  <c r="E84" s="1"/>
  <c r="E82"/>
  <c r="E80"/>
  <c r="E79" s="1"/>
  <c r="E77"/>
  <c r="E75"/>
  <c r="E72"/>
  <c r="E68"/>
  <c r="E64"/>
  <c r="E63" s="1"/>
  <c r="E57"/>
  <c r="E56"/>
  <c r="E53"/>
  <c r="E49"/>
  <c r="E48" s="1"/>
  <c r="E47" s="1"/>
  <c r="E39"/>
  <c r="E38"/>
  <c r="E36"/>
  <c r="E34"/>
  <c r="E29"/>
  <c r="E28"/>
  <c r="E21"/>
  <c r="E20"/>
  <c r="E17"/>
  <c r="E16"/>
  <c r="E13"/>
  <c r="E7"/>
  <c r="E6" s="1"/>
  <c r="E5" s="1"/>
  <c r="I244"/>
  <c r="H244"/>
  <c r="I9"/>
  <c r="H9"/>
  <c r="G218"/>
  <c r="F218"/>
  <c r="D218"/>
  <c r="I219"/>
  <c r="H219"/>
  <c r="I156"/>
  <c r="H156"/>
  <c r="G143"/>
  <c r="F143"/>
  <c r="D143"/>
  <c r="I151"/>
  <c r="H151"/>
  <c r="F152"/>
  <c r="E62" l="1"/>
  <c r="E165" s="1"/>
  <c r="E235" s="1"/>
  <c r="E196"/>
  <c r="L20" i="65080"/>
  <c r="L31" i="65075"/>
  <c r="J29" i="65105"/>
  <c r="J28"/>
  <c r="J26"/>
  <c r="J22"/>
  <c r="J16" s="1"/>
  <c r="J13"/>
  <c r="J11"/>
  <c r="J8"/>
  <c r="J29" i="65098"/>
  <c r="J28"/>
  <c r="J26"/>
  <c r="J22"/>
  <c r="J16" s="1"/>
  <c r="J13"/>
  <c r="J11"/>
  <c r="J8"/>
  <c r="J29" i="65097"/>
  <c r="J28" s="1"/>
  <c r="J26"/>
  <c r="J24"/>
  <c r="J22"/>
  <c r="J21"/>
  <c r="J18"/>
  <c r="J16" s="1"/>
  <c r="J13"/>
  <c r="J11"/>
  <c r="J8"/>
  <c r="J28" i="65096"/>
  <c r="J26"/>
  <c r="J22"/>
  <c r="J16"/>
  <c r="J13"/>
  <c r="J11"/>
  <c r="J8" s="1"/>
  <c r="J32" i="65095"/>
  <c r="J28"/>
  <c r="J26"/>
  <c r="J22"/>
  <c r="J16" s="1"/>
  <c r="J13"/>
  <c r="J11"/>
  <c r="J8"/>
  <c r="J29" i="65094"/>
  <c r="J28" s="1"/>
  <c r="J26"/>
  <c r="J24"/>
  <c r="J22"/>
  <c r="J21"/>
  <c r="J16" s="1"/>
  <c r="J13"/>
  <c r="J11"/>
  <c r="J8"/>
  <c r="J31" i="65093"/>
  <c r="J28"/>
  <c r="J26"/>
  <c r="J24"/>
  <c r="J22"/>
  <c r="J21"/>
  <c r="J18"/>
  <c r="J16"/>
  <c r="J13"/>
  <c r="J11"/>
  <c r="J8" s="1"/>
  <c r="J29" i="65088"/>
  <c r="J28"/>
  <c r="J26"/>
  <c r="J24"/>
  <c r="J22"/>
  <c r="J16"/>
  <c r="J13"/>
  <c r="J11"/>
  <c r="J8" s="1"/>
  <c r="J28" i="65087"/>
  <c r="J26"/>
  <c r="J22"/>
  <c r="J16"/>
  <c r="J13"/>
  <c r="J11"/>
  <c r="J8" s="1"/>
  <c r="J28" i="65086"/>
  <c r="J26"/>
  <c r="J24"/>
  <c r="J22"/>
  <c r="J21"/>
  <c r="J16"/>
  <c r="J13"/>
  <c r="J11"/>
  <c r="J8" s="1"/>
  <c r="J28" i="65085"/>
  <c r="J26"/>
  <c r="J24"/>
  <c r="J22"/>
  <c r="J16" s="1"/>
  <c r="J13"/>
  <c r="J11"/>
  <c r="J8"/>
  <c r="J28" i="65084"/>
  <c r="J26"/>
  <c r="J24"/>
  <c r="J22"/>
  <c r="J16" s="1"/>
  <c r="J13"/>
  <c r="J11"/>
  <c r="J8"/>
  <c r="J28" i="65083"/>
  <c r="J26"/>
  <c r="J24"/>
  <c r="J22"/>
  <c r="J16" s="1"/>
  <c r="J13"/>
  <c r="J11"/>
  <c r="J8"/>
  <c r="J29" i="65122"/>
  <c r="J28"/>
  <c r="J26"/>
  <c r="J24"/>
  <c r="J22"/>
  <c r="J16"/>
  <c r="J13"/>
  <c r="J11"/>
  <c r="J8" s="1"/>
  <c r="J28" i="65081"/>
  <c r="J26"/>
  <c r="J24"/>
  <c r="J22"/>
  <c r="J16" s="1"/>
  <c r="J13"/>
  <c r="J11"/>
  <c r="J8"/>
  <c r="J28" i="65082"/>
  <c r="J26"/>
  <c r="J24"/>
  <c r="J22"/>
  <c r="J16" s="1"/>
  <c r="J13"/>
  <c r="J11"/>
  <c r="J8"/>
  <c r="J49" i="65080"/>
  <c r="J45"/>
  <c r="J42"/>
  <c r="J30"/>
  <c r="J28"/>
  <c r="J25"/>
  <c r="J24"/>
  <c r="J22"/>
  <c r="J21"/>
  <c r="J18"/>
  <c r="J16"/>
  <c r="J13"/>
  <c r="J11"/>
  <c r="J8" s="1"/>
  <c r="J33" i="65078"/>
  <c r="J29"/>
  <c r="J27"/>
  <c r="J25"/>
  <c r="J22"/>
  <c r="J21"/>
  <c r="J20"/>
  <c r="J18"/>
  <c r="J16" s="1"/>
  <c r="J13"/>
  <c r="J11"/>
  <c r="J8"/>
  <c r="J33" i="65077"/>
  <c r="J28"/>
  <c r="J26"/>
  <c r="J24"/>
  <c r="J22"/>
  <c r="J21"/>
  <c r="J18"/>
  <c r="J16"/>
  <c r="J13"/>
  <c r="J11"/>
  <c r="J8" s="1"/>
  <c r="J47" i="65076"/>
  <c r="J43"/>
  <c r="J37"/>
  <c r="J32"/>
  <c r="J30"/>
  <c r="J25"/>
  <c r="J24"/>
  <c r="J21"/>
  <c r="J19" s="1"/>
  <c r="J16"/>
  <c r="J14"/>
  <c r="J11"/>
  <c r="J8"/>
  <c r="J36" i="65075"/>
  <c r="J33"/>
  <c r="J29"/>
  <c r="J26"/>
  <c r="J24"/>
  <c r="J22"/>
  <c r="J21"/>
  <c r="J18"/>
  <c r="J16" s="1"/>
  <c r="J13"/>
  <c r="J11"/>
  <c r="J8"/>
  <c r="J29" i="65115"/>
  <c r="J28"/>
  <c r="J26"/>
  <c r="J24"/>
  <c r="J22"/>
  <c r="J21"/>
  <c r="J18"/>
  <c r="J16"/>
  <c r="J13"/>
  <c r="J11"/>
  <c r="J8" s="1"/>
  <c r="J29" i="65100"/>
  <c r="J28"/>
  <c r="J26"/>
  <c r="J24"/>
  <c r="J22"/>
  <c r="J21"/>
  <c r="J18"/>
  <c r="J16"/>
  <c r="J13"/>
  <c r="J11"/>
  <c r="J8" s="1"/>
  <c r="J29" i="65074"/>
  <c r="J28"/>
  <c r="J26"/>
  <c r="J24"/>
  <c r="J23"/>
  <c r="J22"/>
  <c r="J21"/>
  <c r="J18"/>
  <c r="J16" s="1"/>
  <c r="J13"/>
  <c r="J11"/>
  <c r="J8"/>
  <c r="J30" i="65071"/>
  <c r="J29"/>
  <c r="J26"/>
  <c r="J22"/>
  <c r="J16" s="1"/>
  <c r="J13"/>
  <c r="J11"/>
  <c r="J8"/>
  <c r="J28" i="65069"/>
  <c r="J26"/>
  <c r="J16" s="1"/>
  <c r="J13"/>
  <c r="J11"/>
  <c r="J8"/>
  <c r="J29" i="65068"/>
  <c r="J28" s="1"/>
  <c r="J26"/>
  <c r="J22"/>
  <c r="J16" s="1"/>
  <c r="J13"/>
  <c r="J11"/>
  <c r="J8"/>
  <c r="J29" i="65123"/>
  <c r="J28"/>
  <c r="J26"/>
  <c r="J24"/>
  <c r="J22"/>
  <c r="J21"/>
  <c r="J18"/>
  <c r="J16"/>
  <c r="J13"/>
  <c r="J11"/>
  <c r="J8" s="1"/>
  <c r="J29" i="65099"/>
  <c r="J28"/>
  <c r="J26"/>
  <c r="J24"/>
  <c r="J22"/>
  <c r="J21"/>
  <c r="J18"/>
  <c r="J16"/>
  <c r="J13"/>
  <c r="J11"/>
  <c r="J8" s="1"/>
  <c r="J29" i="65067"/>
  <c r="J28" s="1"/>
  <c r="J26"/>
  <c r="J24"/>
  <c r="J23"/>
  <c r="J22"/>
  <c r="J21"/>
  <c r="J20"/>
  <c r="J19"/>
  <c r="J18"/>
  <c r="J16" s="1"/>
  <c r="J13"/>
  <c r="J11"/>
  <c r="J8" s="1"/>
  <c r="J49" i="65065"/>
  <c r="J46"/>
  <c r="J34"/>
  <c r="J21"/>
  <c r="J18"/>
  <c r="J13"/>
  <c r="J8"/>
  <c r="E69" i="65137"/>
  <c r="E76"/>
  <c r="I211" i="65139" l="1"/>
  <c r="H211"/>
  <c r="G178"/>
  <c r="F178"/>
  <c r="D178"/>
  <c r="I179"/>
  <c r="H179"/>
  <c r="I29" i="65105" l="1"/>
  <c r="I28"/>
  <c r="I26"/>
  <c r="I22"/>
  <c r="I16" s="1"/>
  <c r="I13"/>
  <c r="I11"/>
  <c r="I8"/>
  <c r="I29" i="65098"/>
  <c r="I28"/>
  <c r="I26"/>
  <c r="I22"/>
  <c r="I16" s="1"/>
  <c r="I13"/>
  <c r="I11"/>
  <c r="I8"/>
  <c r="I29" i="65097"/>
  <c r="I28"/>
  <c r="I26"/>
  <c r="I24"/>
  <c r="I22"/>
  <c r="I21"/>
  <c r="I18"/>
  <c r="I16"/>
  <c r="I13"/>
  <c r="I11"/>
  <c r="I8" s="1"/>
  <c r="I28" i="65096"/>
  <c r="I26"/>
  <c r="I22"/>
  <c r="I16"/>
  <c r="I13"/>
  <c r="I11"/>
  <c r="I8" s="1"/>
  <c r="I32" i="65095"/>
  <c r="I28"/>
  <c r="I26"/>
  <c r="I22"/>
  <c r="I16" s="1"/>
  <c r="I13"/>
  <c r="I11"/>
  <c r="I8"/>
  <c r="I29" i="65094"/>
  <c r="I28"/>
  <c r="I26"/>
  <c r="I24"/>
  <c r="I22"/>
  <c r="I21"/>
  <c r="I16" s="1"/>
  <c r="I13"/>
  <c r="I11"/>
  <c r="I8"/>
  <c r="I31" i="65093"/>
  <c r="I28"/>
  <c r="I26"/>
  <c r="I24"/>
  <c r="I22"/>
  <c r="I21"/>
  <c r="I18"/>
  <c r="I16" s="1"/>
  <c r="I13"/>
  <c r="I11"/>
  <c r="I8"/>
  <c r="I29" i="65089"/>
  <c r="I28"/>
  <c r="I26"/>
  <c r="I24"/>
  <c r="I22"/>
  <c r="I16"/>
  <c r="I13"/>
  <c r="I11"/>
  <c r="I8" s="1"/>
  <c r="I29" i="65088"/>
  <c r="I28"/>
  <c r="I26"/>
  <c r="I24"/>
  <c r="I22"/>
  <c r="I16"/>
  <c r="I13"/>
  <c r="I11"/>
  <c r="I8" s="1"/>
  <c r="I28" i="65087"/>
  <c r="I26"/>
  <c r="I22"/>
  <c r="I16" s="1"/>
  <c r="I13"/>
  <c r="I11"/>
  <c r="I8"/>
  <c r="I28" i="65086"/>
  <c r="I26"/>
  <c r="I24"/>
  <c r="I22"/>
  <c r="I21"/>
  <c r="I16"/>
  <c r="I13"/>
  <c r="I11"/>
  <c r="I8" s="1"/>
  <c r="I28" i="65085"/>
  <c r="I26"/>
  <c r="I24"/>
  <c r="I22"/>
  <c r="I16"/>
  <c r="I13"/>
  <c r="I11"/>
  <c r="I8" s="1"/>
  <c r="I28" i="65084"/>
  <c r="I26"/>
  <c r="I24"/>
  <c r="I22"/>
  <c r="I16"/>
  <c r="I13"/>
  <c r="I11"/>
  <c r="I8"/>
  <c r="I28" i="65083"/>
  <c r="I26"/>
  <c r="I24"/>
  <c r="I22"/>
  <c r="I16" s="1"/>
  <c r="I13"/>
  <c r="I11"/>
  <c r="I8"/>
  <c r="I29" i="65122"/>
  <c r="I28"/>
  <c r="I26"/>
  <c r="I24"/>
  <c r="I22"/>
  <c r="I16"/>
  <c r="I13"/>
  <c r="I11"/>
  <c r="I8" s="1"/>
  <c r="I28" i="65081"/>
  <c r="I26"/>
  <c r="I24"/>
  <c r="I22"/>
  <c r="I16" s="1"/>
  <c r="I13"/>
  <c r="I11"/>
  <c r="I8"/>
  <c r="I28" i="65082"/>
  <c r="I26"/>
  <c r="I24"/>
  <c r="I22"/>
  <c r="I16" s="1"/>
  <c r="I13"/>
  <c r="I11"/>
  <c r="I8"/>
  <c r="I49" i="65080"/>
  <c r="I45"/>
  <c r="I42"/>
  <c r="I30"/>
  <c r="I28"/>
  <c r="I25"/>
  <c r="I24"/>
  <c r="I22"/>
  <c r="I21"/>
  <c r="I18"/>
  <c r="I16" s="1"/>
  <c r="I13"/>
  <c r="I11"/>
  <c r="I8"/>
  <c r="I38" i="65079"/>
  <c r="I34"/>
  <c r="I28"/>
  <c r="I26"/>
  <c r="I16"/>
  <c r="I13"/>
  <c r="I11"/>
  <c r="I8" s="1"/>
  <c r="I33" i="65078"/>
  <c r="I29"/>
  <c r="I27"/>
  <c r="I25"/>
  <c r="I22"/>
  <c r="I21"/>
  <c r="I20"/>
  <c r="I18"/>
  <c r="I16"/>
  <c r="I13"/>
  <c r="I11"/>
  <c r="I8" s="1"/>
  <c r="I33" i="65077"/>
  <c r="I28"/>
  <c r="I26"/>
  <c r="I24"/>
  <c r="I22"/>
  <c r="I21"/>
  <c r="I18"/>
  <c r="I16"/>
  <c r="I13"/>
  <c r="I11"/>
  <c r="I8" s="1"/>
  <c r="I47" i="65076"/>
  <c r="I43"/>
  <c r="I37"/>
  <c r="I32"/>
  <c r="I30"/>
  <c r="I25"/>
  <c r="I24"/>
  <c r="I21"/>
  <c r="I19" s="1"/>
  <c r="I16"/>
  <c r="I14"/>
  <c r="I11"/>
  <c r="I8"/>
  <c r="I36" i="65075"/>
  <c r="I33"/>
  <c r="I29"/>
  <c r="I26"/>
  <c r="I24"/>
  <c r="I22"/>
  <c r="I21"/>
  <c r="I18"/>
  <c r="I16" s="1"/>
  <c r="I13"/>
  <c r="I11"/>
  <c r="I8"/>
  <c r="I29" i="65115"/>
  <c r="I28"/>
  <c r="I26"/>
  <c r="I24"/>
  <c r="I22"/>
  <c r="I21"/>
  <c r="I18"/>
  <c r="I16"/>
  <c r="I13"/>
  <c r="I11"/>
  <c r="I8" s="1"/>
  <c r="I29" i="65100"/>
  <c r="I28" s="1"/>
  <c r="I26"/>
  <c r="I24"/>
  <c r="I22"/>
  <c r="I21"/>
  <c r="I18"/>
  <c r="I16" s="1"/>
  <c r="I13"/>
  <c r="I11"/>
  <c r="I8"/>
  <c r="I29" i="65074"/>
  <c r="I28"/>
  <c r="I26"/>
  <c r="I24"/>
  <c r="I23"/>
  <c r="I22"/>
  <c r="I21"/>
  <c r="I18"/>
  <c r="I16" s="1"/>
  <c r="I13"/>
  <c r="I11"/>
  <c r="I8"/>
  <c r="I30" i="65071"/>
  <c r="I29"/>
  <c r="I26"/>
  <c r="I22"/>
  <c r="I16" s="1"/>
  <c r="I13"/>
  <c r="I11"/>
  <c r="I8"/>
  <c r="I31" i="65070"/>
  <c r="I30"/>
  <c r="I28"/>
  <c r="I24"/>
  <c r="I22"/>
  <c r="I21"/>
  <c r="I18"/>
  <c r="I16"/>
  <c r="I13"/>
  <c r="I11"/>
  <c r="I8" s="1"/>
  <c r="I28" i="65069"/>
  <c r="I26"/>
  <c r="I16" s="1"/>
  <c r="I13"/>
  <c r="I11"/>
  <c r="I8"/>
  <c r="I29" i="65068"/>
  <c r="I28"/>
  <c r="I26"/>
  <c r="I22"/>
  <c r="I16" s="1"/>
  <c r="I13"/>
  <c r="I11"/>
  <c r="I8"/>
  <c r="I32" i="65140"/>
  <c r="I31"/>
  <c r="I28"/>
  <c r="I26"/>
  <c r="I24"/>
  <c r="I22"/>
  <c r="I21"/>
  <c r="I20"/>
  <c r="I18"/>
  <c r="I16"/>
  <c r="I13"/>
  <c r="I11"/>
  <c r="I8" s="1"/>
  <c r="I29" i="65123"/>
  <c r="I28"/>
  <c r="I26"/>
  <c r="I24"/>
  <c r="I22"/>
  <c r="I21"/>
  <c r="I18"/>
  <c r="I16"/>
  <c r="I13"/>
  <c r="I11"/>
  <c r="I8"/>
  <c r="I29" i="65099"/>
  <c r="I28"/>
  <c r="I26"/>
  <c r="I24"/>
  <c r="I22"/>
  <c r="I21"/>
  <c r="I18"/>
  <c r="I16"/>
  <c r="I13"/>
  <c r="I11"/>
  <c r="I8" s="1"/>
  <c r="I29" i="65067"/>
  <c r="I28"/>
  <c r="I26"/>
  <c r="I24"/>
  <c r="I23"/>
  <c r="I22"/>
  <c r="I21"/>
  <c r="I20"/>
  <c r="I19"/>
  <c r="I18"/>
  <c r="I16" s="1"/>
  <c r="I13"/>
  <c r="I11"/>
  <c r="I8"/>
  <c r="I49" i="65065"/>
  <c r="I46"/>
  <c r="I34"/>
  <c r="I21"/>
  <c r="I18"/>
  <c r="I13"/>
  <c r="I8"/>
  <c r="I28" i="16"/>
  <c r="I26"/>
  <c r="I16"/>
  <c r="I13"/>
  <c r="I11"/>
  <c r="I8" s="1"/>
  <c r="I245" i="65139" l="1"/>
  <c r="H245"/>
  <c r="G185" l="1"/>
  <c r="F185"/>
  <c r="D185"/>
  <c r="D242" l="1"/>
  <c r="D240"/>
  <c r="D231"/>
  <c r="D226"/>
  <c r="D224"/>
  <c r="D223" s="1"/>
  <c r="D221"/>
  <c r="D208"/>
  <c r="D199"/>
  <c r="D198" s="1"/>
  <c r="D197" s="1"/>
  <c r="D192"/>
  <c r="D191" s="1"/>
  <c r="D187"/>
  <c r="D177"/>
  <c r="D172"/>
  <c r="D169" s="1"/>
  <c r="D168" s="1"/>
  <c r="D170"/>
  <c r="D159"/>
  <c r="D158"/>
  <c r="D152"/>
  <c r="D136"/>
  <c r="D135" s="1"/>
  <c r="D132"/>
  <c r="D130"/>
  <c r="D128"/>
  <c r="D126"/>
  <c r="D123"/>
  <c r="D118"/>
  <c r="D108"/>
  <c r="D107" s="1"/>
  <c r="D102"/>
  <c r="D96"/>
  <c r="D95" s="1"/>
  <c r="D92"/>
  <c r="D87"/>
  <c r="D85" s="1"/>
  <c r="D82"/>
  <c r="D80"/>
  <c r="D77"/>
  <c r="D75"/>
  <c r="D72"/>
  <c r="D53"/>
  <c r="D49"/>
  <c r="G221"/>
  <c r="F221"/>
  <c r="I222"/>
  <c r="H222"/>
  <c r="I221"/>
  <c r="H221"/>
  <c r="G199"/>
  <c r="F199"/>
  <c r="I204"/>
  <c r="H204"/>
  <c r="I202"/>
  <c r="H202"/>
  <c r="D239" l="1"/>
  <c r="D238" s="1"/>
  <c r="D237" s="1"/>
  <c r="D176"/>
  <c r="D175" s="1"/>
  <c r="D125"/>
  <c r="D101"/>
  <c r="D84"/>
  <c r="D206"/>
  <c r="D205"/>
  <c r="D196" s="1"/>
  <c r="O32" i="65080"/>
  <c r="O33"/>
  <c r="I78" i="65139" l="1"/>
  <c r="H78"/>
  <c r="G77"/>
  <c r="F77"/>
  <c r="I77" s="1"/>
  <c r="H77"/>
  <c r="G242" l="1"/>
  <c r="F242"/>
  <c r="G224"/>
  <c r="F224"/>
  <c r="I224" s="1"/>
  <c r="H224"/>
  <c r="I225"/>
  <c r="H225"/>
  <c r="I184"/>
  <c r="H184"/>
  <c r="I183"/>
  <c r="H183"/>
  <c r="G170"/>
  <c r="F170"/>
  <c r="I171"/>
  <c r="H171"/>
  <c r="G136"/>
  <c r="G135" s="1"/>
  <c r="F136"/>
  <c r="F135" s="1"/>
  <c r="I137"/>
  <c r="H137"/>
  <c r="G132"/>
  <c r="F132"/>
  <c r="I133"/>
  <c r="H133"/>
  <c r="G96"/>
  <c r="G95" s="1"/>
  <c r="F96"/>
  <c r="F95" s="1"/>
  <c r="I97"/>
  <c r="H97"/>
  <c r="G87"/>
  <c r="F87"/>
  <c r="I88"/>
  <c r="H88"/>
  <c r="G53"/>
  <c r="F53"/>
  <c r="G49"/>
  <c r="F49"/>
  <c r="J116" i="300"/>
  <c r="I116"/>
  <c r="H116"/>
  <c r="G116"/>
  <c r="J115"/>
  <c r="I115"/>
  <c r="H115"/>
  <c r="G115"/>
  <c r="F116"/>
  <c r="F115"/>
  <c r="M116"/>
  <c r="M115"/>
  <c r="J101"/>
  <c r="I101"/>
  <c r="H101"/>
  <c r="G101"/>
  <c r="F101"/>
  <c r="J100"/>
  <c r="I100"/>
  <c r="H100"/>
  <c r="M100" s="1"/>
  <c r="G100"/>
  <c r="F100"/>
  <c r="M101"/>
  <c r="G48" i="65139" l="1"/>
  <c r="F48"/>
  <c r="D48"/>
  <c r="D47" s="1"/>
  <c r="M47" i="65076" l="1"/>
  <c r="L47"/>
  <c r="K47"/>
  <c r="N49"/>
  <c r="O49" s="1"/>
  <c r="P48"/>
  <c r="N48"/>
  <c r="M37"/>
  <c r="L37"/>
  <c r="K37"/>
  <c r="P39"/>
  <c r="N39"/>
  <c r="P38"/>
  <c r="N38"/>
  <c r="J41" i="300"/>
  <c r="I41"/>
  <c r="H41"/>
  <c r="M41" s="1"/>
  <c r="G41"/>
  <c r="F41"/>
  <c r="P27" i="65070"/>
  <c r="N27"/>
  <c r="O27" s="1"/>
  <c r="O48" i="65076" l="1"/>
  <c r="K115" i="300"/>
  <c r="L115" s="1"/>
  <c r="P49" i="65076"/>
  <c r="K116" i="300"/>
  <c r="L116" s="1"/>
  <c r="O39" i="65076"/>
  <c r="K101" i="300"/>
  <c r="L101" s="1"/>
  <c r="O38" i="65076"/>
  <c r="K100" i="300"/>
  <c r="L100" s="1"/>
  <c r="K41"/>
  <c r="L41" s="1"/>
  <c r="I34" i="304" l="1"/>
  <c r="M120" i="300"/>
  <c r="M113"/>
  <c r="M105"/>
  <c r="M98"/>
  <c r="M92"/>
  <c r="M46"/>
  <c r="M23"/>
  <c r="M20"/>
  <c r="M14"/>
  <c r="P31" i="65105"/>
  <c r="P29"/>
  <c r="P27"/>
  <c r="P26"/>
  <c r="P22"/>
  <c r="P15"/>
  <c r="P12"/>
  <c r="P11"/>
  <c r="P31" i="65098"/>
  <c r="P30"/>
  <c r="P29"/>
  <c r="P27"/>
  <c r="P26"/>
  <c r="P22"/>
  <c r="P15"/>
  <c r="P12"/>
  <c r="P11"/>
  <c r="P31" i="65097"/>
  <c r="P29"/>
  <c r="P27"/>
  <c r="P26"/>
  <c r="P24"/>
  <c r="P22"/>
  <c r="P21"/>
  <c r="P18"/>
  <c r="P15"/>
  <c r="P12"/>
  <c r="P11"/>
  <c r="P31" i="65096"/>
  <c r="P29"/>
  <c r="P27"/>
  <c r="P26"/>
  <c r="P22"/>
  <c r="P15"/>
  <c r="P12"/>
  <c r="P11"/>
  <c r="P35" i="65095"/>
  <c r="P33"/>
  <c r="P31"/>
  <c r="P30"/>
  <c r="P27"/>
  <c r="P26"/>
  <c r="P24"/>
  <c r="P22"/>
  <c r="P15"/>
  <c r="P12"/>
  <c r="P11"/>
  <c r="P31" i="65094"/>
  <c r="P30"/>
  <c r="P29"/>
  <c r="P27"/>
  <c r="P26"/>
  <c r="P24"/>
  <c r="P22"/>
  <c r="P21"/>
  <c r="P17"/>
  <c r="P15"/>
  <c r="P12"/>
  <c r="P11"/>
  <c r="P34" i="65093"/>
  <c r="P32"/>
  <c r="P30"/>
  <c r="P27"/>
  <c r="P26"/>
  <c r="P24"/>
  <c r="P22"/>
  <c r="P21"/>
  <c r="P18"/>
  <c r="P15"/>
  <c r="P12"/>
  <c r="P11"/>
  <c r="P31" i="65089"/>
  <c r="P29"/>
  <c r="P27"/>
  <c r="P26"/>
  <c r="P24"/>
  <c r="P22"/>
  <c r="P15"/>
  <c r="P12"/>
  <c r="P11"/>
  <c r="P31" i="65088"/>
  <c r="P29"/>
  <c r="P27"/>
  <c r="P26"/>
  <c r="P24"/>
  <c r="P22"/>
  <c r="P15"/>
  <c r="P12"/>
  <c r="P11"/>
  <c r="P31" i="65087"/>
  <c r="P27"/>
  <c r="P26"/>
  <c r="P22"/>
  <c r="P15"/>
  <c r="P12"/>
  <c r="P11"/>
  <c r="P31" i="65086"/>
  <c r="P29"/>
  <c r="P27"/>
  <c r="P26"/>
  <c r="P24"/>
  <c r="P22"/>
  <c r="P21"/>
  <c r="P15"/>
  <c r="P12"/>
  <c r="P11"/>
  <c r="P31" i="65085"/>
  <c r="P29"/>
  <c r="P27"/>
  <c r="P26"/>
  <c r="P24"/>
  <c r="P22"/>
  <c r="P15"/>
  <c r="P12"/>
  <c r="P11"/>
  <c r="P31" i="65084"/>
  <c r="P27"/>
  <c r="P26"/>
  <c r="P24"/>
  <c r="P22"/>
  <c r="P15"/>
  <c r="P12"/>
  <c r="P11"/>
  <c r="P31" i="65083"/>
  <c r="P29"/>
  <c r="P27"/>
  <c r="P26"/>
  <c r="P24"/>
  <c r="P22"/>
  <c r="P15"/>
  <c r="P12"/>
  <c r="P11"/>
  <c r="P31" i="65122"/>
  <c r="P27"/>
  <c r="P26"/>
  <c r="P24"/>
  <c r="P22"/>
  <c r="P15"/>
  <c r="P12"/>
  <c r="P11"/>
  <c r="L16"/>
  <c r="P31" i="65081"/>
  <c r="P27"/>
  <c r="P26"/>
  <c r="P24"/>
  <c r="P22"/>
  <c r="P15"/>
  <c r="P12"/>
  <c r="P11"/>
  <c r="P31" i="65082"/>
  <c r="P29"/>
  <c r="P27"/>
  <c r="P26"/>
  <c r="P24"/>
  <c r="P22"/>
  <c r="P15"/>
  <c r="P12"/>
  <c r="P11"/>
  <c r="P51" i="65080"/>
  <c r="P48"/>
  <c r="P44"/>
  <c r="P41"/>
  <c r="P40"/>
  <c r="P39"/>
  <c r="P29"/>
  <c r="P28"/>
  <c r="P25"/>
  <c r="P24"/>
  <c r="P22"/>
  <c r="P21"/>
  <c r="P18"/>
  <c r="P15"/>
  <c r="P12"/>
  <c r="P11"/>
  <c r="P41" i="65079"/>
  <c r="P39"/>
  <c r="P37"/>
  <c r="P36"/>
  <c r="P35"/>
  <c r="P33"/>
  <c r="P27"/>
  <c r="P26"/>
  <c r="P24"/>
  <c r="P18"/>
  <c r="P15"/>
  <c r="P12"/>
  <c r="P11"/>
  <c r="P39" i="65078"/>
  <c r="P38"/>
  <c r="P37"/>
  <c r="P34"/>
  <c r="P32"/>
  <c r="P31"/>
  <c r="P28"/>
  <c r="P27"/>
  <c r="P25"/>
  <c r="P22"/>
  <c r="P21"/>
  <c r="P20"/>
  <c r="P18"/>
  <c r="P15"/>
  <c r="P12"/>
  <c r="P11"/>
  <c r="P36" i="65077"/>
  <c r="P34"/>
  <c r="P32"/>
  <c r="P27"/>
  <c r="P26"/>
  <c r="P24"/>
  <c r="P22"/>
  <c r="P21"/>
  <c r="P18"/>
  <c r="P15"/>
  <c r="P12"/>
  <c r="P11"/>
  <c r="P52" i="65076"/>
  <c r="P50"/>
  <c r="P46"/>
  <c r="P44"/>
  <c r="P42"/>
  <c r="P40"/>
  <c r="P36"/>
  <c r="P31"/>
  <c r="P30"/>
  <c r="P25"/>
  <c r="P24"/>
  <c r="P21"/>
  <c r="P18"/>
  <c r="P15"/>
  <c r="P14"/>
  <c r="P10"/>
  <c r="P39" i="65075"/>
  <c r="P37"/>
  <c r="P35"/>
  <c r="P34"/>
  <c r="P33"/>
  <c r="P32"/>
  <c r="P30"/>
  <c r="P28"/>
  <c r="P27"/>
  <c r="P26"/>
  <c r="P24"/>
  <c r="P22"/>
  <c r="P21"/>
  <c r="P18"/>
  <c r="P15"/>
  <c r="P12"/>
  <c r="P11"/>
  <c r="P31" i="65115"/>
  <c r="P30"/>
  <c r="P29"/>
  <c r="P27"/>
  <c r="P26"/>
  <c r="P24"/>
  <c r="P22"/>
  <c r="P21"/>
  <c r="P18"/>
  <c r="P15"/>
  <c r="P12"/>
  <c r="P11"/>
  <c r="P35" i="65100"/>
  <c r="P31"/>
  <c r="P29"/>
  <c r="P27"/>
  <c r="P26"/>
  <c r="P24"/>
  <c r="P22"/>
  <c r="P21"/>
  <c r="P18"/>
  <c r="P15"/>
  <c r="P12"/>
  <c r="P11"/>
  <c r="P31" i="65074"/>
  <c r="P30"/>
  <c r="P29"/>
  <c r="P28"/>
  <c r="P27"/>
  <c r="P26"/>
  <c r="P24"/>
  <c r="P23"/>
  <c r="P22"/>
  <c r="P21"/>
  <c r="P18"/>
  <c r="P17"/>
  <c r="P15"/>
  <c r="P12"/>
  <c r="P11"/>
  <c r="P32" i="65071"/>
  <c r="P30"/>
  <c r="P28"/>
  <c r="P27"/>
  <c r="P26"/>
  <c r="P22"/>
  <c r="P15"/>
  <c r="P12"/>
  <c r="P11"/>
  <c r="P33" i="65070"/>
  <c r="P31"/>
  <c r="P29"/>
  <c r="P28"/>
  <c r="P26"/>
  <c r="P24"/>
  <c r="P22"/>
  <c r="P21"/>
  <c r="P18"/>
  <c r="P15"/>
  <c r="P12"/>
  <c r="P11"/>
  <c r="P31" i="65069"/>
  <c r="P29"/>
  <c r="P27"/>
  <c r="P26"/>
  <c r="P15"/>
  <c r="P12"/>
  <c r="P11"/>
  <c r="P31" i="65068"/>
  <c r="P29"/>
  <c r="P27"/>
  <c r="P26"/>
  <c r="P22"/>
  <c r="P15"/>
  <c r="P12"/>
  <c r="P11"/>
  <c r="P31" i="65123"/>
  <c r="P29"/>
  <c r="P27"/>
  <c r="P26"/>
  <c r="P24"/>
  <c r="P22"/>
  <c r="P21"/>
  <c r="P18"/>
  <c r="P15"/>
  <c r="P12"/>
  <c r="P11"/>
  <c r="P31" i="65099"/>
  <c r="P29"/>
  <c r="P27"/>
  <c r="P26"/>
  <c r="P24"/>
  <c r="P23"/>
  <c r="P22"/>
  <c r="P21"/>
  <c r="P18"/>
  <c r="P15"/>
  <c r="P12"/>
  <c r="P11"/>
  <c r="P31" i="65067"/>
  <c r="P30"/>
  <c r="P29"/>
  <c r="P28"/>
  <c r="P27"/>
  <c r="P26"/>
  <c r="P24"/>
  <c r="P23"/>
  <c r="P22"/>
  <c r="P21"/>
  <c r="P20"/>
  <c r="P19"/>
  <c r="P18"/>
  <c r="P17"/>
  <c r="P15"/>
  <c r="P12"/>
  <c r="P11"/>
  <c r="P31" i="16"/>
  <c r="P27"/>
  <c r="P26"/>
  <c r="P22"/>
  <c r="P15"/>
  <c r="P12"/>
  <c r="P11"/>
  <c r="P53" i="65065"/>
  <c r="P52"/>
  <c r="P50"/>
  <c r="P48"/>
  <c r="P45"/>
  <c r="P33"/>
  <c r="P27"/>
  <c r="P23"/>
  <c r="P20"/>
  <c r="P17"/>
  <c r="P12"/>
  <c r="K31" i="65066"/>
  <c r="K28"/>
  <c r="K16"/>
  <c r="K13"/>
  <c r="K8"/>
  <c r="K49" i="65065"/>
  <c r="K46"/>
  <c r="K34"/>
  <c r="K21"/>
  <c r="K18"/>
  <c r="K13"/>
  <c r="K8"/>
  <c r="K28" i="65105" l="1"/>
  <c r="K16"/>
  <c r="K13"/>
  <c r="K8"/>
  <c r="K28" i="65098"/>
  <c r="P28" s="1"/>
  <c r="K16"/>
  <c r="K13"/>
  <c r="K8"/>
  <c r="K28" i="65097"/>
  <c r="K16"/>
  <c r="K13"/>
  <c r="K8"/>
  <c r="K28" i="65096"/>
  <c r="K16"/>
  <c r="K13"/>
  <c r="K8"/>
  <c r="K32" i="65095"/>
  <c r="K28"/>
  <c r="K16"/>
  <c r="K13"/>
  <c r="K8"/>
  <c r="K28" i="65094"/>
  <c r="P28" s="1"/>
  <c r="K16"/>
  <c r="K13"/>
  <c r="K8"/>
  <c r="K31" i="65093"/>
  <c r="K28"/>
  <c r="K16"/>
  <c r="K13"/>
  <c r="K8"/>
  <c r="K28" i="65089"/>
  <c r="K16"/>
  <c r="K13"/>
  <c r="K8"/>
  <c r="J29"/>
  <c r="J28" s="1"/>
  <c r="J26"/>
  <c r="J24"/>
  <c r="J22"/>
  <c r="J13"/>
  <c r="J11"/>
  <c r="J8"/>
  <c r="K28" i="65088"/>
  <c r="K16"/>
  <c r="K13"/>
  <c r="K8"/>
  <c r="K28" i="65087"/>
  <c r="K16"/>
  <c r="K13"/>
  <c r="K8"/>
  <c r="L13"/>
  <c r="K28" i="65086"/>
  <c r="K16"/>
  <c r="K13"/>
  <c r="K8"/>
  <c r="K28" i="65085"/>
  <c r="K16"/>
  <c r="K13"/>
  <c r="K8"/>
  <c r="K28" i="65084"/>
  <c r="K16"/>
  <c r="K13"/>
  <c r="K8"/>
  <c r="K28" i="65083"/>
  <c r="K16"/>
  <c r="K13"/>
  <c r="K8"/>
  <c r="K28" i="65122"/>
  <c r="K16"/>
  <c r="K13"/>
  <c r="K8"/>
  <c r="K28" i="65081"/>
  <c r="K16"/>
  <c r="K13"/>
  <c r="K8"/>
  <c r="K28" i="65082"/>
  <c r="K16"/>
  <c r="K13"/>
  <c r="K8"/>
  <c r="K49" i="65080"/>
  <c r="K45"/>
  <c r="K42"/>
  <c r="K30"/>
  <c r="K16"/>
  <c r="K13"/>
  <c r="K8"/>
  <c r="K38" i="65079"/>
  <c r="K34"/>
  <c r="P34" s="1"/>
  <c r="K28"/>
  <c r="K16"/>
  <c r="K13"/>
  <c r="K8"/>
  <c r="J38"/>
  <c r="J34"/>
  <c r="J28"/>
  <c r="J26"/>
  <c r="J16"/>
  <c r="J13"/>
  <c r="J11"/>
  <c r="J8" s="1"/>
  <c r="K33" i="65078"/>
  <c r="K29"/>
  <c r="K16"/>
  <c r="K13"/>
  <c r="K8"/>
  <c r="K33" i="65077"/>
  <c r="K28"/>
  <c r="K16"/>
  <c r="K13"/>
  <c r="K8"/>
  <c r="K43" i="65076"/>
  <c r="K32"/>
  <c r="K19"/>
  <c r="K16"/>
  <c r="K11"/>
  <c r="K8"/>
  <c r="K36" i="65075"/>
  <c r="K33"/>
  <c r="K29"/>
  <c r="K16"/>
  <c r="K13"/>
  <c r="K8"/>
  <c r="K28" i="65115"/>
  <c r="P28" s="1"/>
  <c r="K16"/>
  <c r="K13"/>
  <c r="K8"/>
  <c r="K28" i="65100"/>
  <c r="K16"/>
  <c r="K13"/>
  <c r="K8"/>
  <c r="K28" i="65074"/>
  <c r="K16"/>
  <c r="K13"/>
  <c r="K8"/>
  <c r="K29" i="65071"/>
  <c r="K16"/>
  <c r="K13"/>
  <c r="K8"/>
  <c r="K30" i="65070"/>
  <c r="K16"/>
  <c r="K13"/>
  <c r="K8"/>
  <c r="J31"/>
  <c r="J30"/>
  <c r="J28"/>
  <c r="J24"/>
  <c r="J22"/>
  <c r="J21"/>
  <c r="J18"/>
  <c r="J16"/>
  <c r="J13"/>
  <c r="J11"/>
  <c r="J8" s="1"/>
  <c r="K28" i="65069"/>
  <c r="K16"/>
  <c r="K13"/>
  <c r="K8"/>
  <c r="K28" i="65068"/>
  <c r="K16"/>
  <c r="K13"/>
  <c r="K8"/>
  <c r="J32" i="65140"/>
  <c r="J31" s="1"/>
  <c r="J28"/>
  <c r="J26"/>
  <c r="J24"/>
  <c r="J22"/>
  <c r="J21"/>
  <c r="J20"/>
  <c r="J18"/>
  <c r="J16"/>
  <c r="J13"/>
  <c r="J11"/>
  <c r="J8" s="1"/>
  <c r="K28" i="65123"/>
  <c r="K16"/>
  <c r="K13"/>
  <c r="K8"/>
  <c r="K28" i="65099"/>
  <c r="K16"/>
  <c r="K13"/>
  <c r="K8"/>
  <c r="K28" i="65067"/>
  <c r="K16"/>
  <c r="K13"/>
  <c r="K8"/>
  <c r="J32" i="65066"/>
  <c r="J31" s="1"/>
  <c r="J28"/>
  <c r="J26"/>
  <c r="J24"/>
  <c r="J22"/>
  <c r="J21"/>
  <c r="J20"/>
  <c r="J18"/>
  <c r="J16" s="1"/>
  <c r="J13"/>
  <c r="J11"/>
  <c r="J8"/>
  <c r="J28" i="16"/>
  <c r="J26"/>
  <c r="J16" s="1"/>
  <c r="J13"/>
  <c r="J11"/>
  <c r="J8" s="1"/>
  <c r="F34" i="304"/>
  <c r="I247" i="65139"/>
  <c r="I246"/>
  <c r="I243"/>
  <c r="I241"/>
  <c r="I236"/>
  <c r="I234"/>
  <c r="I233"/>
  <c r="I232"/>
  <c r="I230"/>
  <c r="I229"/>
  <c r="I228"/>
  <c r="I227"/>
  <c r="I220"/>
  <c r="I217"/>
  <c r="I216"/>
  <c r="I215"/>
  <c r="I214"/>
  <c r="I213"/>
  <c r="I210"/>
  <c r="I209"/>
  <c r="I207"/>
  <c r="I203"/>
  <c r="I201"/>
  <c r="I200"/>
  <c r="I195"/>
  <c r="I194"/>
  <c r="I193"/>
  <c r="I190"/>
  <c r="I189"/>
  <c r="I188"/>
  <c r="I186"/>
  <c r="I185"/>
  <c r="I182"/>
  <c r="I212"/>
  <c r="I181"/>
  <c r="I180"/>
  <c r="I174"/>
  <c r="I173"/>
  <c r="I170"/>
  <c r="I166"/>
  <c r="I164"/>
  <c r="I163"/>
  <c r="I162"/>
  <c r="I161"/>
  <c r="I160"/>
  <c r="I157"/>
  <c r="I155"/>
  <c r="I154"/>
  <c r="I153"/>
  <c r="I150"/>
  <c r="I149"/>
  <c r="I148"/>
  <c r="I147"/>
  <c r="I146"/>
  <c r="I145"/>
  <c r="I144"/>
  <c r="I142"/>
  <c r="I141"/>
  <c r="I140"/>
  <c r="I139"/>
  <c r="I138"/>
  <c r="I134"/>
  <c r="I131"/>
  <c r="I129"/>
  <c r="I127"/>
  <c r="I124"/>
  <c r="I122"/>
  <c r="I121"/>
  <c r="I120"/>
  <c r="I119"/>
  <c r="I117"/>
  <c r="I116"/>
  <c r="I115"/>
  <c r="I114"/>
  <c r="I113"/>
  <c r="I112"/>
  <c r="I111"/>
  <c r="I110"/>
  <c r="I109"/>
  <c r="I106"/>
  <c r="I105"/>
  <c r="I104"/>
  <c r="I103"/>
  <c r="I100"/>
  <c r="I99"/>
  <c r="I98"/>
  <c r="I94"/>
  <c r="I93"/>
  <c r="I91"/>
  <c r="I90"/>
  <c r="I89"/>
  <c r="I86"/>
  <c r="I83"/>
  <c r="I81"/>
  <c r="I76"/>
  <c r="I74"/>
  <c r="I73"/>
  <c r="I71"/>
  <c r="I70"/>
  <c r="I69"/>
  <c r="I67"/>
  <c r="I66"/>
  <c r="I65"/>
  <c r="I61"/>
  <c r="I60"/>
  <c r="I59"/>
  <c r="I58"/>
  <c r="I53"/>
  <c r="I52"/>
  <c r="I46"/>
  <c r="I45"/>
  <c r="I44"/>
  <c r="I43"/>
  <c r="I42"/>
  <c r="I41"/>
  <c r="I40"/>
  <c r="I37"/>
  <c r="I35"/>
  <c r="I33"/>
  <c r="I32"/>
  <c r="I31"/>
  <c r="I30"/>
  <c r="I27"/>
  <c r="I26"/>
  <c r="I25"/>
  <c r="I24"/>
  <c r="I23"/>
  <c r="I22"/>
  <c r="I19"/>
  <c r="I18"/>
  <c r="I15"/>
  <c r="I14"/>
  <c r="I12"/>
  <c r="I11"/>
  <c r="I10"/>
  <c r="I8"/>
  <c r="I242"/>
  <c r="F240"/>
  <c r="F231"/>
  <c r="F19" i="304" s="1"/>
  <c r="F226" i="65139"/>
  <c r="I218"/>
  <c r="F208"/>
  <c r="I199"/>
  <c r="F192"/>
  <c r="F191" s="1"/>
  <c r="I191" s="1"/>
  <c r="F187"/>
  <c r="F177"/>
  <c r="F172"/>
  <c r="F159"/>
  <c r="F158" s="1"/>
  <c r="F130"/>
  <c r="F128"/>
  <c r="F126"/>
  <c r="F123"/>
  <c r="F118"/>
  <c r="F108"/>
  <c r="F102"/>
  <c r="F92"/>
  <c r="F85"/>
  <c r="F82"/>
  <c r="F80"/>
  <c r="F75"/>
  <c r="F72"/>
  <c r="F68"/>
  <c r="F64"/>
  <c r="F57"/>
  <c r="F56" s="1"/>
  <c r="F47"/>
  <c r="F39"/>
  <c r="F38" s="1"/>
  <c r="F36"/>
  <c r="F34"/>
  <c r="F29"/>
  <c r="F21"/>
  <c r="F20" s="1"/>
  <c r="F17"/>
  <c r="F16" s="1"/>
  <c r="F13"/>
  <c r="F7"/>
  <c r="P35" i="65067"/>
  <c r="P34"/>
  <c r="P35" i="65099"/>
  <c r="P34"/>
  <c r="P35" i="65123"/>
  <c r="P34"/>
  <c r="P36" i="65140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37" i="65070"/>
  <c r="P36"/>
  <c r="P35" i="65074"/>
  <c r="P35" i="65082"/>
  <c r="P34"/>
  <c r="P35" i="65081"/>
  <c r="P34"/>
  <c r="P35" i="65083"/>
  <c r="P34"/>
  <c r="P35" i="65084"/>
  <c r="P34"/>
  <c r="P35" i="65085"/>
  <c r="P34"/>
  <c r="P35" i="65086"/>
  <c r="P34"/>
  <c r="P35" i="65087"/>
  <c r="P34"/>
  <c r="P35" i="65088"/>
  <c r="P34"/>
  <c r="M8" i="300"/>
  <c r="J16" i="65089" l="1"/>
  <c r="J33" i="65067"/>
  <c r="F206" i="65139"/>
  <c r="F63"/>
  <c r="F169"/>
  <c r="F168" s="1"/>
  <c r="F125"/>
  <c r="F198"/>
  <c r="F197" s="1"/>
  <c r="F223"/>
  <c r="F84"/>
  <c r="F107"/>
  <c r="F101" s="1"/>
  <c r="F239"/>
  <c r="I240"/>
  <c r="F6"/>
  <c r="F28"/>
  <c r="I192"/>
  <c r="J36" i="65066"/>
  <c r="F176" i="65139"/>
  <c r="F5" l="1"/>
  <c r="F15" i="304" s="1"/>
  <c r="F205" i="65139"/>
  <c r="F196" s="1"/>
  <c r="F18" i="304" s="1"/>
  <c r="F175" i="65139"/>
  <c r="F238"/>
  <c r="F79"/>
  <c r="F62" l="1"/>
  <c r="F237"/>
  <c r="F29" i="304" s="1"/>
  <c r="F167" i="65139"/>
  <c r="H246"/>
  <c r="H201"/>
  <c r="G64"/>
  <c r="D64"/>
  <c r="H67"/>
  <c r="I64" l="1"/>
  <c r="F17" i="304"/>
  <c r="F16"/>
  <c r="F165" i="65139"/>
  <c r="D68"/>
  <c r="D63" s="1"/>
  <c r="D57"/>
  <c r="D56" s="1"/>
  <c r="D39"/>
  <c r="D38" s="1"/>
  <c r="D36"/>
  <c r="D34"/>
  <c r="D29"/>
  <c r="D21"/>
  <c r="D20" s="1"/>
  <c r="D17"/>
  <c r="D16" s="1"/>
  <c r="D13"/>
  <c r="D7"/>
  <c r="E72" i="65137"/>
  <c r="E62"/>
  <c r="E65"/>
  <c r="E64"/>
  <c r="E63"/>
  <c r="M37" i="65140"/>
  <c r="M38" s="1"/>
  <c r="G187" i="65139"/>
  <c r="I187" s="1"/>
  <c r="L34" i="65079"/>
  <c r="I95" i="300"/>
  <c r="H95"/>
  <c r="M95" s="1"/>
  <c r="G95"/>
  <c r="F95"/>
  <c r="M34" i="65079"/>
  <c r="N35"/>
  <c r="O35" s="1"/>
  <c r="H188" i="65139"/>
  <c r="F14" i="304" l="1"/>
  <c r="F235" i="65139"/>
  <c r="D28"/>
  <c r="D79"/>
  <c r="D62" s="1"/>
  <c r="D6"/>
  <c r="K95" i="300"/>
  <c r="L95" s="1"/>
  <c r="J95"/>
  <c r="J108"/>
  <c r="I108"/>
  <c r="H108"/>
  <c r="G108"/>
  <c r="J107"/>
  <c r="I107"/>
  <c r="H107"/>
  <c r="G107"/>
  <c r="F108"/>
  <c r="J63"/>
  <c r="I63"/>
  <c r="H63"/>
  <c r="M63" s="1"/>
  <c r="G63"/>
  <c r="F63"/>
  <c r="J44"/>
  <c r="I44"/>
  <c r="H44"/>
  <c r="J38"/>
  <c r="I38"/>
  <c r="H38"/>
  <c r="G38"/>
  <c r="F38"/>
  <c r="J35"/>
  <c r="I35"/>
  <c r="H35"/>
  <c r="G35"/>
  <c r="J32"/>
  <c r="I32"/>
  <c r="H32"/>
  <c r="G32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F32"/>
  <c r="F28"/>
  <c r="F27"/>
  <c r="F25"/>
  <c r="J22"/>
  <c r="I22"/>
  <c r="H22"/>
  <c r="F22"/>
  <c r="J19"/>
  <c r="I19"/>
  <c r="H19"/>
  <c r="G19"/>
  <c r="J18"/>
  <c r="H18"/>
  <c r="F18"/>
  <c r="J16"/>
  <c r="I16"/>
  <c r="H16"/>
  <c r="F16"/>
  <c r="K8" i="65140"/>
  <c r="K13"/>
  <c r="K16"/>
  <c r="K31"/>
  <c r="O34"/>
  <c r="N33"/>
  <c r="O33" s="1"/>
  <c r="O32"/>
  <c r="N32"/>
  <c r="N31" s="1"/>
  <c r="M31"/>
  <c r="L31"/>
  <c r="O30"/>
  <c r="N29"/>
  <c r="K63" i="300" s="1"/>
  <c r="M28" i="65140"/>
  <c r="L28"/>
  <c r="K28"/>
  <c r="K36" s="1"/>
  <c r="O27"/>
  <c r="O26"/>
  <c r="N26"/>
  <c r="N25"/>
  <c r="O25" s="1"/>
  <c r="O24"/>
  <c r="N24"/>
  <c r="N23"/>
  <c r="O23" s="1"/>
  <c r="O22"/>
  <c r="N22"/>
  <c r="O21"/>
  <c r="N21"/>
  <c r="O20"/>
  <c r="N20"/>
  <c r="O19"/>
  <c r="N19"/>
  <c r="O18"/>
  <c r="N18"/>
  <c r="N17"/>
  <c r="O17" s="1"/>
  <c r="M16"/>
  <c r="L16"/>
  <c r="O15"/>
  <c r="N14"/>
  <c r="O14" s="1"/>
  <c r="M13"/>
  <c r="L13"/>
  <c r="O12"/>
  <c r="O11"/>
  <c r="N11"/>
  <c r="N10"/>
  <c r="D11" i="65124" s="1"/>
  <c r="N9" i="65140"/>
  <c r="C11" i="65124" s="1"/>
  <c r="M8" i="65140"/>
  <c r="L8"/>
  <c r="I18" i="300"/>
  <c r="N16" i="65140" l="1"/>
  <c r="F11" i="65124" s="1"/>
  <c r="D5" i="65139"/>
  <c r="D165" s="1"/>
  <c r="D167"/>
  <c r="F40" i="304"/>
  <c r="F248" i="65139"/>
  <c r="J11" i="65124"/>
  <c r="D13" i="65125"/>
  <c r="C13" s="1"/>
  <c r="N28" i="65140"/>
  <c r="O29"/>
  <c r="N13"/>
  <c r="E11" i="65124" s="1"/>
  <c r="O10" i="65140"/>
  <c r="O13"/>
  <c r="J36"/>
  <c r="M36"/>
  <c r="I36"/>
  <c r="L36"/>
  <c r="N8"/>
  <c r="O8" s="1"/>
  <c r="O9"/>
  <c r="O31"/>
  <c r="D235" i="65139" l="1"/>
  <c r="D248" s="1"/>
  <c r="O16" i="65140"/>
  <c r="E248" i="65139"/>
  <c r="G11" i="65124"/>
  <c r="O28" i="65140"/>
  <c r="L11" i="65124"/>
  <c r="N36" i="65140"/>
  <c r="O36" s="1"/>
  <c r="J96" i="300" l="1"/>
  <c r="I96"/>
  <c r="H96"/>
  <c r="M96" s="1"/>
  <c r="G96"/>
  <c r="F96"/>
  <c r="K43" i="65079"/>
  <c r="N36"/>
  <c r="O33"/>
  <c r="J40" i="300"/>
  <c r="I40"/>
  <c r="H40"/>
  <c r="M40" s="1"/>
  <c r="G40"/>
  <c r="F40"/>
  <c r="N26" i="65070"/>
  <c r="O26" s="1"/>
  <c r="L13" i="65066"/>
  <c r="L8"/>
  <c r="L63" i="300"/>
  <c r="M28" i="65066"/>
  <c r="L28"/>
  <c r="I28"/>
  <c r="F68" i="300"/>
  <c r="L31" i="65066"/>
  <c r="L16"/>
  <c r="O36" i="65079" l="1"/>
  <c r="N34"/>
  <c r="K96" i="300"/>
  <c r="L96" s="1"/>
  <c r="K40"/>
  <c r="L40" s="1"/>
  <c r="H23" i="65124" l="1"/>
  <c r="O34" i="65079"/>
  <c r="G112" i="300"/>
  <c r="H112"/>
  <c r="M112" s="1"/>
  <c r="I112"/>
  <c r="J112"/>
  <c r="F112"/>
  <c r="G110"/>
  <c r="H110"/>
  <c r="I110"/>
  <c r="J110"/>
  <c r="F110"/>
  <c r="M33" i="65078"/>
  <c r="L33"/>
  <c r="N38"/>
  <c r="O38" s="1"/>
  <c r="N36"/>
  <c r="G97" i="300"/>
  <c r="H97"/>
  <c r="M97" s="1"/>
  <c r="I97"/>
  <c r="J97"/>
  <c r="F97"/>
  <c r="G50"/>
  <c r="H50"/>
  <c r="M50" s="1"/>
  <c r="I50"/>
  <c r="J50"/>
  <c r="F50"/>
  <c r="K41" i="65075"/>
  <c r="J41"/>
  <c r="M33"/>
  <c r="L33"/>
  <c r="N34"/>
  <c r="N33" s="1"/>
  <c r="H19" i="65124" s="1"/>
  <c r="O32" i="65075"/>
  <c r="M29"/>
  <c r="L29"/>
  <c r="N30"/>
  <c r="O30" s="1"/>
  <c r="M28" i="65093"/>
  <c r="J68" i="300" s="1"/>
  <c r="L28" i="65093"/>
  <c r="I68" i="300" s="1"/>
  <c r="J82"/>
  <c r="J83"/>
  <c r="I83"/>
  <c r="I82"/>
  <c r="H83"/>
  <c r="M83" s="1"/>
  <c r="H82"/>
  <c r="M82" s="1"/>
  <c r="G83"/>
  <c r="G82"/>
  <c r="F83"/>
  <c r="F82"/>
  <c r="M30" i="65080"/>
  <c r="L30"/>
  <c r="N40"/>
  <c r="N39"/>
  <c r="O39" s="1"/>
  <c r="N31" i="65079"/>
  <c r="P31" s="1"/>
  <c r="L16" i="65093"/>
  <c r="G68" i="300"/>
  <c r="H68"/>
  <c r="L31" i="65093"/>
  <c r="K33" i="65089"/>
  <c r="O36" i="65078" l="1"/>
  <c r="P36"/>
  <c r="K83" i="300"/>
  <c r="O40" i="65080"/>
  <c r="K50" i="300"/>
  <c r="O33" i="65075"/>
  <c r="O34"/>
  <c r="K97" i="300"/>
  <c r="L97" s="1"/>
  <c r="L50"/>
  <c r="K82"/>
  <c r="K112"/>
  <c r="L112" s="1"/>
  <c r="K110"/>
  <c r="L110" s="1"/>
  <c r="F107"/>
  <c r="F35"/>
  <c r="F30"/>
  <c r="F29"/>
  <c r="K33" i="65100"/>
  <c r="J34" i="65071"/>
  <c r="I32" i="65066"/>
  <c r="I31" s="1"/>
  <c r="I26"/>
  <c r="I24"/>
  <c r="I22"/>
  <c r="I21"/>
  <c r="I20"/>
  <c r="I18"/>
  <c r="I16" s="1"/>
  <c r="I13"/>
  <c r="I11"/>
  <c r="I8" s="1"/>
  <c r="K28" i="16"/>
  <c r="K16"/>
  <c r="K13"/>
  <c r="K8"/>
  <c r="M110" i="300" l="1"/>
  <c r="G44"/>
  <c r="I41" i="65075"/>
  <c r="I33" i="65115"/>
  <c r="F44" i="300"/>
  <c r="G18"/>
  <c r="F26"/>
  <c r="G16"/>
  <c r="I43" i="65079"/>
  <c r="F19" i="300"/>
  <c r="G22"/>
  <c r="L49" i="65065"/>
  <c r="L46"/>
  <c r="L34"/>
  <c r="L21"/>
  <c r="L18"/>
  <c r="L13"/>
  <c r="L8"/>
  <c r="J43" i="65079" l="1"/>
  <c r="E32" i="65137" s="1"/>
  <c r="G240" i="65139"/>
  <c r="H241"/>
  <c r="G226"/>
  <c r="H227"/>
  <c r="H229"/>
  <c r="H228"/>
  <c r="H220"/>
  <c r="G223" l="1"/>
  <c r="I223" s="1"/>
  <c r="I226"/>
  <c r="H218"/>
  <c r="H216"/>
  <c r="H214"/>
  <c r="H210"/>
  <c r="H209"/>
  <c r="H200"/>
  <c r="H186"/>
  <c r="G72"/>
  <c r="I72" s="1"/>
  <c r="H73"/>
  <c r="I143"/>
  <c r="H150"/>
  <c r="H129"/>
  <c r="G128"/>
  <c r="H128" l="1"/>
  <c r="I128"/>
  <c r="N29" i="65093"/>
  <c r="P29" s="1"/>
  <c r="O29" l="1"/>
  <c r="N9" i="65065"/>
  <c r="P9" s="1"/>
  <c r="L28" i="65074" l="1"/>
  <c r="M28"/>
  <c r="M35" i="16" l="1"/>
  <c r="M34"/>
  <c r="G208" i="65139" l="1"/>
  <c r="G206" s="1"/>
  <c r="H217"/>
  <c r="H215"/>
  <c r="I206" l="1"/>
  <c r="I208"/>
  <c r="G94" i="300"/>
  <c r="G93" s="1"/>
  <c r="H94"/>
  <c r="I94"/>
  <c r="I93" s="1"/>
  <c r="J94"/>
  <c r="J93" s="1"/>
  <c r="F94"/>
  <c r="F93" s="1"/>
  <c r="N30" i="16"/>
  <c r="P30" s="1"/>
  <c r="N29"/>
  <c r="P29" s="1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52" i="65065"/>
  <c r="N51"/>
  <c r="P51" s="1"/>
  <c r="N50"/>
  <c r="N47"/>
  <c r="N44"/>
  <c r="P44" s="1"/>
  <c r="N43"/>
  <c r="P43" s="1"/>
  <c r="N42"/>
  <c r="P42" s="1"/>
  <c r="N41"/>
  <c r="P41" s="1"/>
  <c r="N40"/>
  <c r="P40" s="1"/>
  <c r="N39"/>
  <c r="P39" s="1"/>
  <c r="N38"/>
  <c r="P38" s="1"/>
  <c r="N37"/>
  <c r="P37" s="1"/>
  <c r="N36"/>
  <c r="P36" s="1"/>
  <c r="N35"/>
  <c r="P35" s="1"/>
  <c r="N32"/>
  <c r="P32" s="1"/>
  <c r="N31"/>
  <c r="P31" s="1"/>
  <c r="N30"/>
  <c r="P30" s="1"/>
  <c r="N29"/>
  <c r="P29" s="1"/>
  <c r="N28"/>
  <c r="P28" s="1"/>
  <c r="N27"/>
  <c r="N26"/>
  <c r="P26" s="1"/>
  <c r="N25"/>
  <c r="P25" s="1"/>
  <c r="N24"/>
  <c r="P24" s="1"/>
  <c r="N23"/>
  <c r="N22"/>
  <c r="P22" s="1"/>
  <c r="N16"/>
  <c r="P16" s="1"/>
  <c r="N11"/>
  <c r="P11" s="1"/>
  <c r="N10"/>
  <c r="P10" s="1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P25" s="1"/>
  <c r="N24"/>
  <c r="N23"/>
  <c r="N22"/>
  <c r="N21"/>
  <c r="N20"/>
  <c r="N19"/>
  <c r="N18"/>
  <c r="N17"/>
  <c r="N11"/>
  <c r="N30" i="65099"/>
  <c r="P30" s="1"/>
  <c r="N29"/>
  <c r="N26"/>
  <c r="N25"/>
  <c r="P25" s="1"/>
  <c r="N24"/>
  <c r="N23"/>
  <c r="N22"/>
  <c r="N21"/>
  <c r="N20"/>
  <c r="P20" s="1"/>
  <c r="N19"/>
  <c r="P19" s="1"/>
  <c r="N18"/>
  <c r="N17"/>
  <c r="P17" s="1"/>
  <c r="N11"/>
  <c r="N30" i="65123"/>
  <c r="P30" s="1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068"/>
  <c r="P30" s="1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69"/>
  <c r="P30" s="1"/>
  <c r="N29"/>
  <c r="N26"/>
  <c r="N25"/>
  <c r="P25" s="1"/>
  <c r="N24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N11"/>
  <c r="N32" i="65070"/>
  <c r="P32" s="1"/>
  <c r="N31"/>
  <c r="N28"/>
  <c r="N25"/>
  <c r="P25" s="1"/>
  <c r="N24"/>
  <c r="N23"/>
  <c r="P23" s="1"/>
  <c r="N22"/>
  <c r="N21"/>
  <c r="N20"/>
  <c r="P20" s="1"/>
  <c r="N19"/>
  <c r="P19" s="1"/>
  <c r="N18"/>
  <c r="N17"/>
  <c r="P17" s="1"/>
  <c r="N11"/>
  <c r="N31" i="65071"/>
  <c r="P31" s="1"/>
  <c r="N30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74"/>
  <c r="N29"/>
  <c r="N26"/>
  <c r="N25"/>
  <c r="P25" s="1"/>
  <c r="N24"/>
  <c r="N23"/>
  <c r="N22"/>
  <c r="N21"/>
  <c r="N20"/>
  <c r="P20" s="1"/>
  <c r="N19"/>
  <c r="P19" s="1"/>
  <c r="N18"/>
  <c r="N17"/>
  <c r="N11"/>
  <c r="N30" i="65100"/>
  <c r="P30" s="1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115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8" i="65075"/>
  <c r="P38" s="1"/>
  <c r="N37"/>
  <c r="N31"/>
  <c r="N27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51" i="65076"/>
  <c r="N50"/>
  <c r="N45"/>
  <c r="P45" s="1"/>
  <c r="N44"/>
  <c r="N41"/>
  <c r="N40"/>
  <c r="N35"/>
  <c r="P35" s="1"/>
  <c r="N34"/>
  <c r="P34" s="1"/>
  <c r="N33"/>
  <c r="P33" s="1"/>
  <c r="N30"/>
  <c r="N26"/>
  <c r="P26" s="1"/>
  <c r="N25"/>
  <c r="N24"/>
  <c r="N21"/>
  <c r="N20"/>
  <c r="O21"/>
  <c r="O24"/>
  <c r="O25"/>
  <c r="O26"/>
  <c r="O30"/>
  <c r="N14"/>
  <c r="N9"/>
  <c r="P9" s="1"/>
  <c r="N35" i="65077"/>
  <c r="P35" s="1"/>
  <c r="N34"/>
  <c r="N31"/>
  <c r="N30"/>
  <c r="N29"/>
  <c r="P29" s="1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7" i="65078"/>
  <c r="N35"/>
  <c r="P35" s="1"/>
  <c r="N34"/>
  <c r="N31"/>
  <c r="N30"/>
  <c r="P30" s="1"/>
  <c r="N27"/>
  <c r="N26"/>
  <c r="P26" s="1"/>
  <c r="N25"/>
  <c r="N24"/>
  <c r="P24" s="1"/>
  <c r="N23"/>
  <c r="P23" s="1"/>
  <c r="N22"/>
  <c r="N21"/>
  <c r="N20"/>
  <c r="N19"/>
  <c r="P19" s="1"/>
  <c r="N18"/>
  <c r="N17"/>
  <c r="P17" s="1"/>
  <c r="N11"/>
  <c r="N40" i="65079"/>
  <c r="P40" s="1"/>
  <c r="N39"/>
  <c r="N32"/>
  <c r="P32" s="1"/>
  <c r="N30"/>
  <c r="P30" s="1"/>
  <c r="N29"/>
  <c r="P29" s="1"/>
  <c r="N26"/>
  <c r="N25"/>
  <c r="P25" s="1"/>
  <c r="N24"/>
  <c r="N23"/>
  <c r="P23" s="1"/>
  <c r="N22"/>
  <c r="P22" s="1"/>
  <c r="N21"/>
  <c r="P21" s="1"/>
  <c r="N20"/>
  <c r="P20" s="1"/>
  <c r="N19"/>
  <c r="P19" s="1"/>
  <c r="N18"/>
  <c r="N17"/>
  <c r="P17" s="1"/>
  <c r="N11"/>
  <c r="J53" i="65080"/>
  <c r="K53"/>
  <c r="N50"/>
  <c r="P50" s="1"/>
  <c r="N47"/>
  <c r="P47" s="1"/>
  <c r="N46"/>
  <c r="P46" s="1"/>
  <c r="N43"/>
  <c r="P43" s="1"/>
  <c r="N38"/>
  <c r="P38" s="1"/>
  <c r="N37"/>
  <c r="P37" s="1"/>
  <c r="N36"/>
  <c r="P36" s="1"/>
  <c r="N35"/>
  <c r="P35" s="1"/>
  <c r="N34"/>
  <c r="P34" s="1"/>
  <c r="N33"/>
  <c r="N32"/>
  <c r="P32" s="1"/>
  <c r="N31"/>
  <c r="P31" s="1"/>
  <c r="N28"/>
  <c r="N27"/>
  <c r="P27" s="1"/>
  <c r="N26"/>
  <c r="P26" s="1"/>
  <c r="N25"/>
  <c r="N24"/>
  <c r="N23"/>
  <c r="P23" s="1"/>
  <c r="N22"/>
  <c r="N21"/>
  <c r="N20"/>
  <c r="P20" s="1"/>
  <c r="N19"/>
  <c r="P19" s="1"/>
  <c r="N18"/>
  <c r="N17"/>
  <c r="P17" s="1"/>
  <c r="N11"/>
  <c r="N30" i="65082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1"/>
  <c r="P30" s="1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122"/>
  <c r="P30" s="1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3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4"/>
  <c r="P30" s="1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5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6"/>
  <c r="P30" s="1"/>
  <c r="N29"/>
  <c r="N26"/>
  <c r="N25"/>
  <c r="P25" s="1"/>
  <c r="N24"/>
  <c r="N23"/>
  <c r="P23" s="1"/>
  <c r="N22"/>
  <c r="N21"/>
  <c r="N20"/>
  <c r="P20" s="1"/>
  <c r="N19"/>
  <c r="P19" s="1"/>
  <c r="N18"/>
  <c r="P18" s="1"/>
  <c r="N17"/>
  <c r="P17" s="1"/>
  <c r="N11"/>
  <c r="N30" i="65087"/>
  <c r="P30" s="1"/>
  <c r="N29"/>
  <c r="P29" s="1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88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89"/>
  <c r="P30" s="1"/>
  <c r="N29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3" i="65093"/>
  <c r="P33" s="1"/>
  <c r="N32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094"/>
  <c r="N29"/>
  <c r="N26"/>
  <c r="N25"/>
  <c r="P25" s="1"/>
  <c r="N24"/>
  <c r="N23"/>
  <c r="P23" s="1"/>
  <c r="N22"/>
  <c r="N21"/>
  <c r="N20"/>
  <c r="P20" s="1"/>
  <c r="N19"/>
  <c r="P19" s="1"/>
  <c r="N18"/>
  <c r="P18" s="1"/>
  <c r="N17"/>
  <c r="N11"/>
  <c r="N34" i="65095"/>
  <c r="P34" s="1"/>
  <c r="N33"/>
  <c r="N30"/>
  <c r="N29"/>
  <c r="P29" s="1"/>
  <c r="N26"/>
  <c r="N25"/>
  <c r="P25" s="1"/>
  <c r="N24"/>
  <c r="N23"/>
  <c r="P23" s="1"/>
  <c r="N22"/>
  <c r="N21"/>
  <c r="P21" s="1"/>
  <c r="N20"/>
  <c r="P20" s="1"/>
  <c r="N19"/>
  <c r="P19" s="1"/>
  <c r="N18"/>
  <c r="P18" s="1"/>
  <c r="N17"/>
  <c r="P17" s="1"/>
  <c r="N11"/>
  <c r="N30" i="65096"/>
  <c r="P30" s="1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097"/>
  <c r="P30" s="1"/>
  <c r="N29"/>
  <c r="N26"/>
  <c r="N25"/>
  <c r="P25" s="1"/>
  <c r="N24"/>
  <c r="N23"/>
  <c r="P23" s="1"/>
  <c r="N22"/>
  <c r="N21"/>
  <c r="N20"/>
  <c r="P20" s="1"/>
  <c r="N19"/>
  <c r="P19" s="1"/>
  <c r="N18"/>
  <c r="N17"/>
  <c r="P17" s="1"/>
  <c r="N11"/>
  <c r="N30" i="65098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N30" i="65105"/>
  <c r="P30" s="1"/>
  <c r="N29"/>
  <c r="N26"/>
  <c r="N25"/>
  <c r="P25" s="1"/>
  <c r="N24"/>
  <c r="P24" s="1"/>
  <c r="N23"/>
  <c r="P23" s="1"/>
  <c r="N22"/>
  <c r="N21"/>
  <c r="P21" s="1"/>
  <c r="N20"/>
  <c r="P20" s="1"/>
  <c r="N19"/>
  <c r="P19" s="1"/>
  <c r="N18"/>
  <c r="P18" s="1"/>
  <c r="N17"/>
  <c r="P17" s="1"/>
  <c r="N11"/>
  <c r="O12" i="65065"/>
  <c r="O17"/>
  <c r="O20"/>
  <c r="O33"/>
  <c r="O45"/>
  <c r="O48"/>
  <c r="I119" i="300"/>
  <c r="I118"/>
  <c r="I117"/>
  <c r="I114" s="1"/>
  <c r="I111"/>
  <c r="I109"/>
  <c r="I104"/>
  <c r="I103"/>
  <c r="I102"/>
  <c r="I91"/>
  <c r="I90"/>
  <c r="I88"/>
  <c r="I87"/>
  <c r="I86"/>
  <c r="I85"/>
  <c r="I81"/>
  <c r="I80"/>
  <c r="I79"/>
  <c r="I78"/>
  <c r="I77"/>
  <c r="I76"/>
  <c r="I75"/>
  <c r="I74"/>
  <c r="I73"/>
  <c r="I72"/>
  <c r="I71"/>
  <c r="I69"/>
  <c r="I67"/>
  <c r="I66"/>
  <c r="I65"/>
  <c r="I64"/>
  <c r="I62"/>
  <c r="I61"/>
  <c r="I59"/>
  <c r="I58"/>
  <c r="I57"/>
  <c r="I56"/>
  <c r="I55"/>
  <c r="I54"/>
  <c r="I53"/>
  <c r="I52"/>
  <c r="I51"/>
  <c r="I49"/>
  <c r="I45"/>
  <c r="I43"/>
  <c r="I39"/>
  <c r="I36"/>
  <c r="I33"/>
  <c r="I13"/>
  <c r="I12"/>
  <c r="I11"/>
  <c r="I10"/>
  <c r="J119"/>
  <c r="J118"/>
  <c r="J117"/>
  <c r="J114" s="1"/>
  <c r="J111"/>
  <c r="J109"/>
  <c r="J104"/>
  <c r="J103"/>
  <c r="J102"/>
  <c r="J91"/>
  <c r="J90"/>
  <c r="J88"/>
  <c r="J87"/>
  <c r="J86"/>
  <c r="J85"/>
  <c r="J81"/>
  <c r="J80"/>
  <c r="J79"/>
  <c r="J78"/>
  <c r="J77"/>
  <c r="J76"/>
  <c r="J75"/>
  <c r="J74"/>
  <c r="J73"/>
  <c r="J72"/>
  <c r="J71"/>
  <c r="J69"/>
  <c r="J67"/>
  <c r="J66"/>
  <c r="J65"/>
  <c r="J64"/>
  <c r="J62"/>
  <c r="J61"/>
  <c r="J59"/>
  <c r="J58"/>
  <c r="J57"/>
  <c r="J56"/>
  <c r="J55"/>
  <c r="J54"/>
  <c r="J53"/>
  <c r="J52"/>
  <c r="J51"/>
  <c r="J49"/>
  <c r="J45"/>
  <c r="J43"/>
  <c r="J42"/>
  <c r="J39"/>
  <c r="J36"/>
  <c r="J33"/>
  <c r="J13"/>
  <c r="J12"/>
  <c r="J11"/>
  <c r="J10"/>
  <c r="N19" i="65065"/>
  <c r="P19" s="1"/>
  <c r="N15"/>
  <c r="P15" s="1"/>
  <c r="N14"/>
  <c r="P14" s="1"/>
  <c r="N14" i="65066"/>
  <c r="N10"/>
  <c r="L28" i="65067"/>
  <c r="L16"/>
  <c r="N14"/>
  <c r="P14" s="1"/>
  <c r="L13"/>
  <c r="N10"/>
  <c r="P10" s="1"/>
  <c r="L8"/>
  <c r="L28" i="65099"/>
  <c r="L16"/>
  <c r="N14"/>
  <c r="P14" s="1"/>
  <c r="L13"/>
  <c r="N10"/>
  <c r="P10" s="1"/>
  <c r="L8"/>
  <c r="L28" i="65123"/>
  <c r="L16"/>
  <c r="N14"/>
  <c r="P14" s="1"/>
  <c r="L13"/>
  <c r="N10"/>
  <c r="P10" s="1"/>
  <c r="L8"/>
  <c r="L28" i="65068"/>
  <c r="L16"/>
  <c r="N14"/>
  <c r="P14" s="1"/>
  <c r="L13"/>
  <c r="N10"/>
  <c r="P10" s="1"/>
  <c r="L8"/>
  <c r="L28" i="65069"/>
  <c r="L16"/>
  <c r="N14"/>
  <c r="P14" s="1"/>
  <c r="L13"/>
  <c r="N10"/>
  <c r="P10" s="1"/>
  <c r="L8"/>
  <c r="L30" i="65070"/>
  <c r="L16"/>
  <c r="N14"/>
  <c r="P14" s="1"/>
  <c r="L13"/>
  <c r="N10"/>
  <c r="P10" s="1"/>
  <c r="L8"/>
  <c r="L29" i="65071"/>
  <c r="L16"/>
  <c r="N14"/>
  <c r="P14" s="1"/>
  <c r="L13"/>
  <c r="N10"/>
  <c r="P10" s="1"/>
  <c r="L8"/>
  <c r="L16" i="65074"/>
  <c r="N14"/>
  <c r="P14" s="1"/>
  <c r="N10"/>
  <c r="P10" s="1"/>
  <c r="L28" i="65100"/>
  <c r="L16"/>
  <c r="N14"/>
  <c r="P14" s="1"/>
  <c r="N10"/>
  <c r="P10" s="1"/>
  <c r="L28" i="65115"/>
  <c r="L16"/>
  <c r="N14"/>
  <c r="P14" s="1"/>
  <c r="N10"/>
  <c r="P10" s="1"/>
  <c r="L36" i="65075"/>
  <c r="L16"/>
  <c r="N14"/>
  <c r="P14" s="1"/>
  <c r="L13"/>
  <c r="N10"/>
  <c r="P10" s="1"/>
  <c r="L8"/>
  <c r="L43" i="65076"/>
  <c r="L32"/>
  <c r="N29"/>
  <c r="N28"/>
  <c r="N27"/>
  <c r="N22"/>
  <c r="L19"/>
  <c r="N17"/>
  <c r="P17" s="1"/>
  <c r="L16"/>
  <c r="N13"/>
  <c r="P13" s="1"/>
  <c r="L11"/>
  <c r="L8"/>
  <c r="L33" i="65077"/>
  <c r="L28"/>
  <c r="L16"/>
  <c r="N14"/>
  <c r="P14" s="1"/>
  <c r="L13"/>
  <c r="N10"/>
  <c r="P10" s="1"/>
  <c r="L8"/>
  <c r="L29" i="65078"/>
  <c r="L16"/>
  <c r="N14"/>
  <c r="P14" s="1"/>
  <c r="N10"/>
  <c r="P10" s="1"/>
  <c r="L38" i="65079"/>
  <c r="L28"/>
  <c r="L16"/>
  <c r="N14"/>
  <c r="P14" s="1"/>
  <c r="L13"/>
  <c r="N10"/>
  <c r="P10" s="1"/>
  <c r="L8"/>
  <c r="L49" i="65080"/>
  <c r="L45"/>
  <c r="L42"/>
  <c r="L16"/>
  <c r="N14"/>
  <c r="P14" s="1"/>
  <c r="N10"/>
  <c r="P10" s="1"/>
  <c r="L28" i="65082"/>
  <c r="L16"/>
  <c r="N14"/>
  <c r="P14" s="1"/>
  <c r="N10"/>
  <c r="P10" s="1"/>
  <c r="L28" i="65081"/>
  <c r="L16"/>
  <c r="N14"/>
  <c r="P14" s="1"/>
  <c r="N10"/>
  <c r="P10" s="1"/>
  <c r="L28" i="65122"/>
  <c r="N14"/>
  <c r="P14" s="1"/>
  <c r="N10"/>
  <c r="P10" s="1"/>
  <c r="L28" i="65083"/>
  <c r="L16"/>
  <c r="N14"/>
  <c r="P14" s="1"/>
  <c r="N10"/>
  <c r="P10" s="1"/>
  <c r="L28" i="65084"/>
  <c r="L16"/>
  <c r="N14"/>
  <c r="P14" s="1"/>
  <c r="N10"/>
  <c r="P10" s="1"/>
  <c r="L28" i="65085"/>
  <c r="L16"/>
  <c r="N14"/>
  <c r="P14" s="1"/>
  <c r="N10"/>
  <c r="P10" s="1"/>
  <c r="L28" i="65086"/>
  <c r="L16"/>
  <c r="N14"/>
  <c r="P14" s="1"/>
  <c r="N10"/>
  <c r="P10" s="1"/>
  <c r="L28" i="65087"/>
  <c r="L16"/>
  <c r="N14"/>
  <c r="P14" s="1"/>
  <c r="N10"/>
  <c r="P10" s="1"/>
  <c r="L28" i="65088"/>
  <c r="L16"/>
  <c r="N14"/>
  <c r="P14" s="1"/>
  <c r="N10"/>
  <c r="P10" s="1"/>
  <c r="L28" i="65089"/>
  <c r="L16"/>
  <c r="N14"/>
  <c r="P14" s="1"/>
  <c r="N10"/>
  <c r="P10" s="1"/>
  <c r="N14" i="65093"/>
  <c r="P14" s="1"/>
  <c r="L13"/>
  <c r="N10"/>
  <c r="P10" s="1"/>
  <c r="L8"/>
  <c r="L36" s="1"/>
  <c r="L37" s="1"/>
  <c r="L38" s="1"/>
  <c r="L28" i="65094"/>
  <c r="L16"/>
  <c r="N14"/>
  <c r="P14" s="1"/>
  <c r="L13"/>
  <c r="N10"/>
  <c r="P10" s="1"/>
  <c r="L8"/>
  <c r="L32" i="65095"/>
  <c r="L28"/>
  <c r="L16"/>
  <c r="N14"/>
  <c r="P14" s="1"/>
  <c r="N10"/>
  <c r="P10" s="1"/>
  <c r="L28" i="65096"/>
  <c r="L16"/>
  <c r="N14"/>
  <c r="P14" s="1"/>
  <c r="N10"/>
  <c r="P10" s="1"/>
  <c r="L28" i="65097"/>
  <c r="L16"/>
  <c r="N14"/>
  <c r="P14" s="1"/>
  <c r="N10"/>
  <c r="P10" s="1"/>
  <c r="L28" i="65098"/>
  <c r="L16"/>
  <c r="N14"/>
  <c r="P14" s="1"/>
  <c r="N10"/>
  <c r="P10" s="1"/>
  <c r="L28" i="65105"/>
  <c r="L16"/>
  <c r="N14"/>
  <c r="P14" s="1"/>
  <c r="N10"/>
  <c r="P10" s="1"/>
  <c r="L28" i="16"/>
  <c r="L16"/>
  <c r="N14"/>
  <c r="P14" s="1"/>
  <c r="N10"/>
  <c r="P10" s="1"/>
  <c r="M49" i="65065"/>
  <c r="M46"/>
  <c r="M34"/>
  <c r="M21"/>
  <c r="M18"/>
  <c r="M8"/>
  <c r="M31" i="65066"/>
  <c r="M16"/>
  <c r="M13"/>
  <c r="M8"/>
  <c r="M28" i="65067"/>
  <c r="M16"/>
  <c r="M13"/>
  <c r="M8"/>
  <c r="M28" i="65099"/>
  <c r="M16"/>
  <c r="M13"/>
  <c r="M8"/>
  <c r="M28" i="65123"/>
  <c r="M16"/>
  <c r="M13"/>
  <c r="M8"/>
  <c r="M28" i="65068"/>
  <c r="M16"/>
  <c r="M13"/>
  <c r="M8"/>
  <c r="M28" i="65069"/>
  <c r="M16"/>
  <c r="M13"/>
  <c r="M8"/>
  <c r="M30" i="65070"/>
  <c r="M16"/>
  <c r="M13"/>
  <c r="M8"/>
  <c r="M29" i="65071"/>
  <c r="M16"/>
  <c r="M13"/>
  <c r="M8"/>
  <c r="M16" i="65074"/>
  <c r="M13"/>
  <c r="M8"/>
  <c r="M28" i="65100"/>
  <c r="M16"/>
  <c r="M13"/>
  <c r="M8"/>
  <c r="M28" i="65115"/>
  <c r="M16"/>
  <c r="M13"/>
  <c r="M8"/>
  <c r="M36" i="65075"/>
  <c r="M16"/>
  <c r="M41" s="1"/>
  <c r="M13"/>
  <c r="M8"/>
  <c r="M43" i="65076"/>
  <c r="M32"/>
  <c r="M19"/>
  <c r="M16"/>
  <c r="M11"/>
  <c r="M8"/>
  <c r="M33" i="65077"/>
  <c r="M28"/>
  <c r="M16"/>
  <c r="M13"/>
  <c r="M8"/>
  <c r="M29" i="65078"/>
  <c r="M16"/>
  <c r="M13"/>
  <c r="M8"/>
  <c r="M38" i="65079"/>
  <c r="M28"/>
  <c r="M16"/>
  <c r="M13"/>
  <c r="M8"/>
  <c r="M49" i="65080"/>
  <c r="M45"/>
  <c r="M42"/>
  <c r="M16"/>
  <c r="M13"/>
  <c r="M8"/>
  <c r="M28" i="65082"/>
  <c r="M16"/>
  <c r="M13"/>
  <c r="M8"/>
  <c r="M28" i="65081"/>
  <c r="M16"/>
  <c r="M13"/>
  <c r="M8"/>
  <c r="M28" i="65122"/>
  <c r="M16"/>
  <c r="M13"/>
  <c r="M8"/>
  <c r="M28" i="65083"/>
  <c r="M16"/>
  <c r="M13"/>
  <c r="M8"/>
  <c r="M28" i="65084"/>
  <c r="M16"/>
  <c r="M13"/>
  <c r="M8"/>
  <c r="M28" i="65085"/>
  <c r="M16"/>
  <c r="M13"/>
  <c r="M8"/>
  <c r="M28" i="65086"/>
  <c r="M16"/>
  <c r="M13"/>
  <c r="M8"/>
  <c r="M28" i="65087"/>
  <c r="M16"/>
  <c r="M13"/>
  <c r="M8"/>
  <c r="M28" i="65088"/>
  <c r="M16"/>
  <c r="M13"/>
  <c r="M8"/>
  <c r="M28" i="65089"/>
  <c r="M16"/>
  <c r="M13"/>
  <c r="M8"/>
  <c r="M31" i="65093"/>
  <c r="M16"/>
  <c r="M13"/>
  <c r="M8"/>
  <c r="M28" i="65094"/>
  <c r="M16"/>
  <c r="M13"/>
  <c r="M8"/>
  <c r="M32" i="65095"/>
  <c r="M28"/>
  <c r="M16"/>
  <c r="M13"/>
  <c r="M8"/>
  <c r="M28" i="65096"/>
  <c r="M16"/>
  <c r="M13"/>
  <c r="M8"/>
  <c r="M28" i="65097"/>
  <c r="M16"/>
  <c r="M13"/>
  <c r="M8"/>
  <c r="M28" i="65098"/>
  <c r="M16"/>
  <c r="M13"/>
  <c r="M8"/>
  <c r="M28" i="65105"/>
  <c r="M16"/>
  <c r="M13"/>
  <c r="M8"/>
  <c r="M28" i="16"/>
  <c r="M16"/>
  <c r="M13"/>
  <c r="M8"/>
  <c r="K94" i="300" l="1"/>
  <c r="K93" s="1"/>
  <c r="P47" i="65065"/>
  <c r="M94" i="300"/>
  <c r="J99"/>
  <c r="I99"/>
  <c r="L41" i="65075"/>
  <c r="L42" s="1"/>
  <c r="L43" s="1"/>
  <c r="P30" i="65077"/>
  <c r="O30"/>
  <c r="P31"/>
  <c r="O31"/>
  <c r="P33" i="65080"/>
  <c r="N47" i="65076"/>
  <c r="P47" s="1"/>
  <c r="P51"/>
  <c r="N37"/>
  <c r="P37" s="1"/>
  <c r="P41"/>
  <c r="O29"/>
  <c r="P29"/>
  <c r="O28"/>
  <c r="P28"/>
  <c r="O27"/>
  <c r="P27"/>
  <c r="O22"/>
  <c r="P22"/>
  <c r="O20"/>
  <c r="P20"/>
  <c r="N29" i="65075"/>
  <c r="P29" s="1"/>
  <c r="P31"/>
  <c r="H93" i="300"/>
  <c r="K27"/>
  <c r="M27" s="1"/>
  <c r="K29"/>
  <c r="M29" s="1"/>
  <c r="K32"/>
  <c r="M32" s="1"/>
  <c r="K19"/>
  <c r="M19" s="1"/>
  <c r="K26"/>
  <c r="M26" s="1"/>
  <c r="K30"/>
  <c r="M30" s="1"/>
  <c r="K35"/>
  <c r="M35" s="1"/>
  <c r="K44"/>
  <c r="M44" s="1"/>
  <c r="K107"/>
  <c r="M107" s="1"/>
  <c r="M43" i="65079"/>
  <c r="K25" i="300"/>
  <c r="M25" s="1"/>
  <c r="K38"/>
  <c r="M38" s="1"/>
  <c r="N28" i="65074"/>
  <c r="K22" i="300"/>
  <c r="M22" s="1"/>
  <c r="K18"/>
  <c r="M18" s="1"/>
  <c r="K108"/>
  <c r="M108" s="1"/>
  <c r="J106"/>
  <c r="I106"/>
  <c r="L43" i="65079"/>
  <c r="L44" s="1"/>
  <c r="L45" s="1"/>
  <c r="I70" i="300"/>
  <c r="I84"/>
  <c r="J60"/>
  <c r="J84"/>
  <c r="J89"/>
  <c r="I89"/>
  <c r="N30" i="65080"/>
  <c r="P30" s="1"/>
  <c r="J48" i="300"/>
  <c r="J70"/>
  <c r="I48"/>
  <c r="I60"/>
  <c r="N33" i="65078"/>
  <c r="P33" s="1"/>
  <c r="N28" i="65093"/>
  <c r="L33" i="65094"/>
  <c r="M53" i="65080"/>
  <c r="L33" i="65067"/>
  <c r="L33" i="65068"/>
  <c r="L34" s="1"/>
  <c r="L35" s="1"/>
  <c r="L33" i="65123"/>
  <c r="L33" i="65099"/>
  <c r="L35" i="65070"/>
  <c r="L34" i="65071"/>
  <c r="L35" s="1"/>
  <c r="L33" i="65069"/>
  <c r="L34" s="1"/>
  <c r="L35" s="1"/>
  <c r="L38" i="65077"/>
  <c r="L39" s="1"/>
  <c r="L40" s="1"/>
  <c r="L8" i="16"/>
  <c r="L13"/>
  <c r="L8" i="65105"/>
  <c r="L13"/>
  <c r="L8" i="65098"/>
  <c r="L13"/>
  <c r="L8" i="65097"/>
  <c r="L13"/>
  <c r="L8" i="65096"/>
  <c r="L13"/>
  <c r="L8" i="65095"/>
  <c r="L13"/>
  <c r="L8" i="65089"/>
  <c r="L13"/>
  <c r="L8" i="65088"/>
  <c r="L13"/>
  <c r="L8" i="65087"/>
  <c r="L8" i="65086"/>
  <c r="L13"/>
  <c r="L8" i="65085"/>
  <c r="L13"/>
  <c r="L8" i="65084"/>
  <c r="L13"/>
  <c r="L8" i="65083"/>
  <c r="L13"/>
  <c r="L8" i="65122"/>
  <c r="L13"/>
  <c r="L8" i="65081"/>
  <c r="L13"/>
  <c r="L8" i="65082"/>
  <c r="L13"/>
  <c r="L8" i="65080"/>
  <c r="L13"/>
  <c r="L8" i="65078"/>
  <c r="L13"/>
  <c r="L8" i="65115"/>
  <c r="L13"/>
  <c r="L8" i="65100"/>
  <c r="L13"/>
  <c r="L8" i="65074"/>
  <c r="L13"/>
  <c r="I34" i="300"/>
  <c r="I42"/>
  <c r="N9" i="65089"/>
  <c r="P9" s="1"/>
  <c r="N9" i="65088"/>
  <c r="P9" s="1"/>
  <c r="N9" i="65087"/>
  <c r="P9" s="1"/>
  <c r="N9" i="65086"/>
  <c r="P9" s="1"/>
  <c r="N9" i="65085"/>
  <c r="P9" s="1"/>
  <c r="N9" i="65084"/>
  <c r="P9" s="1"/>
  <c r="N9" i="65083"/>
  <c r="P9" s="1"/>
  <c r="N9" i="65122"/>
  <c r="P9" s="1"/>
  <c r="N12" i="65076"/>
  <c r="P12" s="1"/>
  <c r="N23"/>
  <c r="N9" i="65105"/>
  <c r="P9" s="1"/>
  <c r="N9" i="65098"/>
  <c r="P9" s="1"/>
  <c r="N9" i="65097"/>
  <c r="P9" s="1"/>
  <c r="N9" i="65096"/>
  <c r="P9" s="1"/>
  <c r="N9" i="65095"/>
  <c r="P9" s="1"/>
  <c r="N9" i="65094"/>
  <c r="P9" s="1"/>
  <c r="N9" i="65093"/>
  <c r="P9" s="1"/>
  <c r="N9" i="65081"/>
  <c r="P9" s="1"/>
  <c r="N9" i="65082"/>
  <c r="P9" s="1"/>
  <c r="N9" i="65079"/>
  <c r="P9" s="1"/>
  <c r="N9" i="65078"/>
  <c r="P9" s="1"/>
  <c r="N9" i="65077"/>
  <c r="P9" s="1"/>
  <c r="N9" i="65075"/>
  <c r="P9" s="1"/>
  <c r="N9" i="65115"/>
  <c r="P9" s="1"/>
  <c r="N9" i="65100"/>
  <c r="P9" s="1"/>
  <c r="N9" i="65074"/>
  <c r="P9" s="1"/>
  <c r="N9" i="65071"/>
  <c r="P9" s="1"/>
  <c r="N9" i="65070"/>
  <c r="P9" s="1"/>
  <c r="N9" i="65069"/>
  <c r="P9" s="1"/>
  <c r="N9" i="65068"/>
  <c r="P9" s="1"/>
  <c r="N9" i="65123"/>
  <c r="P9" s="1"/>
  <c r="N9" i="65099"/>
  <c r="P9" s="1"/>
  <c r="N9" i="65067"/>
  <c r="P9" s="1"/>
  <c r="N9" i="65066"/>
  <c r="N9" i="16"/>
  <c r="P9" s="1"/>
  <c r="I17" i="300"/>
  <c r="N9" i="65080"/>
  <c r="P9" s="1"/>
  <c r="I21" i="30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7" i="65095"/>
  <c r="M38" s="1"/>
  <c r="M39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4" s="1"/>
  <c r="M33" i="65081"/>
  <c r="M33" i="65082"/>
  <c r="M44" i="65079"/>
  <c r="M45" s="1"/>
  <c r="M41" i="65078"/>
  <c r="M42" s="1"/>
  <c r="M43" s="1"/>
  <c r="M38" i="65077"/>
  <c r="M39" s="1"/>
  <c r="M40" s="1"/>
  <c r="M42" i="65075"/>
  <c r="M43" s="1"/>
  <c r="M33" i="65115"/>
  <c r="M34" s="1"/>
  <c r="M33" i="65100"/>
  <c r="M33" i="65074"/>
  <c r="M34" i="65100" s="1"/>
  <c r="M34" i="65071"/>
  <c r="M35" s="1"/>
  <c r="M35" i="65070"/>
  <c r="M33" i="65069"/>
  <c r="M34" s="1"/>
  <c r="M35" s="1"/>
  <c r="M33" i="65068"/>
  <c r="M34" s="1"/>
  <c r="M35" s="1"/>
  <c r="M33" i="65123"/>
  <c r="M33" i="65099"/>
  <c r="M33" i="65067"/>
  <c r="M36" i="65066"/>
  <c r="J31" i="300"/>
  <c r="M13" i="65065"/>
  <c r="M55" s="1"/>
  <c r="J9" i="300"/>
  <c r="J34"/>
  <c r="I9"/>
  <c r="J21"/>
  <c r="M33" i="16"/>
  <c r="I31" i="300"/>
  <c r="J17"/>
  <c r="J15" s="1"/>
  <c r="J37"/>
  <c r="L54" i="65076"/>
  <c r="L36" i="65066"/>
  <c r="M54" i="65076"/>
  <c r="M55" s="1"/>
  <c r="M56" s="1"/>
  <c r="L34" i="65094" l="1"/>
  <c r="L35" s="1"/>
  <c r="N33"/>
  <c r="K68" i="300"/>
  <c r="M68" s="1"/>
  <c r="P28" i="65093"/>
  <c r="O23" i="65076"/>
  <c r="P23"/>
  <c r="M35" i="65115"/>
  <c r="F26" i="304"/>
  <c r="M93" i="300"/>
  <c r="K28"/>
  <c r="M28" s="1"/>
  <c r="J122"/>
  <c r="L33" i="65105"/>
  <c r="L34" s="1"/>
  <c r="L35" s="1"/>
  <c r="L37" i="65095"/>
  <c r="L38" s="1"/>
  <c r="L39" s="1"/>
  <c r="K16" i="300"/>
  <c r="M16" s="1"/>
  <c r="L53" i="65080"/>
  <c r="L33" i="65100"/>
  <c r="L33" i="65122"/>
  <c r="L33" i="65115"/>
  <c r="L34" s="1"/>
  <c r="L33" i="65097"/>
  <c r="L34" s="1"/>
  <c r="L35" s="1"/>
  <c r="L41" i="65078"/>
  <c r="L42" s="1"/>
  <c r="L43" s="1"/>
  <c r="I37" i="300"/>
  <c r="I24" s="1"/>
  <c r="L33" i="65088"/>
  <c r="L33" i="65087"/>
  <c r="L33" i="65086"/>
  <c r="L33" i="65074"/>
  <c r="L55" i="65076"/>
  <c r="L56" s="1"/>
  <c r="M34" i="65089"/>
  <c r="M35" s="1"/>
  <c r="L33" i="16"/>
  <c r="L34" s="1"/>
  <c r="L35" s="1"/>
  <c r="L33" i="65098"/>
  <c r="L34" s="1"/>
  <c r="L35" s="1"/>
  <c r="I15" i="300"/>
  <c r="L33" i="65096"/>
  <c r="L34" s="1"/>
  <c r="L35" s="1"/>
  <c r="L33" i="65089"/>
  <c r="L33" i="65085"/>
  <c r="L33" i="65084"/>
  <c r="L33" i="65083"/>
  <c r="L33" i="65081"/>
  <c r="L33" i="65082"/>
  <c r="L55" i="65065"/>
  <c r="L37" i="65140" s="1"/>
  <c r="L38" s="1"/>
  <c r="J47" i="300"/>
  <c r="J24"/>
  <c r="I47"/>
  <c r="G172" i="65139"/>
  <c r="H173"/>
  <c r="G169" l="1"/>
  <c r="I169" s="1"/>
  <c r="I172"/>
  <c r="I122" i="300"/>
  <c r="L34" i="65100"/>
  <c r="L35" i="65115" s="1"/>
  <c r="L34" i="65089"/>
  <c r="I7" i="300"/>
  <c r="J7"/>
  <c r="L34" i="65122"/>
  <c r="G13" i="65139"/>
  <c r="I13" s="1"/>
  <c r="G7"/>
  <c r="I7" s="1"/>
  <c r="G64" i="300"/>
  <c r="H64"/>
  <c r="K64"/>
  <c r="G65"/>
  <c r="H65"/>
  <c r="K65"/>
  <c r="F65"/>
  <c r="F64"/>
  <c r="G57"/>
  <c r="H57"/>
  <c r="K57"/>
  <c r="G58"/>
  <c r="H58"/>
  <c r="K58"/>
  <c r="F58"/>
  <c r="F57"/>
  <c r="N28" i="65077"/>
  <c r="P28" s="1"/>
  <c r="J55" i="65065"/>
  <c r="J35" i="65070"/>
  <c r="E29" i="65137" s="1"/>
  <c r="J33" i="65115"/>
  <c r="J34" s="1"/>
  <c r="J33" i="65122"/>
  <c r="I33" i="65123"/>
  <c r="I33" i="65069"/>
  <c r="I34" s="1"/>
  <c r="I35" s="1"/>
  <c r="I34" i="65071"/>
  <c r="I35" s="1"/>
  <c r="I42" i="65075"/>
  <c r="I43" s="1"/>
  <c r="I41" i="65078"/>
  <c r="I42" s="1"/>
  <c r="I43" s="1"/>
  <c r="I33" i="65096"/>
  <c r="I34" s="1"/>
  <c r="I35" s="1"/>
  <c r="I33" i="65097"/>
  <c r="I34" s="1"/>
  <c r="I35" s="1"/>
  <c r="I33" i="65098"/>
  <c r="I34" s="1"/>
  <c r="I35" s="1"/>
  <c r="I33" i="65105"/>
  <c r="I34" s="1"/>
  <c r="I35" s="1"/>
  <c r="I33" i="16"/>
  <c r="I34" s="1"/>
  <c r="I35" s="1"/>
  <c r="H243" i="65139"/>
  <c r="H226"/>
  <c r="H203"/>
  <c r="G152"/>
  <c r="I152" s="1"/>
  <c r="H153"/>
  <c r="G102"/>
  <c r="I102" s="1"/>
  <c r="H103"/>
  <c r="H71"/>
  <c r="I48"/>
  <c r="H49"/>
  <c r="H10"/>
  <c r="E15" i="304"/>
  <c r="D19"/>
  <c r="H190" i="65139"/>
  <c r="K78" i="300"/>
  <c r="H78"/>
  <c r="G78"/>
  <c r="L78" s="1"/>
  <c r="F78"/>
  <c r="O43" i="65065"/>
  <c r="D34" i="304"/>
  <c r="L14" i="300"/>
  <c r="L20"/>
  <c r="L23"/>
  <c r="L46"/>
  <c r="L92"/>
  <c r="L98"/>
  <c r="L105"/>
  <c r="L113"/>
  <c r="L120"/>
  <c r="O33" i="65095"/>
  <c r="O34"/>
  <c r="O35"/>
  <c r="O34" i="65093"/>
  <c r="O35" i="65080"/>
  <c r="O36"/>
  <c r="O37"/>
  <c r="O38"/>
  <c r="O41"/>
  <c r="O43"/>
  <c r="O44"/>
  <c r="O46"/>
  <c r="O47"/>
  <c r="O48"/>
  <c r="O50"/>
  <c r="O51"/>
  <c r="O29" i="65079"/>
  <c r="O30"/>
  <c r="O31"/>
  <c r="O32"/>
  <c r="O37"/>
  <c r="O39"/>
  <c r="O40"/>
  <c r="O41"/>
  <c r="O34" i="65078"/>
  <c r="O35"/>
  <c r="O37"/>
  <c r="O39"/>
  <c r="O32" i="65077"/>
  <c r="O34"/>
  <c r="O35"/>
  <c r="O36"/>
  <c r="O35" i="65076"/>
  <c r="O36"/>
  <c r="O40"/>
  <c r="O41"/>
  <c r="O42"/>
  <c r="O44"/>
  <c r="O45"/>
  <c r="O46"/>
  <c r="O50"/>
  <c r="O51"/>
  <c r="O52"/>
  <c r="O35" i="65065"/>
  <c r="O36"/>
  <c r="O37"/>
  <c r="O38"/>
  <c r="O39"/>
  <c r="O40"/>
  <c r="O41"/>
  <c r="O42"/>
  <c r="O44"/>
  <c r="O47"/>
  <c r="O50"/>
  <c r="O51"/>
  <c r="O52"/>
  <c r="O53"/>
  <c r="O32" i="65093"/>
  <c r="O31" i="65122"/>
  <c r="O32" i="65078"/>
  <c r="O32" i="65071"/>
  <c r="O32" i="65066"/>
  <c r="O34"/>
  <c r="O34" i="65067"/>
  <c r="O35"/>
  <c r="O34" i="65099"/>
  <c r="O35"/>
  <c r="O36" i="65070"/>
  <c r="O37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31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1"/>
  <c r="O22"/>
  <c r="O23"/>
  <c r="O24"/>
  <c r="O25"/>
  <c r="O26"/>
  <c r="O27"/>
  <c r="O28"/>
  <c r="O29"/>
  <c r="O31"/>
  <c r="O34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K33" i="65105"/>
  <c r="K33" i="65098"/>
  <c r="K34" s="1"/>
  <c r="K35" s="1"/>
  <c r="K33" i="65097"/>
  <c r="K33" i="65096"/>
  <c r="K34" s="1"/>
  <c r="K35" s="1"/>
  <c r="K37" i="65095"/>
  <c r="K33" i="65094"/>
  <c r="K36" i="65093"/>
  <c r="K33" i="65088"/>
  <c r="K33" i="65087"/>
  <c r="K33" i="65086"/>
  <c r="K33" i="65085"/>
  <c r="K33" i="65084"/>
  <c r="K33" i="65083"/>
  <c r="K33" i="65122"/>
  <c r="K33" i="65081"/>
  <c r="K33" i="65082"/>
  <c r="K44" i="65079"/>
  <c r="K41" i="65078"/>
  <c r="K38" i="65077"/>
  <c r="K54" i="65076"/>
  <c r="K42" i="65075"/>
  <c r="K33" i="65115"/>
  <c r="K33" i="65074"/>
  <c r="K34" i="65071"/>
  <c r="K35" i="65070"/>
  <c r="K33" i="65069"/>
  <c r="K33" i="65068"/>
  <c r="K33" i="65123"/>
  <c r="K33" i="65099"/>
  <c r="K33" i="65067"/>
  <c r="K36" i="65066"/>
  <c r="K33" i="16"/>
  <c r="K34" s="1"/>
  <c r="K35" s="1"/>
  <c r="G81" i="300"/>
  <c r="H81"/>
  <c r="M81" s="1"/>
  <c r="K81"/>
  <c r="F81"/>
  <c r="N28" i="65095"/>
  <c r="O17" i="65076"/>
  <c r="O28" i="65095" l="1"/>
  <c r="P28"/>
  <c r="M78" i="300"/>
  <c r="K34" i="65105"/>
  <c r="K34" i="65097"/>
  <c r="K38" i="65095"/>
  <c r="K34" i="65094"/>
  <c r="K35" s="1"/>
  <c r="P33"/>
  <c r="K37" i="65093"/>
  <c r="K45" i="65079"/>
  <c r="K42" i="65078"/>
  <c r="K55" i="65076"/>
  <c r="K43" i="65075"/>
  <c r="K34" i="65115"/>
  <c r="K34" i="65100"/>
  <c r="K35" i="65071"/>
  <c r="M58" i="300"/>
  <c r="M65"/>
  <c r="K34" i="65069"/>
  <c r="K34" i="65068"/>
  <c r="M57" i="300"/>
  <c r="M64"/>
  <c r="L81"/>
  <c r="K39" i="65077"/>
  <c r="L35" i="65089"/>
  <c r="I36" i="65093"/>
  <c r="I37" s="1"/>
  <c r="I38" s="1"/>
  <c r="D18" i="304"/>
  <c r="I33" i="65068"/>
  <c r="I34" s="1"/>
  <c r="I35" s="1"/>
  <c r="I33" i="65094"/>
  <c r="I34" s="1"/>
  <c r="I35" s="1"/>
  <c r="I33" i="65089"/>
  <c r="I33" i="65088"/>
  <c r="I33" i="65087"/>
  <c r="I33" i="65086"/>
  <c r="I33" i="65085"/>
  <c r="I33" i="65084"/>
  <c r="I33" i="65083"/>
  <c r="I33" i="65122"/>
  <c r="I33" i="65081"/>
  <c r="I33" i="65082"/>
  <c r="I38" i="65077"/>
  <c r="I34" i="65115"/>
  <c r="I33" i="65100"/>
  <c r="I33" i="65074"/>
  <c r="I35" i="65070"/>
  <c r="I33" i="65099"/>
  <c r="I36" i="65066"/>
  <c r="H223" i="65139"/>
  <c r="I44" i="65079"/>
  <c r="I45" s="1"/>
  <c r="I33" i="65067"/>
  <c r="K17" i="300"/>
  <c r="G17"/>
  <c r="H17"/>
  <c r="K34" i="65089"/>
  <c r="K34" i="65122"/>
  <c r="J44" i="65079"/>
  <c r="J45" s="1"/>
  <c r="O12" i="65076"/>
  <c r="J33" i="16"/>
  <c r="J33" i="65105"/>
  <c r="J33" i="65098"/>
  <c r="J33" i="65097"/>
  <c r="J33" i="65096"/>
  <c r="J37" i="65095"/>
  <c r="E25" i="65137" s="1"/>
  <c r="J33" i="65089"/>
  <c r="J33" i="65088"/>
  <c r="J33" i="65087"/>
  <c r="J33" i="65086"/>
  <c r="J33" i="65085"/>
  <c r="J33" i="65084"/>
  <c r="J33" i="65083"/>
  <c r="J33" i="65081"/>
  <c r="J33" i="65082"/>
  <c r="J41" i="65078"/>
  <c r="J54" i="65076"/>
  <c r="J55" s="1"/>
  <c r="J56" s="1"/>
  <c r="J33" i="65068"/>
  <c r="E11" i="65137" s="1"/>
  <c r="J33" i="65123"/>
  <c r="J33" i="65099"/>
  <c r="J33" i="65094"/>
  <c r="J36" i="65093"/>
  <c r="J38" i="65077"/>
  <c r="J33" i="65100"/>
  <c r="J33" i="65074"/>
  <c r="J35" i="65071"/>
  <c r="J33" i="65069"/>
  <c r="E24" i="65137" s="1"/>
  <c r="I37" i="65095"/>
  <c r="I38" s="1"/>
  <c r="I39" s="1"/>
  <c r="I54" i="65076"/>
  <c r="I55" s="1"/>
  <c r="I56" s="1"/>
  <c r="D29" i="304"/>
  <c r="O14" i="65065"/>
  <c r="K55"/>
  <c r="H122" i="300" s="1"/>
  <c r="O19" i="65065"/>
  <c r="K35" i="65115" l="1"/>
  <c r="K35" i="65105"/>
  <c r="K35" i="65097"/>
  <c r="K39" i="65095"/>
  <c r="K38" i="65093"/>
  <c r="K43" i="65078"/>
  <c r="K40" i="65077"/>
  <c r="K56" i="65076"/>
  <c r="K35" i="65069"/>
  <c r="K35" i="65068"/>
  <c r="J37" i="65140"/>
  <c r="J38" s="1"/>
  <c r="M17" i="300"/>
  <c r="K37" i="65140"/>
  <c r="K38" s="1"/>
  <c r="E70" i="65137"/>
  <c r="J42" i="65078"/>
  <c r="J43" s="1"/>
  <c r="E39" i="65137"/>
  <c r="I34" i="65100"/>
  <c r="J34"/>
  <c r="E26" i="65137"/>
  <c r="J34" i="16"/>
  <c r="J35" s="1"/>
  <c r="E9" i="65137"/>
  <c r="E86"/>
  <c r="G122" i="300"/>
  <c r="I39" i="65077"/>
  <c r="I40" s="1"/>
  <c r="I55" i="65065"/>
  <c r="I37" i="65140" s="1"/>
  <c r="I38" s="1"/>
  <c r="D16" i="304"/>
  <c r="K35" i="65089"/>
  <c r="J34" i="65122"/>
  <c r="I53" i="65080"/>
  <c r="I34" i="65122"/>
  <c r="I35" i="65115"/>
  <c r="I34" i="65089"/>
  <c r="D15" i="304"/>
  <c r="J37" i="65093"/>
  <c r="J42" i="65075"/>
  <c r="J43" s="1"/>
  <c r="J34" i="65089"/>
  <c r="J34" i="65096"/>
  <c r="J34" i="65098"/>
  <c r="J34" i="65105"/>
  <c r="J39" i="65077"/>
  <c r="J40" s="1"/>
  <c r="J34" i="65068"/>
  <c r="J38" i="65095"/>
  <c r="J39" s="1"/>
  <c r="J34" i="65097"/>
  <c r="J34" i="65069"/>
  <c r="J34" i="65094"/>
  <c r="H189" i="65139"/>
  <c r="H187"/>
  <c r="O16" i="65065"/>
  <c r="O32"/>
  <c r="F122" i="300" l="1"/>
  <c r="I35" i="65089"/>
  <c r="J35"/>
  <c r="D17" i="304"/>
  <c r="D14" s="1"/>
  <c r="J35" i="65094"/>
  <c r="J35" i="65097"/>
  <c r="J35" i="65068"/>
  <c r="J35" i="65098"/>
  <c r="J35" i="65096"/>
  <c r="J35" i="65069"/>
  <c r="J35" i="65105"/>
  <c r="J38" i="65093"/>
  <c r="J35" i="65115"/>
  <c r="O15" i="65065"/>
  <c r="D40" i="304" l="1"/>
  <c r="O13" i="65076"/>
  <c r="O28" i="65093"/>
  <c r="N28" i="65079"/>
  <c r="P28" s="1"/>
  <c r="N28" i="65067"/>
  <c r="O28" s="1"/>
  <c r="O28" i="65079" l="1"/>
  <c r="G118" i="300"/>
  <c r="H118"/>
  <c r="K118"/>
  <c r="G119"/>
  <c r="H119"/>
  <c r="M119" s="1"/>
  <c r="K119"/>
  <c r="F119"/>
  <c r="F118"/>
  <c r="O47" i="65076"/>
  <c r="M118" i="300" l="1"/>
  <c r="L119"/>
  <c r="L118"/>
  <c r="G117"/>
  <c r="G114" s="1"/>
  <c r="H117"/>
  <c r="H114" s="1"/>
  <c r="G109"/>
  <c r="H109"/>
  <c r="M109" s="1"/>
  <c r="G111"/>
  <c r="H111"/>
  <c r="M111" s="1"/>
  <c r="G102"/>
  <c r="H102"/>
  <c r="G103"/>
  <c r="H103"/>
  <c r="G104"/>
  <c r="H104"/>
  <c r="G90"/>
  <c r="H90"/>
  <c r="G91"/>
  <c r="H91"/>
  <c r="G85"/>
  <c r="H85"/>
  <c r="G86"/>
  <c r="H86"/>
  <c r="G87"/>
  <c r="H87"/>
  <c r="G88"/>
  <c r="H88"/>
  <c r="G71"/>
  <c r="H71"/>
  <c r="G72"/>
  <c r="H72"/>
  <c r="G73"/>
  <c r="H73"/>
  <c r="G74"/>
  <c r="H74"/>
  <c r="G75"/>
  <c r="H75"/>
  <c r="G76"/>
  <c r="H76"/>
  <c r="G77"/>
  <c r="H77"/>
  <c r="G79"/>
  <c r="H79"/>
  <c r="G80"/>
  <c r="H80"/>
  <c r="G61"/>
  <c r="H61"/>
  <c r="G62"/>
  <c r="H62"/>
  <c r="M62" s="1"/>
  <c r="G66"/>
  <c r="H66"/>
  <c r="G67"/>
  <c r="H67"/>
  <c r="G69"/>
  <c r="H69"/>
  <c r="G49"/>
  <c r="H49"/>
  <c r="G51"/>
  <c r="H51"/>
  <c r="G52"/>
  <c r="H52"/>
  <c r="G53"/>
  <c r="H53"/>
  <c r="G54"/>
  <c r="H54"/>
  <c r="M54" s="1"/>
  <c r="G55"/>
  <c r="H55"/>
  <c r="G56"/>
  <c r="H56"/>
  <c r="G59"/>
  <c r="H59"/>
  <c r="G39"/>
  <c r="H39"/>
  <c r="G42"/>
  <c r="H42"/>
  <c r="G43"/>
  <c r="H43"/>
  <c r="G45"/>
  <c r="H45"/>
  <c r="M45" s="1"/>
  <c r="G36"/>
  <c r="L36" s="1"/>
  <c r="H36"/>
  <c r="M36" s="1"/>
  <c r="G33"/>
  <c r="G31" s="1"/>
  <c r="H33"/>
  <c r="G10"/>
  <c r="H10"/>
  <c r="G11"/>
  <c r="H11"/>
  <c r="G12"/>
  <c r="H12"/>
  <c r="G13"/>
  <c r="H13"/>
  <c r="H114" i="65139"/>
  <c r="H99" i="300" l="1"/>
  <c r="G99"/>
  <c r="H31"/>
  <c r="G106"/>
  <c r="H106"/>
  <c r="H60"/>
  <c r="G48"/>
  <c r="G60"/>
  <c r="G70"/>
  <c r="G84"/>
  <c r="G89"/>
  <c r="H48"/>
  <c r="H70"/>
  <c r="H84"/>
  <c r="H89"/>
  <c r="E36" i="304"/>
  <c r="G37" i="300"/>
  <c r="H37"/>
  <c r="G34"/>
  <c r="H34"/>
  <c r="G21"/>
  <c r="H21"/>
  <c r="H15"/>
  <c r="F22" i="304" s="1"/>
  <c r="G9" i="300"/>
  <c r="H9"/>
  <c r="N13" i="65094"/>
  <c r="N32" i="65095"/>
  <c r="N31" i="65093"/>
  <c r="O30" i="65080"/>
  <c r="N29" i="65078"/>
  <c r="O28" i="65077"/>
  <c r="N33"/>
  <c r="N32" i="65076"/>
  <c r="O29" i="65075"/>
  <c r="N36"/>
  <c r="O28" i="65066"/>
  <c r="O32" i="65095" l="1"/>
  <c r="P32"/>
  <c r="O36" i="65075"/>
  <c r="P36"/>
  <c r="O33" i="65077"/>
  <c r="P33"/>
  <c r="O29" i="65078"/>
  <c r="P29"/>
  <c r="O31" i="65093"/>
  <c r="P31"/>
  <c r="O13" i="65094"/>
  <c r="P13"/>
  <c r="O32" i="65076"/>
  <c r="P32"/>
  <c r="F36" i="304"/>
  <c r="F23"/>
  <c r="F27"/>
  <c r="F31"/>
  <c r="F21"/>
  <c r="H24" i="300"/>
  <c r="G24"/>
  <c r="E24" i="304" s="1"/>
  <c r="E21"/>
  <c r="E23"/>
  <c r="E26"/>
  <c r="E27"/>
  <c r="E31"/>
  <c r="G15" i="300"/>
  <c r="G47"/>
  <c r="H47"/>
  <c r="F25" i="304" l="1"/>
  <c r="F30"/>
  <c r="F24"/>
  <c r="F35"/>
  <c r="H7" i="300"/>
  <c r="E25" i="304"/>
  <c r="E22"/>
  <c r="G7" i="300"/>
  <c r="F37" i="304" l="1"/>
  <c r="F32"/>
  <c r="F20"/>
  <c r="E34"/>
  <c r="N16" i="65122"/>
  <c r="K45" i="300"/>
  <c r="L45" s="1"/>
  <c r="F45"/>
  <c r="N16" i="65075"/>
  <c r="D28" i="65124"/>
  <c r="N8" i="65080"/>
  <c r="P8" s="1"/>
  <c r="H242" i="65139"/>
  <c r="G239"/>
  <c r="I239" s="1"/>
  <c r="H119"/>
  <c r="H105"/>
  <c r="H86"/>
  <c r="H181"/>
  <c r="E19" i="304"/>
  <c r="H194" i="65139"/>
  <c r="N28" i="65085"/>
  <c r="H247" i="65139"/>
  <c r="H236"/>
  <c r="H234"/>
  <c r="H233"/>
  <c r="H232"/>
  <c r="G231"/>
  <c r="H230"/>
  <c r="H213"/>
  <c r="H208"/>
  <c r="H207"/>
  <c r="H199"/>
  <c r="H195"/>
  <c r="H182"/>
  <c r="H180"/>
  <c r="I178"/>
  <c r="H174"/>
  <c r="H172"/>
  <c r="N13" i="65098"/>
  <c r="N8"/>
  <c r="N13" i="65096"/>
  <c r="N8"/>
  <c r="N13" i="65071"/>
  <c r="N8"/>
  <c r="N13" i="65105"/>
  <c r="P13" s="1"/>
  <c r="N13" i="65097"/>
  <c r="N8"/>
  <c r="N13" i="65095"/>
  <c r="N8"/>
  <c r="N8" i="65094"/>
  <c r="N13" i="65093"/>
  <c r="N8"/>
  <c r="N13" i="65089"/>
  <c r="N8"/>
  <c r="N13" i="65088"/>
  <c r="N8"/>
  <c r="N13" i="65087"/>
  <c r="P13" s="1"/>
  <c r="N8"/>
  <c r="N13" i="65086"/>
  <c r="N8"/>
  <c r="N13" i="65085"/>
  <c r="N8"/>
  <c r="N13" i="65084"/>
  <c r="N8"/>
  <c r="N13" i="65083"/>
  <c r="N8"/>
  <c r="N13" i="65122"/>
  <c r="N8"/>
  <c r="N13" i="65081"/>
  <c r="N8"/>
  <c r="N13" i="65082"/>
  <c r="N8"/>
  <c r="N13" i="65080"/>
  <c r="P13" s="1"/>
  <c r="N13" i="65079"/>
  <c r="N8"/>
  <c r="P8" s="1"/>
  <c r="N13" i="65078"/>
  <c r="N8"/>
  <c r="N13" i="65077"/>
  <c r="N8"/>
  <c r="N16" i="65076"/>
  <c r="P16" s="1"/>
  <c r="N11"/>
  <c r="N13" i="65075"/>
  <c r="N8"/>
  <c r="P8" s="1"/>
  <c r="N13" i="65115"/>
  <c r="N8"/>
  <c r="N13" i="65100"/>
  <c r="N8"/>
  <c r="N13" i="65074"/>
  <c r="N8"/>
  <c r="N13" i="65070"/>
  <c r="N8"/>
  <c r="N13" i="65069"/>
  <c r="P13" s="1"/>
  <c r="N8"/>
  <c r="N13" i="65068"/>
  <c r="N8"/>
  <c r="N13" i="65123"/>
  <c r="N8"/>
  <c r="N13" i="65099"/>
  <c r="P13" s="1"/>
  <c r="N8"/>
  <c r="N13" i="65067"/>
  <c r="N8"/>
  <c r="N13" i="65066"/>
  <c r="O13" s="1"/>
  <c r="N8"/>
  <c r="O8" s="1"/>
  <c r="N18" i="65065"/>
  <c r="N13"/>
  <c r="N13" i="16"/>
  <c r="N8"/>
  <c r="H166" i="65139"/>
  <c r="H164"/>
  <c r="H163"/>
  <c r="H162"/>
  <c r="H161"/>
  <c r="H160"/>
  <c r="G159"/>
  <c r="H157"/>
  <c r="H155"/>
  <c r="H154"/>
  <c r="H149"/>
  <c r="H148"/>
  <c r="H147"/>
  <c r="H146"/>
  <c r="H145"/>
  <c r="H144"/>
  <c r="H143"/>
  <c r="H142"/>
  <c r="H141"/>
  <c r="H140"/>
  <c r="H139"/>
  <c r="H138"/>
  <c r="I132"/>
  <c r="H131"/>
  <c r="G130"/>
  <c r="G126"/>
  <c r="I126" s="1"/>
  <c r="H124"/>
  <c r="G123"/>
  <c r="H122"/>
  <c r="H121"/>
  <c r="H120"/>
  <c r="G118"/>
  <c r="H117"/>
  <c r="H116"/>
  <c r="H115"/>
  <c r="H113"/>
  <c r="H112"/>
  <c r="H111"/>
  <c r="H110"/>
  <c r="H109"/>
  <c r="G108"/>
  <c r="H106"/>
  <c r="H104"/>
  <c r="H100"/>
  <c r="H99"/>
  <c r="H98"/>
  <c r="H94"/>
  <c r="H93"/>
  <c r="G92"/>
  <c r="H91"/>
  <c r="H90"/>
  <c r="H89"/>
  <c r="H83"/>
  <c r="G82"/>
  <c r="H81"/>
  <c r="G80"/>
  <c r="H76"/>
  <c r="G75"/>
  <c r="H74"/>
  <c r="H72"/>
  <c r="H70"/>
  <c r="H69"/>
  <c r="G68"/>
  <c r="H66"/>
  <c r="H65"/>
  <c r="H64"/>
  <c r="H61"/>
  <c r="H60"/>
  <c r="H59"/>
  <c r="H58"/>
  <c r="G57"/>
  <c r="H53"/>
  <c r="H52"/>
  <c r="G47"/>
  <c r="I47" s="1"/>
  <c r="H46"/>
  <c r="H45"/>
  <c r="H44"/>
  <c r="H43"/>
  <c r="H42"/>
  <c r="H41"/>
  <c r="H40"/>
  <c r="G39"/>
  <c r="H37"/>
  <c r="G36"/>
  <c r="H35"/>
  <c r="G34"/>
  <c r="H33"/>
  <c r="H32"/>
  <c r="H31"/>
  <c r="H30"/>
  <c r="G29"/>
  <c r="I29" s="1"/>
  <c r="H27"/>
  <c r="H26"/>
  <c r="H25"/>
  <c r="H24"/>
  <c r="H23"/>
  <c r="H22"/>
  <c r="G21"/>
  <c r="H19"/>
  <c r="H18"/>
  <c r="G17"/>
  <c r="H15"/>
  <c r="H14"/>
  <c r="H13"/>
  <c r="H12"/>
  <c r="H11"/>
  <c r="H8"/>
  <c r="G72" i="65137"/>
  <c r="G65"/>
  <c r="G64"/>
  <c r="L18" i="300"/>
  <c r="L19"/>
  <c r="E44" i="65125"/>
  <c r="F44"/>
  <c r="G10" i="65137"/>
  <c r="G12"/>
  <c r="G13"/>
  <c r="G14"/>
  <c r="G15"/>
  <c r="G16"/>
  <c r="E17"/>
  <c r="F17"/>
  <c r="G17"/>
  <c r="G18"/>
  <c r="G19"/>
  <c r="G20"/>
  <c r="G21"/>
  <c r="G22"/>
  <c r="G27"/>
  <c r="G28"/>
  <c r="G31"/>
  <c r="G33"/>
  <c r="G34"/>
  <c r="G35"/>
  <c r="G36"/>
  <c r="G37"/>
  <c r="G38"/>
  <c r="E40"/>
  <c r="F40"/>
  <c r="G40"/>
  <c r="G41"/>
  <c r="G42"/>
  <c r="G43"/>
  <c r="G44"/>
  <c r="G45"/>
  <c r="G46"/>
  <c r="E47"/>
  <c r="F47"/>
  <c r="G47"/>
  <c r="G48"/>
  <c r="G49"/>
  <c r="G50"/>
  <c r="G51"/>
  <c r="G52"/>
  <c r="G53"/>
  <c r="E54"/>
  <c r="F54"/>
  <c r="G54"/>
  <c r="G55"/>
  <c r="G56"/>
  <c r="G57"/>
  <c r="G58"/>
  <c r="G59"/>
  <c r="G60"/>
  <c r="G62"/>
  <c r="G63"/>
  <c r="E61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D41"/>
  <c r="N16" i="65105"/>
  <c r="N28"/>
  <c r="N16" i="65098"/>
  <c r="P16" s="1"/>
  <c r="N28"/>
  <c r="O28" s="1"/>
  <c r="N16" i="65097"/>
  <c r="N28"/>
  <c r="N16" i="65096"/>
  <c r="N28"/>
  <c r="N16" i="65095"/>
  <c r="N16" i="65094"/>
  <c r="N28"/>
  <c r="N16" i="65093"/>
  <c r="G35" i="65124"/>
  <c r="N16" i="65089"/>
  <c r="N28"/>
  <c r="N16" i="65088"/>
  <c r="N28"/>
  <c r="P28" s="1"/>
  <c r="N16" i="65087"/>
  <c r="N28"/>
  <c r="P28" s="1"/>
  <c r="N16" i="65086"/>
  <c r="N28"/>
  <c r="N16" i="65085"/>
  <c r="N16" i="65084"/>
  <c r="P16" s="1"/>
  <c r="N28"/>
  <c r="P28" s="1"/>
  <c r="N16" i="65083"/>
  <c r="P16" s="1"/>
  <c r="N28"/>
  <c r="N28" i="65122"/>
  <c r="N16" i="65081"/>
  <c r="P16" s="1"/>
  <c r="N28"/>
  <c r="N16" i="65082"/>
  <c r="N28"/>
  <c r="N16" i="65080"/>
  <c r="N42"/>
  <c r="N45"/>
  <c r="N49"/>
  <c r="N16" i="65079"/>
  <c r="G23" i="65124"/>
  <c r="N38" i="65079"/>
  <c r="N16" i="65078"/>
  <c r="O33"/>
  <c r="N16" i="65077"/>
  <c r="J21" i="65124"/>
  <c r="N8" i="65076"/>
  <c r="N19"/>
  <c r="F20" i="65124" s="1"/>
  <c r="O37" i="65076"/>
  <c r="N43"/>
  <c r="K20" i="65124"/>
  <c r="J19"/>
  <c r="N16" i="65115"/>
  <c r="N28"/>
  <c r="N16" i="65100"/>
  <c r="N28"/>
  <c r="N16" i="65074"/>
  <c r="P16" s="1"/>
  <c r="O28"/>
  <c r="N16" i="65071"/>
  <c r="P16" s="1"/>
  <c r="N29"/>
  <c r="P29" s="1"/>
  <c r="N16" i="65070"/>
  <c r="P16" s="1"/>
  <c r="N30"/>
  <c r="N16" i="65069"/>
  <c r="N28"/>
  <c r="N16" i="65068"/>
  <c r="N28"/>
  <c r="N16" i="65123"/>
  <c r="N28"/>
  <c r="N16" i="65099"/>
  <c r="N28"/>
  <c r="P28" s="1"/>
  <c r="N16" i="65067"/>
  <c r="N16" i="65066"/>
  <c r="O16" s="1"/>
  <c r="G7" i="65124"/>
  <c r="N31" i="65066"/>
  <c r="O31" s="1"/>
  <c r="N8" i="65065"/>
  <c r="N21"/>
  <c r="N34"/>
  <c r="N46"/>
  <c r="N49"/>
  <c r="N16" i="16"/>
  <c r="F5" i="65124" s="1"/>
  <c r="N28" i="16"/>
  <c r="P28" s="1"/>
  <c r="L8" i="300"/>
  <c r="F10"/>
  <c r="K10"/>
  <c r="F11"/>
  <c r="K11"/>
  <c r="F12"/>
  <c r="K12"/>
  <c r="F13"/>
  <c r="F9" s="1"/>
  <c r="D21" i="304" s="1"/>
  <c r="K13" i="300"/>
  <c r="F21"/>
  <c r="D23" i="304" s="1"/>
  <c r="L25" i="300"/>
  <c r="L26"/>
  <c r="L27"/>
  <c r="L28"/>
  <c r="L29"/>
  <c r="L30"/>
  <c r="L32"/>
  <c r="F33"/>
  <c r="K33"/>
  <c r="M33" s="1"/>
  <c r="L35"/>
  <c r="F36"/>
  <c r="K36"/>
  <c r="L38"/>
  <c r="F39"/>
  <c r="K39"/>
  <c r="F42"/>
  <c r="K42"/>
  <c r="F43"/>
  <c r="K43"/>
  <c r="L44"/>
  <c r="F49"/>
  <c r="K49"/>
  <c r="F51"/>
  <c r="K51"/>
  <c r="M51" s="1"/>
  <c r="F52"/>
  <c r="K52"/>
  <c r="F53"/>
  <c r="K53"/>
  <c r="F54"/>
  <c r="K54"/>
  <c r="L54" s="1"/>
  <c r="F55"/>
  <c r="K55"/>
  <c r="F56"/>
  <c r="K56"/>
  <c r="F59"/>
  <c r="K59"/>
  <c r="F61"/>
  <c r="K61"/>
  <c r="F62"/>
  <c r="K62"/>
  <c r="F66"/>
  <c r="K66"/>
  <c r="F67"/>
  <c r="K67"/>
  <c r="L68"/>
  <c r="F69"/>
  <c r="K69"/>
  <c r="F71"/>
  <c r="K71"/>
  <c r="M71" s="1"/>
  <c r="F72"/>
  <c r="K72"/>
  <c r="F73"/>
  <c r="K73"/>
  <c r="F74"/>
  <c r="K74"/>
  <c r="F75"/>
  <c r="K75"/>
  <c r="F76"/>
  <c r="K76"/>
  <c r="F77"/>
  <c r="K77"/>
  <c r="F79"/>
  <c r="K79"/>
  <c r="F80"/>
  <c r="K80"/>
  <c r="F85"/>
  <c r="K85"/>
  <c r="M85" s="1"/>
  <c r="F86"/>
  <c r="K86"/>
  <c r="F87"/>
  <c r="K87"/>
  <c r="F88"/>
  <c r="K88"/>
  <c r="F90"/>
  <c r="K90"/>
  <c r="F91"/>
  <c r="K91"/>
  <c r="M91" s="1"/>
  <c r="D26" i="304"/>
  <c r="F102" i="300"/>
  <c r="K102"/>
  <c r="F103"/>
  <c r="K103"/>
  <c r="F104"/>
  <c r="K104"/>
  <c r="L107"/>
  <c r="L108"/>
  <c r="F109"/>
  <c r="K109"/>
  <c r="F111"/>
  <c r="K111"/>
  <c r="F117"/>
  <c r="F114" s="1"/>
  <c r="K117"/>
  <c r="K114" s="1"/>
  <c r="G34" i="304"/>
  <c r="H34"/>
  <c r="I20" i="65124"/>
  <c r="F41"/>
  <c r="F34"/>
  <c r="F33"/>
  <c r="F32"/>
  <c r="F30"/>
  <c r="F24"/>
  <c r="F22"/>
  <c r="F17"/>
  <c r="F12"/>
  <c r="F8"/>
  <c r="J41"/>
  <c r="D42" i="65125"/>
  <c r="C42" s="1"/>
  <c r="J38" i="65124"/>
  <c r="D39" i="65125"/>
  <c r="C39" s="1"/>
  <c r="G37" i="65124"/>
  <c r="J35"/>
  <c r="D37" i="65125"/>
  <c r="C37" s="1"/>
  <c r="J34" i="65124"/>
  <c r="D36" i="65125"/>
  <c r="C36" s="1"/>
  <c r="J32" i="65124"/>
  <c r="J30"/>
  <c r="D32" i="65125"/>
  <c r="C32" s="1"/>
  <c r="J29" i="65124"/>
  <c r="D30" i="65125"/>
  <c r="C30" s="1"/>
  <c r="J27" i="65124"/>
  <c r="J26"/>
  <c r="D28" i="65125"/>
  <c r="C28" s="1"/>
  <c r="J25" i="65124"/>
  <c r="D24" i="65125"/>
  <c r="C24" s="1"/>
  <c r="G22" i="65124"/>
  <c r="D21" i="65125"/>
  <c r="C21" s="1"/>
  <c r="F19" i="65124"/>
  <c r="J17"/>
  <c r="J16"/>
  <c r="D17" i="65125"/>
  <c r="C17" s="1"/>
  <c r="D15"/>
  <c r="C15" s="1"/>
  <c r="J12" i="65124"/>
  <c r="D14" i="65125"/>
  <c r="C14" s="1"/>
  <c r="J10" i="65124"/>
  <c r="D12" i="65125"/>
  <c r="C12" s="1"/>
  <c r="J5" i="65124"/>
  <c r="E16"/>
  <c r="J9"/>
  <c r="E5"/>
  <c r="H68" i="65139"/>
  <c r="H48"/>
  <c r="F38" i="65124"/>
  <c r="E39"/>
  <c r="E37"/>
  <c r="E36"/>
  <c r="E34"/>
  <c r="E33"/>
  <c r="E30"/>
  <c r="E29"/>
  <c r="N33" i="65084"/>
  <c r="E28" i="65124"/>
  <c r="E27"/>
  <c r="E26"/>
  <c r="E25"/>
  <c r="E23"/>
  <c r="E22"/>
  <c r="E19"/>
  <c r="E18"/>
  <c r="N33" i="65074"/>
  <c r="P33" s="1"/>
  <c r="E14" i="65124"/>
  <c r="E10"/>
  <c r="N33" i="65123"/>
  <c r="E8" i="65124"/>
  <c r="E6"/>
  <c r="E40"/>
  <c r="E38"/>
  <c r="E15"/>
  <c r="H159" i="65139"/>
  <c r="G6"/>
  <c r="I6" s="1"/>
  <c r="H17"/>
  <c r="H7"/>
  <c r="H29"/>
  <c r="H108"/>
  <c r="E7" i="65124"/>
  <c r="E12"/>
  <c r="N33" i="65087"/>
  <c r="E17" i="65124"/>
  <c r="N33" i="65100"/>
  <c r="P33" s="1"/>
  <c r="E31" i="65124"/>
  <c r="H57" i="65139"/>
  <c r="N33" i="65089"/>
  <c r="N33" i="65085"/>
  <c r="G6" i="65124"/>
  <c r="F13"/>
  <c r="D16" i="65125"/>
  <c r="C16" s="1"/>
  <c r="G20" i="65124"/>
  <c r="G21"/>
  <c r="J23"/>
  <c r="J24"/>
  <c r="F27"/>
  <c r="F36"/>
  <c r="E35"/>
  <c r="N33" i="65069"/>
  <c r="N33" i="65083"/>
  <c r="P33" s="1"/>
  <c r="D8" i="65125"/>
  <c r="C8" s="1"/>
  <c r="D18"/>
  <c r="C18" s="1"/>
  <c r="D22"/>
  <c r="C22" s="1"/>
  <c r="J20" i="65124"/>
  <c r="N54" i="65076"/>
  <c r="P54" s="1"/>
  <c r="F23" i="65124"/>
  <c r="D33" i="65125"/>
  <c r="C33" s="1"/>
  <c r="J31" i="65124"/>
  <c r="D40" i="65125"/>
  <c r="C40" s="1"/>
  <c r="J39" i="65124"/>
  <c r="D10" i="65125"/>
  <c r="C10" s="1"/>
  <c r="J8" i="65124"/>
  <c r="J13"/>
  <c r="D23" i="65125"/>
  <c r="C23" s="1"/>
  <c r="F21" i="65124"/>
  <c r="K24"/>
  <c r="I24"/>
  <c r="I42" s="1"/>
  <c r="D29" i="65125"/>
  <c r="C29" s="1"/>
  <c r="J28" i="65124"/>
  <c r="F31"/>
  <c r="J37"/>
  <c r="F37"/>
  <c r="F39"/>
  <c r="J40"/>
  <c r="D43" i="65125"/>
  <c r="C43" s="1"/>
  <c r="N33" i="65122"/>
  <c r="P33" s="1"/>
  <c r="J6" i="65124"/>
  <c r="J14"/>
  <c r="J18"/>
  <c r="D26" i="65125"/>
  <c r="C26" s="1"/>
  <c r="D25"/>
  <c r="C25" s="1"/>
  <c r="D41"/>
  <c r="C41" s="1"/>
  <c r="N37" i="65095"/>
  <c r="P37" s="1"/>
  <c r="N34" i="65071"/>
  <c r="P34" s="1"/>
  <c r="N33" i="65098"/>
  <c r="P33" s="1"/>
  <c r="H193" i="65139"/>
  <c r="D38" i="65125"/>
  <c r="C38" s="1"/>
  <c r="N36" i="65093"/>
  <c r="G24" i="65124"/>
  <c r="G198" i="65139"/>
  <c r="G168"/>
  <c r="C24" i="65124"/>
  <c r="G19"/>
  <c r="G205" i="65139"/>
  <c r="I205" s="1"/>
  <c r="H132"/>
  <c r="H130"/>
  <c r="H152"/>
  <c r="H170"/>
  <c r="H102"/>
  <c r="H127"/>
  <c r="H134"/>
  <c r="H240"/>
  <c r="E17" i="304"/>
  <c r="E29"/>
  <c r="E18"/>
  <c r="H96" i="65139"/>
  <c r="N33" i="65081"/>
  <c r="E16" i="304"/>
  <c r="H168" i="65139" l="1"/>
  <c r="I168"/>
  <c r="H75"/>
  <c r="I75"/>
  <c r="O28" i="65105"/>
  <c r="P28"/>
  <c r="O28" i="65097"/>
  <c r="P28"/>
  <c r="L67" i="300"/>
  <c r="M67"/>
  <c r="L88"/>
  <c r="M88"/>
  <c r="N33" i="65115"/>
  <c r="P33" s="1"/>
  <c r="O28" i="65100"/>
  <c r="P28"/>
  <c r="O30" i="65070"/>
  <c r="P30"/>
  <c r="N33" i="65068"/>
  <c r="P33" s="1"/>
  <c r="O28" i="65123"/>
  <c r="P28"/>
  <c r="O46" i="65065"/>
  <c r="P46"/>
  <c r="N55"/>
  <c r="P55" s="1"/>
  <c r="N38" i="65077"/>
  <c r="P38" s="1"/>
  <c r="N35" i="65070"/>
  <c r="L72" i="300"/>
  <c r="M72"/>
  <c r="L49"/>
  <c r="M49"/>
  <c r="O43" i="65076"/>
  <c r="P43"/>
  <c r="L53" i="300"/>
  <c r="M53"/>
  <c r="O38" i="65079"/>
  <c r="P38"/>
  <c r="L87" i="300"/>
  <c r="M87"/>
  <c r="L55"/>
  <c r="M55"/>
  <c r="O49" i="65080"/>
  <c r="P49"/>
  <c r="O42"/>
  <c r="P42"/>
  <c r="O28" i="65082"/>
  <c r="P28"/>
  <c r="O28" i="65122"/>
  <c r="P28"/>
  <c r="O28" i="65083"/>
  <c r="P28"/>
  <c r="O28" i="65085"/>
  <c r="P28"/>
  <c r="O28" i="65089"/>
  <c r="P28"/>
  <c r="L69" i="300"/>
  <c r="M69"/>
  <c r="O28" i="65096"/>
  <c r="P28"/>
  <c r="G197" i="65139"/>
  <c r="I198"/>
  <c r="I68"/>
  <c r="G63"/>
  <c r="I130"/>
  <c r="G125"/>
  <c r="K99" i="300"/>
  <c r="F99"/>
  <c r="D27" i="304" s="1"/>
  <c r="O16" i="65105"/>
  <c r="P16"/>
  <c r="O13" i="65098"/>
  <c r="P13"/>
  <c r="O16" i="65097"/>
  <c r="P16"/>
  <c r="O13"/>
  <c r="P13"/>
  <c r="O8"/>
  <c r="P8"/>
  <c r="O16" i="65096"/>
  <c r="P16"/>
  <c r="O13"/>
  <c r="P13"/>
  <c r="O16" i="65095"/>
  <c r="P16"/>
  <c r="O13"/>
  <c r="P13"/>
  <c r="O8"/>
  <c r="P8"/>
  <c r="O16" i="65094"/>
  <c r="P16"/>
  <c r="O8"/>
  <c r="P8"/>
  <c r="O16" i="65093"/>
  <c r="P16"/>
  <c r="O13"/>
  <c r="P13"/>
  <c r="O36"/>
  <c r="P36"/>
  <c r="O8"/>
  <c r="P8"/>
  <c r="O16" i="65089"/>
  <c r="P16"/>
  <c r="O13"/>
  <c r="P13"/>
  <c r="O33"/>
  <c r="P33"/>
  <c r="O8"/>
  <c r="P8"/>
  <c r="O16" i="65088"/>
  <c r="P16"/>
  <c r="N33"/>
  <c r="P33" s="1"/>
  <c r="O13"/>
  <c r="P13"/>
  <c r="O8"/>
  <c r="P8"/>
  <c r="O8" i="65087"/>
  <c r="P8"/>
  <c r="O33"/>
  <c r="P33"/>
  <c r="O16"/>
  <c r="P16"/>
  <c r="O28" i="65086"/>
  <c r="P28"/>
  <c r="O16"/>
  <c r="P16"/>
  <c r="O13"/>
  <c r="P13"/>
  <c r="O8"/>
  <c r="P8"/>
  <c r="O16" i="65085"/>
  <c r="P16"/>
  <c r="O13"/>
  <c r="P13"/>
  <c r="O33"/>
  <c r="P33"/>
  <c r="O8"/>
  <c r="P8"/>
  <c r="O13" i="65084"/>
  <c r="P13"/>
  <c r="O8"/>
  <c r="P8"/>
  <c r="O33"/>
  <c r="P33"/>
  <c r="O13" i="65083"/>
  <c r="P13"/>
  <c r="O8"/>
  <c r="P8"/>
  <c r="O16" i="65122"/>
  <c r="P16"/>
  <c r="O13"/>
  <c r="P13"/>
  <c r="O8"/>
  <c r="P8"/>
  <c r="O28" i="65081"/>
  <c r="P28"/>
  <c r="O13"/>
  <c r="P13"/>
  <c r="O33"/>
  <c r="P33"/>
  <c r="O8"/>
  <c r="P8"/>
  <c r="O16" i="65082"/>
  <c r="P16"/>
  <c r="O13"/>
  <c r="P13"/>
  <c r="O8"/>
  <c r="P8"/>
  <c r="O45" i="65080"/>
  <c r="P45"/>
  <c r="L80" i="300"/>
  <c r="M80"/>
  <c r="L56"/>
  <c r="M56"/>
  <c r="O16" i="65080"/>
  <c r="P16"/>
  <c r="L86" i="300"/>
  <c r="M86"/>
  <c r="O16" i="65079"/>
  <c r="P16"/>
  <c r="O13"/>
  <c r="P13"/>
  <c r="O16" i="65078"/>
  <c r="P16"/>
  <c r="O13"/>
  <c r="P13"/>
  <c r="O8"/>
  <c r="P8"/>
  <c r="L52" i="300"/>
  <c r="M52"/>
  <c r="O16" i="65077"/>
  <c r="P16"/>
  <c r="O13"/>
  <c r="P13"/>
  <c r="O8"/>
  <c r="P8"/>
  <c r="L104" i="300"/>
  <c r="M104"/>
  <c r="O19" i="65076"/>
  <c r="P19"/>
  <c r="O11"/>
  <c r="P11"/>
  <c r="L103" i="300"/>
  <c r="M103"/>
  <c r="O8" i="65076"/>
  <c r="P8"/>
  <c r="O16" i="65075"/>
  <c r="P16"/>
  <c r="O13"/>
  <c r="P13"/>
  <c r="O16" i="65115"/>
  <c r="P16"/>
  <c r="O13"/>
  <c r="P13"/>
  <c r="O8"/>
  <c r="P8"/>
  <c r="O16" i="65100"/>
  <c r="P16"/>
  <c r="O13"/>
  <c r="P13"/>
  <c r="O8"/>
  <c r="P8"/>
  <c r="O13" i="65074"/>
  <c r="P13"/>
  <c r="O8"/>
  <c r="P8"/>
  <c r="O13" i="65071"/>
  <c r="P13"/>
  <c r="O8"/>
  <c r="P8"/>
  <c r="O13" i="65070"/>
  <c r="P13"/>
  <c r="O8"/>
  <c r="P8"/>
  <c r="L61" i="300"/>
  <c r="M61"/>
  <c r="P35" i="65070"/>
  <c r="O28" i="65069"/>
  <c r="P28"/>
  <c r="O16"/>
  <c r="P16"/>
  <c r="P33"/>
  <c r="O8"/>
  <c r="P8"/>
  <c r="O28" i="65068"/>
  <c r="P28"/>
  <c r="O16"/>
  <c r="P16"/>
  <c r="O13"/>
  <c r="P13"/>
  <c r="O8"/>
  <c r="P8"/>
  <c r="O16" i="65123"/>
  <c r="P16"/>
  <c r="O13"/>
  <c r="P13"/>
  <c r="O33"/>
  <c r="P33"/>
  <c r="O8"/>
  <c r="P8"/>
  <c r="O16" i="65099"/>
  <c r="P16"/>
  <c r="O8"/>
  <c r="P8"/>
  <c r="O16" i="65067"/>
  <c r="P16"/>
  <c r="O13"/>
  <c r="P13"/>
  <c r="O8"/>
  <c r="P8"/>
  <c r="L77" i="300"/>
  <c r="M77"/>
  <c r="O34" i="65065"/>
  <c r="P34"/>
  <c r="O21"/>
  <c r="P21"/>
  <c r="O18"/>
  <c r="P18"/>
  <c r="O13"/>
  <c r="P13"/>
  <c r="L12" i="300"/>
  <c r="M12"/>
  <c r="O8" i="65065"/>
  <c r="P8"/>
  <c r="O16" i="16"/>
  <c r="P16"/>
  <c r="O13"/>
  <c r="P13"/>
  <c r="O8"/>
  <c r="P8"/>
  <c r="L117" i="300"/>
  <c r="M117"/>
  <c r="L102"/>
  <c r="M102"/>
  <c r="L66"/>
  <c r="M66"/>
  <c r="L59"/>
  <c r="M59"/>
  <c r="F41" i="304"/>
  <c r="F28"/>
  <c r="L90" i="300"/>
  <c r="M90"/>
  <c r="L79"/>
  <c r="M79"/>
  <c r="L76"/>
  <c r="M76"/>
  <c r="L75"/>
  <c r="M75"/>
  <c r="L74"/>
  <c r="M74"/>
  <c r="L73"/>
  <c r="M73"/>
  <c r="L43"/>
  <c r="M43"/>
  <c r="L42"/>
  <c r="M42"/>
  <c r="L39"/>
  <c r="M39"/>
  <c r="L13"/>
  <c r="M13"/>
  <c r="L11"/>
  <c r="M11"/>
  <c r="L10"/>
  <c r="M10"/>
  <c r="O8" i="65096"/>
  <c r="P8"/>
  <c r="O8" i="65098"/>
  <c r="P8"/>
  <c r="F10" i="65124"/>
  <c r="O49" i="65065"/>
  <c r="P49"/>
  <c r="G20" i="65139"/>
  <c r="I20" s="1"/>
  <c r="I21"/>
  <c r="H34"/>
  <c r="I34"/>
  <c r="H36"/>
  <c r="I36"/>
  <c r="H39"/>
  <c r="I39"/>
  <c r="H80"/>
  <c r="I80"/>
  <c r="H82"/>
  <c r="I82"/>
  <c r="G85"/>
  <c r="I85" s="1"/>
  <c r="I87"/>
  <c r="H92"/>
  <c r="I92"/>
  <c r="H118"/>
  <c r="I118"/>
  <c r="H123"/>
  <c r="I123"/>
  <c r="G19" i="304"/>
  <c r="I19" s="1"/>
  <c r="I231" i="65139"/>
  <c r="G16"/>
  <c r="I16" s="1"/>
  <c r="I17"/>
  <c r="G56"/>
  <c r="I56" s="1"/>
  <c r="I57"/>
  <c r="I96"/>
  <c r="G107"/>
  <c r="I108"/>
  <c r="G158"/>
  <c r="I159"/>
  <c r="I136"/>
  <c r="J36" i="65124"/>
  <c r="O28" i="65094"/>
  <c r="O33" i="65083"/>
  <c r="M99" i="300"/>
  <c r="K9"/>
  <c r="D19" i="65125"/>
  <c r="C19" s="1"/>
  <c r="O33" i="65122"/>
  <c r="J7" i="65124"/>
  <c r="L109" i="300"/>
  <c r="K106"/>
  <c r="M106" s="1"/>
  <c r="F106"/>
  <c r="N33" i="65086"/>
  <c r="O8" i="65079"/>
  <c r="N43"/>
  <c r="P43" s="1"/>
  <c r="O8" i="65075"/>
  <c r="N41"/>
  <c r="P41" s="1"/>
  <c r="F89" i="300"/>
  <c r="F84"/>
  <c r="F70"/>
  <c r="L85"/>
  <c r="K84"/>
  <c r="K70"/>
  <c r="F60"/>
  <c r="F48"/>
  <c r="L62"/>
  <c r="K60"/>
  <c r="L91"/>
  <c r="K89"/>
  <c r="L51"/>
  <c r="K48"/>
  <c r="N33" i="65082"/>
  <c r="D27" i="65125"/>
  <c r="C27" s="1"/>
  <c r="F25" i="65124"/>
  <c r="F18"/>
  <c r="L18" s="1"/>
  <c r="L111" i="300"/>
  <c r="L71"/>
  <c r="F6" i="65124"/>
  <c r="N41" i="65078"/>
  <c r="J22" i="65124"/>
  <c r="L22" s="1"/>
  <c r="H231" i="65139"/>
  <c r="H21"/>
  <c r="H136"/>
  <c r="H87"/>
  <c r="H126"/>
  <c r="O33" i="65088"/>
  <c r="N34" i="65100"/>
  <c r="H95" i="65139"/>
  <c r="O8" i="65080"/>
  <c r="N53"/>
  <c r="P53" s="1"/>
  <c r="H6" i="65124"/>
  <c r="H42" s="1"/>
  <c r="G28" i="65139"/>
  <c r="I28" s="1"/>
  <c r="H6"/>
  <c r="H28"/>
  <c r="H178"/>
  <c r="F61" i="65137"/>
  <c r="G61" s="1"/>
  <c r="E21" i="65124"/>
  <c r="L21" s="1"/>
  <c r="G38" i="65139"/>
  <c r="F37" i="300"/>
  <c r="L33"/>
  <c r="K31"/>
  <c r="L27" i="65124"/>
  <c r="E41"/>
  <c r="O13" i="65105"/>
  <c r="F40" i="65124"/>
  <c r="O16" i="65098"/>
  <c r="N34"/>
  <c r="O33"/>
  <c r="D35" i="65125"/>
  <c r="C35" s="1"/>
  <c r="O28" i="65088"/>
  <c r="D34" i="65125"/>
  <c r="C34" s="1"/>
  <c r="O28" i="65087"/>
  <c r="E32" i="65124"/>
  <c r="O13" i="65087"/>
  <c r="D31" i="65125"/>
  <c r="C31" s="1"/>
  <c r="O28" i="65084"/>
  <c r="F29" i="65124"/>
  <c r="L29" s="1"/>
  <c r="O16" i="65084"/>
  <c r="F28" i="65124"/>
  <c r="L28" s="1"/>
  <c r="O16" i="65083"/>
  <c r="F26" i="65124"/>
  <c r="L26" s="1"/>
  <c r="O16" i="65081"/>
  <c r="E24" i="65124"/>
  <c r="L24" s="1"/>
  <c r="O13" i="65080"/>
  <c r="E20" i="65124"/>
  <c r="O16" i="65076"/>
  <c r="D20" i="65125"/>
  <c r="C20" s="1"/>
  <c r="O28" i="65115"/>
  <c r="O33" i="65100"/>
  <c r="F16" i="65124"/>
  <c r="L16" s="1"/>
  <c r="O16" i="65074"/>
  <c r="O33"/>
  <c r="J15" i="65124"/>
  <c r="O29" i="65071"/>
  <c r="F15" i="65124"/>
  <c r="O16" i="65071"/>
  <c r="N35"/>
  <c r="O34"/>
  <c r="F14" i="65124"/>
  <c r="L14" s="1"/>
  <c r="O16" i="65070"/>
  <c r="E13" i="65124"/>
  <c r="O13" i="65069"/>
  <c r="N34"/>
  <c r="O33"/>
  <c r="N34" i="65068"/>
  <c r="O33"/>
  <c r="D11" i="65125"/>
  <c r="C11" s="1"/>
  <c r="O28" i="65099"/>
  <c r="N33"/>
  <c r="E9" i="65124"/>
  <c r="O13" i="65099"/>
  <c r="L8" i="65124"/>
  <c r="D7" i="65125"/>
  <c r="C7" s="1"/>
  <c r="O28" i="16"/>
  <c r="G29" i="65137"/>
  <c r="O35" i="65070"/>
  <c r="N34" i="65115"/>
  <c r="O33"/>
  <c r="N38" i="65095"/>
  <c r="P38" s="1"/>
  <c r="O37"/>
  <c r="N39" i="65077"/>
  <c r="P39" s="1"/>
  <c r="O38"/>
  <c r="N55" i="65076"/>
  <c r="P55" s="1"/>
  <c r="O54"/>
  <c r="H198" i="65139"/>
  <c r="H169"/>
  <c r="G192"/>
  <c r="G27" i="304"/>
  <c r="L99" i="300"/>
  <c r="L93"/>
  <c r="L94"/>
  <c r="K21"/>
  <c r="M21" s="1"/>
  <c r="L22"/>
  <c r="E77" i="65137"/>
  <c r="G24"/>
  <c r="G21" i="304"/>
  <c r="L37" i="65124"/>
  <c r="L38"/>
  <c r="L12"/>
  <c r="L36"/>
  <c r="L34"/>
  <c r="K34" i="300"/>
  <c r="N33" i="65067"/>
  <c r="L5" i="65124"/>
  <c r="G238" i="65139"/>
  <c r="H239"/>
  <c r="E14" i="304"/>
  <c r="E40" s="1"/>
  <c r="H19"/>
  <c r="N33" i="65096"/>
  <c r="P33" s="1"/>
  <c r="F35" i="65124"/>
  <c r="L35" s="1"/>
  <c r="J33"/>
  <c r="L33" s="1"/>
  <c r="E8" i="65137"/>
  <c r="D42" i="65124"/>
  <c r="F9"/>
  <c r="F34" i="300"/>
  <c r="F31"/>
  <c r="N36" i="65066"/>
  <c r="O36" s="1"/>
  <c r="D9" i="65125"/>
  <c r="C9" s="1"/>
  <c r="F7" i="65124"/>
  <c r="L7" s="1"/>
  <c r="E23" i="65137"/>
  <c r="N33" i="16"/>
  <c r="N33" i="65097"/>
  <c r="P33" s="1"/>
  <c r="E30" i="65137"/>
  <c r="L39" i="65124"/>
  <c r="L40"/>
  <c r="G25" i="65137"/>
  <c r="N37" i="65093"/>
  <c r="P37" s="1"/>
  <c r="E68" i="65137"/>
  <c r="L32" i="65124"/>
  <c r="L31"/>
  <c r="L30"/>
  <c r="L25"/>
  <c r="K42"/>
  <c r="L23"/>
  <c r="L20"/>
  <c r="F17" i="300"/>
  <c r="F15" s="1"/>
  <c r="D22" i="304" s="1"/>
  <c r="L19" i="65124"/>
  <c r="L17"/>
  <c r="L15"/>
  <c r="L13"/>
  <c r="L10"/>
  <c r="G42"/>
  <c r="K37" i="300"/>
  <c r="H206" i="65139"/>
  <c r="G196"/>
  <c r="I196" s="1"/>
  <c r="H205"/>
  <c r="H56"/>
  <c r="H47"/>
  <c r="H20"/>
  <c r="H16"/>
  <c r="E35" i="304"/>
  <c r="H85" i="65139" l="1"/>
  <c r="O55" i="65065"/>
  <c r="H197" i="65139"/>
  <c r="I197"/>
  <c r="H238"/>
  <c r="I238"/>
  <c r="I95"/>
  <c r="G84"/>
  <c r="H84" s="1"/>
  <c r="O33" i="65086"/>
  <c r="P33"/>
  <c r="O33" i="65082"/>
  <c r="P33"/>
  <c r="N44" i="65079"/>
  <c r="P44" s="1"/>
  <c r="O41" i="65078"/>
  <c r="P41"/>
  <c r="O34" i="65115"/>
  <c r="P34"/>
  <c r="O35" i="65071"/>
  <c r="P35"/>
  <c r="O34" i="65069"/>
  <c r="P34"/>
  <c r="O34" i="65068"/>
  <c r="P34"/>
  <c r="O33" i="65099"/>
  <c r="P33"/>
  <c r="O33" i="65067"/>
  <c r="P33"/>
  <c r="P33" i="16"/>
  <c r="L34" i="300"/>
  <c r="M34"/>
  <c r="G36" i="304"/>
  <c r="M114" i="300"/>
  <c r="H21" i="304"/>
  <c r="I21"/>
  <c r="H27"/>
  <c r="I27"/>
  <c r="L31" i="300"/>
  <c r="M31"/>
  <c r="L48"/>
  <c r="M48"/>
  <c r="L89"/>
  <c r="M89"/>
  <c r="L60"/>
  <c r="M60"/>
  <c r="L70"/>
  <c r="M70"/>
  <c r="L9"/>
  <c r="M9"/>
  <c r="F33" i="304"/>
  <c r="F42"/>
  <c r="L37" i="300"/>
  <c r="M37"/>
  <c r="O34" i="65100"/>
  <c r="P34"/>
  <c r="L84" i="300"/>
  <c r="M84"/>
  <c r="O34" i="65098"/>
  <c r="P34"/>
  <c r="H63" i="65139"/>
  <c r="I63"/>
  <c r="H135"/>
  <c r="I135"/>
  <c r="H158"/>
  <c r="I158"/>
  <c r="I107"/>
  <c r="H107"/>
  <c r="G5"/>
  <c r="H5" s="1"/>
  <c r="I38"/>
  <c r="G101"/>
  <c r="I125"/>
  <c r="G26" i="65137"/>
  <c r="G70"/>
  <c r="G32"/>
  <c r="L43" i="65124"/>
  <c r="N42" i="65075"/>
  <c r="N43" s="1"/>
  <c r="H125" i="65139"/>
  <c r="H38"/>
  <c r="N42" i="65078"/>
  <c r="N37" i="65140"/>
  <c r="N38" s="1"/>
  <c r="G69" i="65137"/>
  <c r="E42" i="65124"/>
  <c r="L21" i="300"/>
  <c r="O41" i="65075"/>
  <c r="N34" i="65089"/>
  <c r="O43" i="65079"/>
  <c r="L6" i="65124"/>
  <c r="N34" i="65122"/>
  <c r="N35" i="65098"/>
  <c r="N35" i="65069"/>
  <c r="F47" i="300"/>
  <c r="D25" i="304" s="1"/>
  <c r="L9" i="65124"/>
  <c r="J42"/>
  <c r="O53" i="65080"/>
  <c r="O33" i="16"/>
  <c r="N34"/>
  <c r="P34" s="1"/>
  <c r="G237" i="65139"/>
  <c r="D36" i="304"/>
  <c r="D35" s="1"/>
  <c r="D37" s="1"/>
  <c r="N43" i="65078"/>
  <c r="N35" i="65068"/>
  <c r="D44" i="65125"/>
  <c r="F42" i="65124"/>
  <c r="G191" i="65139"/>
  <c r="H192"/>
  <c r="G23" i="304"/>
  <c r="N34" i="65097"/>
  <c r="O33"/>
  <c r="N34" i="65096"/>
  <c r="O33"/>
  <c r="N34" i="65094"/>
  <c r="P34" s="1"/>
  <c r="O33"/>
  <c r="N38" i="65093"/>
  <c r="O37"/>
  <c r="N35" i="65115"/>
  <c r="E30" i="304"/>
  <c r="E32" s="1"/>
  <c r="D31"/>
  <c r="D30" s="1"/>
  <c r="D32" s="1"/>
  <c r="G26"/>
  <c r="N45" i="65079"/>
  <c r="N39" i="65095"/>
  <c r="O38"/>
  <c r="N40" i="65077"/>
  <c r="P40" s="1"/>
  <c r="O39"/>
  <c r="N56" i="65076"/>
  <c r="O55"/>
  <c r="G31" i="304"/>
  <c r="L106" i="300"/>
  <c r="C44" i="65125"/>
  <c r="L17" i="300"/>
  <c r="L114"/>
  <c r="G11" i="65137"/>
  <c r="K47" i="300"/>
  <c r="M47" s="1"/>
  <c r="F24"/>
  <c r="E7" i="65137"/>
  <c r="K24" i="300"/>
  <c r="M24" s="1"/>
  <c r="G18" i="304"/>
  <c r="H196" i="65139"/>
  <c r="E37" i="304"/>
  <c r="H26" l="1"/>
  <c r="I26"/>
  <c r="O44" i="65079"/>
  <c r="G29" i="304"/>
  <c r="I237" i="65139"/>
  <c r="G79"/>
  <c r="G62" s="1"/>
  <c r="G16" i="304" s="1"/>
  <c r="I84" i="65139"/>
  <c r="O34" i="65097"/>
  <c r="P34"/>
  <c r="O39" i="65095"/>
  <c r="P39"/>
  <c r="O38" i="65093"/>
  <c r="P38"/>
  <c r="O45" i="65079"/>
  <c r="P45"/>
  <c r="O43" i="65078"/>
  <c r="P43"/>
  <c r="O42"/>
  <c r="P42"/>
  <c r="O56" i="65076"/>
  <c r="P56"/>
  <c r="O42" i="65075"/>
  <c r="P42"/>
  <c r="O43"/>
  <c r="P43"/>
  <c r="O35" i="65069"/>
  <c r="P35"/>
  <c r="O35" i="65068"/>
  <c r="P35"/>
  <c r="G30" i="304"/>
  <c r="I30" s="1"/>
  <c r="I31"/>
  <c r="H18"/>
  <c r="I18"/>
  <c r="H23"/>
  <c r="I23"/>
  <c r="O34" i="65122"/>
  <c r="P34"/>
  <c r="H36" i="304"/>
  <c r="I36"/>
  <c r="O35" i="65115"/>
  <c r="P35"/>
  <c r="O34" i="65089"/>
  <c r="P34"/>
  <c r="F38" i="304"/>
  <c r="O34" i="65096"/>
  <c r="P34"/>
  <c r="O35" i="65098"/>
  <c r="P35"/>
  <c r="H101" i="65139"/>
  <c r="I101"/>
  <c r="G15" i="304"/>
  <c r="I5" i="65139"/>
  <c r="F68" i="65137"/>
  <c r="G68" s="1"/>
  <c r="G76"/>
  <c r="N35" i="65089"/>
  <c r="O40" i="65077"/>
  <c r="G9" i="65137"/>
  <c r="F8"/>
  <c r="G8" s="1"/>
  <c r="N35" i="16"/>
  <c r="O34"/>
  <c r="H237" i="65139"/>
  <c r="N35" i="65097"/>
  <c r="F23" i="65137"/>
  <c r="G23" s="1"/>
  <c r="H191" i="65139"/>
  <c r="N35" i="65096"/>
  <c r="H31" i="304"/>
  <c r="O34" i="65094"/>
  <c r="N35"/>
  <c r="E20" i="304"/>
  <c r="E28" s="1"/>
  <c r="E33" s="1"/>
  <c r="D24"/>
  <c r="D20" s="1"/>
  <c r="G35"/>
  <c r="I35" s="1"/>
  <c r="G24"/>
  <c r="L24" i="300"/>
  <c r="G25" i="304"/>
  <c r="L47" i="300"/>
  <c r="O35" i="65123"/>
  <c r="O34"/>
  <c r="F7" i="300"/>
  <c r="H79" i="65139" l="1"/>
  <c r="G32" i="304"/>
  <c r="I32" s="1"/>
  <c r="H29"/>
  <c r="I29"/>
  <c r="I79" i="65139"/>
  <c r="H62"/>
  <c r="O35" i="65097"/>
  <c r="P35"/>
  <c r="H30" i="304"/>
  <c r="O35" i="16"/>
  <c r="P35"/>
  <c r="H25" i="304"/>
  <c r="I25"/>
  <c r="H24"/>
  <c r="I24"/>
  <c r="H32"/>
  <c r="H16"/>
  <c r="I16"/>
  <c r="O35" i="65089"/>
  <c r="P35"/>
  <c r="H15" i="304"/>
  <c r="I15"/>
  <c r="O35" i="65094"/>
  <c r="P35"/>
  <c r="O35" i="65096"/>
  <c r="P35"/>
  <c r="G165" i="65139"/>
  <c r="I62"/>
  <c r="F77" i="65137"/>
  <c r="G86"/>
  <c r="H185" i="65139"/>
  <c r="G177"/>
  <c r="E41" i="304"/>
  <c r="E42" s="1"/>
  <c r="D41"/>
  <c r="D42" s="1"/>
  <c r="D28"/>
  <c r="D33" s="1"/>
  <c r="D38" s="1"/>
  <c r="G37"/>
  <c r="H35"/>
  <c r="E38"/>
  <c r="H37" l="1"/>
  <c r="I37"/>
  <c r="I165" i="65139"/>
  <c r="H165"/>
  <c r="G176"/>
  <c r="I176" s="1"/>
  <c r="I177"/>
  <c r="G77" i="65137"/>
  <c r="H177" i="65139"/>
  <c r="H176" l="1"/>
  <c r="G175"/>
  <c r="I175" s="1"/>
  <c r="H175" l="1"/>
  <c r="G167"/>
  <c r="I167" s="1"/>
  <c r="H167" l="1"/>
  <c r="G235"/>
  <c r="I235" s="1"/>
  <c r="G17" i="304"/>
  <c r="I17" s="1"/>
  <c r="G248" i="65139" l="1"/>
  <c r="H235"/>
  <c r="H17" i="304"/>
  <c r="G14"/>
  <c r="I14" s="1"/>
  <c r="I248" i="65139" l="1"/>
  <c r="H14" i="304"/>
  <c r="G40"/>
  <c r="I40" s="1"/>
  <c r="H248" i="65139"/>
  <c r="H40" i="304" l="1"/>
  <c r="O9" i="65105"/>
  <c r="N8"/>
  <c r="C41" i="65124"/>
  <c r="C42" s="1"/>
  <c r="L16" i="300"/>
  <c r="O8" i="65105" l="1"/>
  <c r="P8"/>
  <c r="L41" i="65124"/>
  <c r="L42" s="1"/>
  <c r="N33" i="65105"/>
  <c r="K15" i="300"/>
  <c r="P33" i="65105" l="1"/>
  <c r="K122" i="300"/>
  <c r="M122" s="1"/>
  <c r="K7"/>
  <c r="M15"/>
  <c r="F30" i="65137"/>
  <c r="F7" s="1"/>
  <c r="N34" i="65105"/>
  <c r="N35" s="1"/>
  <c r="O33"/>
  <c r="L15" i="300"/>
  <c r="G22" i="304"/>
  <c r="O35" i="65105" l="1"/>
  <c r="P35"/>
  <c r="O34"/>
  <c r="P34"/>
  <c r="H22" i="304"/>
  <c r="I22"/>
  <c r="L7" i="300"/>
  <c r="M7"/>
  <c r="G39" i="65137"/>
  <c r="L122" i="300"/>
  <c r="G20" i="304"/>
  <c r="G30" i="65137"/>
  <c r="G7"/>
  <c r="H20" i="304" l="1"/>
  <c r="I20"/>
  <c r="G41"/>
  <c r="G28"/>
  <c r="H41" l="1"/>
  <c r="I41"/>
  <c r="G33"/>
  <c r="I33" s="1"/>
  <c r="I28"/>
  <c r="G42"/>
  <c r="I42" s="1"/>
  <c r="H28"/>
  <c r="H33" l="1"/>
  <c r="G38"/>
  <c r="I38" s="1"/>
  <c r="H42"/>
  <c r="L44" i="65124"/>
  <c r="H38" i="304" l="1"/>
  <c r="L45" i="65124"/>
</calcChain>
</file>

<file path=xl/sharedStrings.xml><?xml version="1.0" encoding="utf-8"?>
<sst xmlns="http://schemas.openxmlformats.org/spreadsheetml/2006/main" count="2778" uniqueCount="921">
  <si>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</si>
  <si>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</si>
  <si>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</si>
  <si>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</si>
  <si>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</si>
  <si>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</si>
  <si>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</si>
  <si>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</si>
  <si>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</si>
  <si>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</si>
  <si>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</si>
  <si>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</si>
  <si>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</si>
  <si>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</si>
  <si>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</si>
  <si>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</si>
  <si>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</si>
  <si>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</si>
  <si>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</si>
  <si>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</si>
  <si>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</si>
  <si>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</si>
  <si>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</si>
  <si>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</si>
  <si>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</si>
  <si>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</si>
  <si>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</si>
  <si>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</si>
  <si>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</si>
  <si>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</si>
  <si>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</si>
  <si>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</si>
  <si>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</si>
  <si>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</si>
  <si>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</si>
  <si>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</si>
  <si>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</si>
  <si>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</si>
  <si>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</si>
  <si>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</si>
  <si>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</si>
  <si>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</si>
  <si>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</si>
  <si>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</si>
  <si>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</si>
  <si>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</si>
  <si>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</si>
  <si>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</si>
  <si>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</si>
  <si>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</si>
  <si>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</si>
  <si>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</si>
  <si>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</si>
  <si>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</si>
  <si>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</si>
  <si>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</si>
  <si>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</si>
  <si>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</si>
  <si>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</si>
  <si>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</si>
  <si>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</si>
  <si>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</si>
  <si>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</si>
  <si>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</si>
  <si>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</si>
  <si>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</si>
  <si>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</si>
  <si>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</si>
  <si>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</si>
  <si>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</si>
  <si>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</si>
  <si>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</si>
  <si>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</si>
  <si>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</si>
  <si>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</si>
  <si>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</si>
  <si>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</si>
  <si>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</si>
  <si>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</si>
  <si>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</si>
  <si>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</si>
  <si>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</si>
  <si>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</si>
  <si>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</si>
  <si>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</si>
  <si>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</si>
  <si>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</si>
  <si>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</si>
  <si>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</si>
  <si>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</si>
  <si>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</si>
  <si>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</si>
  <si>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</si>
  <si>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</si>
  <si>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</si>
  <si>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</si>
  <si>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</si>
  <si>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</si>
  <si>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</si>
  <si>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</si>
  <si>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</si>
  <si>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</si>
  <si>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</si>
  <si>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</si>
  <si>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</si>
  <si>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</si>
  <si>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</si>
  <si>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</si>
  <si>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</si>
  <si>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</si>
  <si>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</si>
  <si>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</si>
  <si>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</si>
  <si>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</si>
  <si>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</si>
  <si>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</si>
  <si>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</si>
  <si>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</si>
  <si>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</si>
  <si>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</si>
  <si>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</si>
  <si>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</si>
  <si>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</si>
  <si>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</si>
  <si>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</si>
  <si>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</si>
  <si>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</si>
  <si>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</si>
  <si>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</si>
  <si>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</si>
  <si>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</si>
  <si>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</si>
  <si>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</si>
  <si>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</si>
  <si>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</si>
  <si>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</si>
  <si>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</si>
  <si>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</si>
  <si>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</si>
  <si>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</si>
  <si>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</si>
  <si>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</si>
  <si>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</si>
  <si>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</si>
  <si>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</si>
  <si>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</si>
  <si>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</si>
  <si>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</si>
  <si>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</si>
  <si>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</si>
  <si>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</si>
  <si>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</si>
  <si>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</si>
  <si>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</si>
  <si>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</si>
  <si>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</si>
  <si>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</si>
  <si>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</si>
  <si>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</si>
  <si>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</si>
  <si>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</si>
  <si>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</si>
  <si>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</si>
  <si>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</si>
  <si>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</si>
  <si>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</si>
  <si>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</si>
  <si>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</si>
  <si>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</si>
  <si>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</si>
  <si>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</si>
  <si>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</si>
  <si>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</si>
  <si>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</si>
  <si>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</si>
  <si>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</si>
  <si>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</si>
  <si>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</si>
  <si>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</si>
  <si>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</si>
  <si>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</si>
  <si>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</si>
  <si>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</si>
  <si>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</si>
  <si>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</si>
  <si>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</si>
  <si>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 xml:space="preserve"> Grant za razvoj turizma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</si>
  <si>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</si>
  <si>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</si>
  <si>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</si>
  <si>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</si>
  <si>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</si>
  <si>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</si>
  <si>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</si>
  <si>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</si>
  <si>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</si>
  <si>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</si>
  <si>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</si>
  <si>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</si>
  <si>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</si>
  <si>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</si>
  <si>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</si>
  <si>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</si>
  <si>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</si>
  <si>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</si>
  <si>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</si>
  <si>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RB</t>
  </si>
  <si>
    <t>5.</t>
  </si>
  <si>
    <t>O P I S</t>
  </si>
  <si>
    <t xml:space="preserve"> Grant za Kuću nade Odžak</t>
  </si>
  <si>
    <t xml:space="preserve"> Grant za Sveučilište u Mostaru</t>
  </si>
  <si>
    <t xml:space="preserve"> Grantovi nižim razinama vlasti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</si>
  <si>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</si>
  <si>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</si>
  <si>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</si>
  <si>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</si>
  <si>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</si>
  <si>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</si>
  <si>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</si>
  <si>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</si>
  <si>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</si>
  <si>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</si>
  <si>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</si>
  <si>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</si>
  <si>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</si>
  <si>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</si>
  <si>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</si>
  <si>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</si>
  <si>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</si>
  <si>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</si>
  <si>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</si>
  <si>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</si>
  <si>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</si>
  <si>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</si>
  <si>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</si>
  <si>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</si>
  <si>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</si>
  <si>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</si>
  <si>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</si>
  <si>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</si>
  <si>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</si>
  <si>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</si>
  <si>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</si>
  <si>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</si>
  <si>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</si>
  <si>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</si>
  <si>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</si>
  <si>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</si>
  <si>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</si>
  <si>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</si>
  <si>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</si>
  <si>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</si>
  <si>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</si>
  <si>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</si>
  <si>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</si>
  <si>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</si>
  <si>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</si>
  <si>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</si>
  <si>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</si>
  <si>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</si>
  <si>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</si>
  <si>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</si>
  <si>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</si>
  <si>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</si>
  <si>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</si>
  <si>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</si>
  <si>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</si>
  <si>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</si>
  <si>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</si>
  <si>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</si>
  <si>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</si>
  <si>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</si>
  <si>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</si>
  <si>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</si>
  <si>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</si>
  <si>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</si>
  <si>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</si>
  <si>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</si>
  <si>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</si>
  <si>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</si>
  <si>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</si>
  <si>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</si>
  <si>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</si>
  <si>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</si>
  <si>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</si>
  <si>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</si>
  <si>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</si>
  <si>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</si>
  <si>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</si>
  <si>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</si>
  <si>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</si>
  <si>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</si>
  <si>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</si>
  <si>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</si>
  <si>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</si>
  <si>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</si>
  <si>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</si>
  <si>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</si>
  <si>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</si>
  <si>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</si>
  <si>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</si>
  <si>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</si>
  <si>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</si>
  <si>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</si>
  <si>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</si>
  <si>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</si>
  <si>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</si>
  <si>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</si>
  <si>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</si>
  <si>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</si>
  <si>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</si>
  <si>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</si>
  <si>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</si>
  <si>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</si>
  <si>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</si>
  <si>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</si>
  <si>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</si>
  <si>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</si>
  <si>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</si>
  <si>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</si>
  <si>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</si>
  <si>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</si>
  <si>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</si>
  <si>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</si>
  <si>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</si>
  <si>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</si>
  <si>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</si>
  <si>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</si>
  <si>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</si>
  <si>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</si>
  <si>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</si>
  <si>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</si>
  <si>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</si>
  <si>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</si>
  <si>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</si>
  <si>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</si>
  <si>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</si>
  <si>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</si>
  <si>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</si>
  <si>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</si>
  <si>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</si>
  <si>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</si>
  <si>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</si>
  <si>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</si>
  <si>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</si>
  <si>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</si>
  <si>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</si>
  <si>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</si>
  <si>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</si>
  <si>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</si>
  <si>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</si>
  <si>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</si>
  <si>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</si>
  <si>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</si>
  <si>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</si>
  <si>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</si>
  <si>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</si>
  <si>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</si>
  <si>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</si>
  <si>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</si>
  <si>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</si>
  <si>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</si>
  <si>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</si>
  <si>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</si>
  <si>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</si>
  <si>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</si>
  <si>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</si>
  <si>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</si>
  <si>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</si>
  <si>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</si>
  <si>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</si>
  <si>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</si>
  <si>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</si>
  <si>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</si>
  <si>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</si>
  <si>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</si>
  <si>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</si>
  <si>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</si>
  <si>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</si>
  <si>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</si>
  <si>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</si>
  <si>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</si>
  <si>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</si>
  <si>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</si>
  <si>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</si>
  <si>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</si>
  <si>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</si>
  <si>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</si>
  <si>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</si>
  <si>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</si>
  <si>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</si>
  <si>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</si>
  <si>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</si>
  <si>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</si>
  <si>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</si>
  <si>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</si>
  <si>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</si>
  <si>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</si>
  <si>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</si>
  <si>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</si>
  <si>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</si>
  <si>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</si>
  <si>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</si>
  <si>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</si>
  <si>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</si>
  <si>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</si>
  <si>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</si>
  <si>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</si>
  <si>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</si>
  <si>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</si>
  <si>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</si>
  <si>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</si>
  <si>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</si>
  <si>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</si>
  <si>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</si>
  <si>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</si>
  <si>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</si>
  <si>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</si>
  <si>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</si>
  <si>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</si>
  <si>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</si>
  <si>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</si>
  <si>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</si>
  <si>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</si>
  <si>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</si>
  <si>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</si>
  <si>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</si>
  <si>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</si>
  <si>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</si>
  <si>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</si>
  <si>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</si>
  <si>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</si>
  <si>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</si>
  <si>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</si>
  <si>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</si>
  <si>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</si>
  <si>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</si>
  <si>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</si>
  <si>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</si>
  <si>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</si>
  <si>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</si>
  <si>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</si>
  <si>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</si>
  <si>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</si>
  <si>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</si>
  <si>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</si>
  <si>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</si>
  <si>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</si>
  <si>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</si>
  <si>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</si>
  <si>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</si>
  <si>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</si>
  <si>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</si>
  <si>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</si>
  <si>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</si>
  <si>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</si>
  <si>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</si>
  <si>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</si>
  <si>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</si>
  <si>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</si>
  <si>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</si>
  <si>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</si>
  <si>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</si>
  <si>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</si>
  <si>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</si>
  <si>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</si>
  <si>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</si>
  <si>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</si>
  <si>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</si>
  <si>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</si>
  <si>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</si>
  <si>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</si>
  <si>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</si>
  <si>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</si>
  <si>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</si>
  <si>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</si>
  <si>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</si>
  <si>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</si>
  <si>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</si>
  <si>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</si>
  <si>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</si>
  <si>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</si>
  <si>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</si>
  <si>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</si>
  <si>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</si>
  <si>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</si>
  <si>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</si>
  <si>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</si>
  <si>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</si>
  <si>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</si>
  <si>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</si>
  <si>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</si>
  <si>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</si>
  <si>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</si>
  <si>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</si>
  <si>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</si>
  <si>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</si>
  <si>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</si>
  <si>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</si>
  <si>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</si>
  <si>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</si>
  <si>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</si>
  <si>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</si>
  <si>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</si>
  <si>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</si>
  <si>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 xml:space="preserve"> Otplate domaćeg pozajmljivanja - Austrija</t>
  </si>
  <si>
    <t xml:space="preserve"> Otplate domaćeg pozajmljivanja - Koreja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</si>
  <si>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</si>
  <si>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</si>
  <si>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</si>
  <si>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</si>
  <si>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</si>
  <si>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</si>
  <si>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</si>
  <si>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</si>
  <si>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</si>
  <si>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</si>
  <si>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</si>
  <si>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</si>
  <si>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</si>
  <si>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</si>
  <si>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</si>
  <si>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</si>
  <si>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</si>
  <si>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</si>
  <si>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</si>
  <si>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</si>
  <si>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</si>
  <si>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</si>
  <si>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</si>
  <si>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</si>
  <si>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</si>
  <si>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</si>
  <si>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Kapitalni grantovi od poduzeća</t>
  </si>
  <si>
    <t xml:space="preserve">   Primljeni tekući grantovi od gradova</t>
  </si>
  <si>
    <t>Subanalitika</t>
  </si>
  <si>
    <t>BA6017</t>
  </si>
  <si>
    <t>BA6006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</si>
  <si>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</si>
  <si>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</si>
  <si>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</si>
  <si>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</si>
  <si>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</si>
  <si>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</si>
  <si>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</si>
  <si>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</si>
  <si>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</si>
  <si>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</si>
  <si>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</si>
  <si>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</si>
  <si>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</si>
  <si>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</si>
  <si>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</si>
  <si>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</si>
  <si>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</si>
  <si>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</si>
  <si>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</si>
  <si>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</si>
  <si>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</si>
  <si>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</si>
  <si>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</si>
  <si>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</si>
  <si>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</si>
  <si>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</si>
  <si>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</si>
  <si>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</si>
  <si>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kulturu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</si>
  <si>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</si>
  <si>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</si>
  <si>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</si>
  <si>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</si>
  <si>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</si>
  <si>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</si>
  <si>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</si>
  <si>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</si>
  <si>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</si>
  <si>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</si>
  <si>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</si>
  <si>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</si>
  <si>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kulturu</t>
  </si>
  <si>
    <t>iz prorač.
sredstava</t>
  </si>
  <si>
    <t>iz ostalih izvora</t>
  </si>
  <si>
    <t>8=6+7</t>
  </si>
  <si>
    <t xml:space="preserve"> Grantovi neprofitnim organizacijama i udrugama građana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</si>
  <si>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</si>
  <si>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</si>
  <si>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</si>
  <si>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</si>
  <si>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</si>
  <si>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</si>
  <si>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</si>
  <si>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</si>
  <si>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</si>
  <si>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</si>
  <si>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</si>
  <si>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</si>
  <si>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</si>
  <si>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</si>
  <si>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</si>
  <si>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</si>
  <si>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</si>
  <si>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</si>
  <si>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</si>
  <si>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</si>
  <si>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</si>
  <si>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</si>
  <si>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</si>
  <si>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</si>
  <si>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</si>
  <si>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</si>
  <si>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</si>
  <si>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</si>
  <si>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</si>
  <si>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</si>
  <si>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</si>
  <si>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</si>
  <si>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</si>
  <si>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</si>
  <si>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</si>
  <si>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</si>
  <si>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</si>
  <si>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</si>
  <si>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</si>
  <si>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</si>
  <si>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</si>
  <si>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</si>
  <si>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</si>
  <si>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</si>
  <si>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</si>
  <si>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</si>
  <si>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</si>
  <si>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</si>
  <si>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</si>
  <si>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</si>
  <si>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</si>
  <si>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</si>
  <si>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</si>
  <si>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</si>
  <si>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</si>
  <si>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</si>
  <si>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</si>
  <si>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</si>
  <si>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</si>
  <si>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</si>
  <si>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</si>
  <si>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</si>
  <si>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</si>
  <si>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</si>
  <si>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</si>
  <si>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</si>
  <si>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</si>
  <si>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</si>
  <si>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</si>
  <si>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</si>
  <si>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</si>
  <si>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</si>
  <si>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</si>
  <si>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t xml:space="preserve">      99999999 Riznica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</si>
  <si>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</si>
  <si>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</si>
  <si>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</si>
  <si>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</si>
  <si>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</si>
  <si>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</si>
  <si>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</si>
  <si>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</si>
  <si>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Usluge sporta i rekreacije</t>
  </si>
  <si>
    <t xml:space="preserve"> o/č Grantovi za sport</t>
  </si>
  <si>
    <t xml:space="preserve"> Grantovi za sport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</si>
  <si>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</si>
  <si>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</si>
  <si>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</si>
  <si>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11010001 Vlada ŽP - Brčko Distrikt</t>
  </si>
  <si>
    <t xml:space="preserve">      20010001 Ministarstvo prosvjete, znanosti, kulture i sporta - Ured za 
      Hrvate izvan RH</t>
  </si>
  <si>
    <t xml:space="preserve">      19010001 Ministarstvo poljoprivrede, vodoprivrede i šumarstva - Feder. 
      Ministarstvo prostornog uređenja - Ljetni nasip Kopanice</t>
  </si>
  <si>
    <t xml:space="preserve">      20010001 Ministarstvo prosvjete, znanosti, kulture i sporta - Federalno
      ministarstvo obrazovanja i nauke</t>
  </si>
  <si>
    <t xml:space="preserve">      20020004 Srednja strukovna škola Orašje - Federalno 
      ministarstvo obrazovanja i nauke</t>
  </si>
  <si>
    <t xml:space="preserve">   Kapitalni grantovi od županija</t>
  </si>
  <si>
    <t xml:space="preserve">      20020004 Srednja strukovna škola Orašje - Min.poljoprivrede, 
      vodoprivrede i šumarstva ŽP</t>
  </si>
  <si>
    <t xml:space="preserve">      20020002 Srednja škola P.Zečevića Odžak-Strolit,Peplast i ST Company</t>
  </si>
  <si>
    <t xml:space="preserve">      20030006 Osnovna škola A.G.Matoša Vidovice- BH Telecom d.d.</t>
  </si>
  <si>
    <t xml:space="preserve">      20030007 Osnovna škola Braće Radića Domaljevac - BH Telecom d.d.</t>
  </si>
  <si>
    <t xml:space="preserve">      20030006 Osnovna škola A.G.Matoša Vidovice</t>
  </si>
  <si>
    <t xml:space="preserve">   Grant od Federalnog zavoda za zapošljavanje-Min.pravosuđa i uprave</t>
  </si>
  <si>
    <t>19 (19)</t>
  </si>
  <si>
    <t>KA6012</t>
  </si>
  <si>
    <t>KA6013</t>
  </si>
  <si>
    <t xml:space="preserve"> Grantovi za branitelje i stradalnike Domovinskog rata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</si>
  <si>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</si>
  <si>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</si>
  <si>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</si>
  <si>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</si>
  <si>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</si>
  <si>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</si>
  <si>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</si>
  <si>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</si>
  <si>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</si>
  <si>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Ured za obnovu, stambeno zbrinjavanje i raseljene osobe Vlade ŽP</t>
  </si>
  <si>
    <t>Zajednička služba Vlade Županije Posavske</t>
  </si>
  <si>
    <t>ZAJEDNIČKA SLUŽBA VLADE ŽUPANIJE POSAVSKE</t>
  </si>
  <si>
    <t>Služba za odnose s javnošću Vlade Županije Posavske</t>
  </si>
  <si>
    <t>SLUŽBA ZA ODNOSE S JAVNOŠĆU VLADE ŽUPANIJE POSAVSKE</t>
  </si>
  <si>
    <t>Ured za zakonodavstvo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</si>
  <si>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</si>
  <si>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</si>
  <si>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</si>
  <si>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</si>
  <si>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</si>
  <si>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</si>
  <si>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</si>
  <si>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</si>
  <si>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</si>
  <si>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</si>
  <si>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</si>
  <si>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</si>
  <si>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</si>
  <si>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</si>
  <si>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</si>
  <si>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</si>
  <si>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</si>
  <si>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</si>
  <si>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</si>
  <si>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</si>
  <si>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</si>
  <si>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</si>
  <si>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</si>
  <si>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</si>
  <si>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</si>
  <si>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</si>
  <si>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</si>
  <si>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</si>
  <si>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</si>
  <si>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</si>
  <si>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</si>
  <si>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</si>
  <si>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</si>
  <si>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</si>
  <si>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</si>
  <si>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</si>
  <si>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</si>
  <si>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</si>
  <si>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</si>
  <si>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</si>
  <si>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</si>
  <si>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Kapitalni grant za razvoj poduzetništva, obrta i zadruga</t>
  </si>
  <si>
    <t xml:space="preserve"> Kapitalni grant za uređenje poljoprivrednog zemljišta</t>
  </si>
  <si>
    <t>URED ZA RASELJENE</t>
  </si>
  <si>
    <t>Ured za raseljene</t>
  </si>
  <si>
    <t>45.</t>
  </si>
  <si>
    <t xml:space="preserve">   Grant od Federalnog zavoda za zapošljavanje - pripravnici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</si>
  <si>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</si>
  <si>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</si>
  <si>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</si>
  <si>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</si>
  <si>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</si>
  <si>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</si>
  <si>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</si>
  <si>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</si>
  <si>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</si>
  <si>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</si>
  <si>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</si>
  <si>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</si>
  <si>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</si>
  <si>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</si>
  <si>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</si>
  <si>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</si>
  <si>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</si>
  <si>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</si>
  <si>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</si>
  <si>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</si>
  <si>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</si>
  <si>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</si>
  <si>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</si>
  <si>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</si>
  <si>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</si>
  <si>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</si>
  <si>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</si>
  <si>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</si>
  <si>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</si>
  <si>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</si>
  <si>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</si>
  <si>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</si>
  <si>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</si>
  <si>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</si>
  <si>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</si>
  <si>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</si>
  <si>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</si>
  <si>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</si>
  <si>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</si>
  <si>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</si>
  <si>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</si>
  <si>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</si>
  <si>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</si>
  <si>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</si>
  <si>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</si>
  <si>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</si>
  <si>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</si>
  <si>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</si>
  <si>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</si>
  <si>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</si>
  <si>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>31 (32)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</si>
  <si>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</si>
  <si>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</si>
  <si>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</si>
  <si>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</si>
  <si>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</si>
  <si>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o/č Grant za pomoć pri stambenom zbrinjavanju mladih obitelji 
      i socijalnih kategorija</t>
  </si>
  <si>
    <t xml:space="preserve"> Grant za pomoć pri stambenom zbrinjavanju mladih obitelji 
 i socijalnih kategorija</t>
  </si>
  <si>
    <t xml:space="preserve">   Prihodi  od iznajmljivanja vozila</t>
  </si>
  <si>
    <t xml:space="preserve">      20010001 Ministarstvo prosvjete, znanosti, kulture i sporta - 
      Poboljšanje kvalitete prakt.nastave u srednjem obraz.</t>
  </si>
  <si>
    <t xml:space="preserve">      20010001 Ministarstvo prosvjete, znanosti, kulture i sporta - Ured za 
      obnovu i stambeno zbrinjavanje</t>
  </si>
  <si>
    <t xml:space="preserve">      12010001 Zajednička služba Vlade Županije Posavske</t>
  </si>
  <si>
    <t xml:space="preserve">      19010001 Ministarstvo poljoprivrede, vodoprivrede i šumarstva ŽP</t>
  </si>
  <si>
    <t>Bosna i Hercegovina
Federacija Bosne i 
Hercegovine
Županija Posavska
V L A D A</t>
  </si>
  <si>
    <t>Bosnia and Herzegovina
Federation of Bosnia and Herzegovina
Posavina County
THE GOVERNMENT</t>
  </si>
  <si>
    <t>TABLIČNI PREGLED</t>
  </si>
  <si>
    <t>IZVRŠENJE PRORAČUNA ŽUPANIJE POSAVSKE</t>
  </si>
  <si>
    <t>Završni dio</t>
  </si>
  <si>
    <t>107 (111)</t>
  </si>
  <si>
    <t>38 (40)</t>
  </si>
  <si>
    <t>PRORAČUN za 2020./ Izmjene i dopune Proračuna za 2020.</t>
  </si>
  <si>
    <t>EA6002</t>
  </si>
  <si>
    <t xml:space="preserve"> Ugovorene i dr.pos.usluge-troškovi izvršenja mjere pritvora</t>
  </si>
  <si>
    <t xml:space="preserve"> o/č Ugovorene i dr.pos.usluge-troškovi izvršenja mjere pritvora</t>
  </si>
  <si>
    <t xml:space="preserve"> Izdaci za inozemne kamate-Koreja</t>
  </si>
  <si>
    <t xml:space="preserve"> Izdaci za inozemne kamate-Austrija</t>
  </si>
  <si>
    <t xml:space="preserve"> Vanjske otplate-Koreja</t>
  </si>
  <si>
    <t xml:space="preserve"> Vanjske otplate-Austrija</t>
  </si>
  <si>
    <t xml:space="preserve"> Otplate domaćeg pozajmljivanja-Koreja</t>
  </si>
  <si>
    <t xml:space="preserve"> Otplate domaćeg pozajmljivanja-Austrija</t>
  </si>
  <si>
    <t xml:space="preserve"> Grantovi za šport</t>
  </si>
  <si>
    <t xml:space="preserve"> Vanjske otplate - Koreja</t>
  </si>
  <si>
    <t xml:space="preserve"> Vanjske otplate - Austrija</t>
  </si>
  <si>
    <r>
      <t xml:space="preserve">  o/t Prihodi od neizravnih poreza na ime financ.autocesta u FBiH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</si>
  <si>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o/t Prihodi od neizravnih poreza nkoji pripadaju Direkciji cesta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</si>
  <si>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 o/t Prihodi od neizravnih poreza koji pripadaju Direkciji cesta</t>
  </si>
  <si>
    <t xml:space="preserve">  o/t Prihodi od neizravnih poreza na ime financ.autocesta u FBiH</t>
  </si>
  <si>
    <t xml:space="preserve">      19010001 Minist.poljopr., vodoprivrede i šumarstva</t>
  </si>
  <si>
    <r>
      <t xml:space="preserve">      99999999 Riznica </t>
    </r>
    <r>
      <rPr>
        <b/>
        <i/>
        <sz val="10"/>
        <color indexed="8"/>
        <rFont val="Calibri"/>
        <family val="2"/>
        <charset val="238"/>
      </rPr>
      <t>(razgraničenja)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</si>
  <si>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(razgraničenja)</t>
    </r>
  </si>
  <si>
    <r>
      <t xml:space="preserve">      19010001 Minist.poljopr., vodoprivrede i šumarstva </t>
    </r>
    <r>
      <rPr>
        <b/>
        <i/>
        <sz val="10"/>
        <color indexed="8"/>
        <rFont val="Calibri"/>
        <family val="2"/>
        <charset val="238"/>
      </rPr>
      <t>(razgr.)</t>
    </r>
  </si>
  <si>
    <r>
      <t xml:space="preserve">      23010001 Uprava za civilnu zaštitu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</si>
  <si>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     20030001 Osnovna škola Orašje u Orašju - Ured za Hrvate izvan RH</t>
  </si>
  <si>
    <r>
      <t xml:space="preserve">      27010001 Kant.tužiteljstvo - IPA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</si>
  <si>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     17010001 Ministarstvo zdravstva i socijalne politike - Civilne žrtve rata</t>
  </si>
  <si>
    <t xml:space="preserve">      20010001 Ministarstvo prosvjete, znanosti, kulture i sporta - Nabavka 
      besplatnih udžbenika</t>
  </si>
  <si>
    <t xml:space="preserve">      99999999 Riznica ŽP - Paket markofinancijske potpore EU</t>
  </si>
  <si>
    <t xml:space="preserve">      99999999 Riznica ŽP -  Potpora iz sredstava MMF-a</t>
  </si>
  <si>
    <r>
      <t xml:space="preserve">      20020004 Sred.struk.škola Orašje-Ured za Hrvate izvan RH </t>
    </r>
    <r>
      <rPr>
        <b/>
        <i/>
        <sz val="10"/>
        <color indexed="8"/>
        <rFont val="Calibri"/>
        <family val="2"/>
        <charset val="238"/>
      </rPr>
      <t>(razgr.)</t>
    </r>
  </si>
  <si>
    <t xml:space="preserve">      20010001 Ministarstvo prosvjete, znanosti, kulture i sporta - UNICEF</t>
  </si>
  <si>
    <t xml:space="preserve">  Prihodi po osnovi premije i provizije za izdano jamstvo</t>
  </si>
  <si>
    <t xml:space="preserve">  Prihodi po osnovi obračunate provizije za izdano jamstvo</t>
  </si>
  <si>
    <t xml:space="preserve"> o/č Ugovorene i druge posebne usluge-volonterski rad (2) (24)</t>
  </si>
  <si>
    <t xml:space="preserve"> Naknade troškova zaposlenih - volonteri (2) (24)</t>
  </si>
  <si>
    <t>PRORAČUN za 2020./Izmjene i dopune PRORAČUNA za 2020.</t>
  </si>
  <si>
    <t>Povećanje/ smanjenje PRORAČUNA za 2020.</t>
  </si>
  <si>
    <t xml:space="preserve">PRORAČUN 
za 2020./ Izmjene i dopune PRORAČUNA za 2020. </t>
  </si>
  <si>
    <t>PRORAČUN za 
2020./Izmjene i dopune Proračuna za 2020.</t>
  </si>
  <si>
    <t xml:space="preserve">      20020003 ŠC Fra M.Nedića u Orašju- Ured za Hrvate uzvan RH</t>
  </si>
  <si>
    <t xml:space="preserve">      20030005 OŠ S.Radića u Boku - Ured za Hrvate uzvan RH</t>
  </si>
  <si>
    <t xml:space="preserve">   Kapitalni grantovi od općina</t>
  </si>
  <si>
    <t xml:space="preserve">      14020003 Općinski sud u Orašju</t>
  </si>
  <si>
    <t xml:space="preserve">   Ostale kazne - OŠ Orašje u Orašju</t>
  </si>
  <si>
    <t xml:space="preserve">      20020003 ŠC Fra M.Nedića u Orašju - Saniranje šteta od olujnog nevremena</t>
  </si>
  <si>
    <t>109 (112)</t>
  </si>
  <si>
    <t>29 (29)</t>
  </si>
  <si>
    <t xml:space="preserve">      15010001 Min.gospod.,rada i prost.uređenja-Prostorni plan</t>
  </si>
  <si>
    <t xml:space="preserve">      20010001 Ministarstvo prosvjete, znanosti, kulture i sporta - Federalno
      ministarstvo prostornog uređenja - utopljavanje škola</t>
  </si>
  <si>
    <t>Izvršenje PRORAČUNA za 2020.godinu</t>
  </si>
  <si>
    <t>Izvršenje Proračuna za 2019.godinu</t>
  </si>
  <si>
    <t>INDEKS
2020/
2019 (13/10)</t>
  </si>
  <si>
    <t>INDEKS
 (13/9)</t>
  </si>
  <si>
    <t>IZVRŠENJE PRORAČUNA ŽUPANIJE POSAVSKE ZA 2020.GODINU (po korisnicima i ekonomskim klasifikacijama izdataka)</t>
  </si>
  <si>
    <t>FUNKCIJSKA KLASIFIKACIJA RASHODA I IZDATAKA PRORAČUNA ŽUPANIJE POSAVSKE ZA 2020.GODINU</t>
  </si>
  <si>
    <t>IZDACI ZA NABAVKU STALNIH SREDSTAVA ŽUPANIJE POSAVSKE ZA 2020.G.(po proračunskim korisnicima i izvorima financiranja)</t>
  </si>
  <si>
    <t>Izvršenje 
Proračuna 
za 2019.god.</t>
  </si>
  <si>
    <t>Izvršenje PRORAČUNa za 2020.godinu</t>
  </si>
  <si>
    <t>INDEKS
(8/4)</t>
  </si>
  <si>
    <t>INDEKS
2020/
2019 
(8/5)</t>
  </si>
  <si>
    <t>Izvršenje PRORAČUNA 
za 2020.godinu</t>
  </si>
  <si>
    <t>INDEKS
(6/4)</t>
  </si>
  <si>
    <t>INDEKS
2020/
2019
(6/5)</t>
  </si>
  <si>
    <t>za 2020. godinu</t>
  </si>
  <si>
    <t>Izvršenje PRORAČUNA za 
2019.godinu</t>
  </si>
  <si>
    <t>Izvršenje PRORAČUNA za 
2020.godinu</t>
  </si>
  <si>
    <t>INDEKS
(5/3)</t>
  </si>
  <si>
    <t>INDEKS
I2020/
2019
(5/4)</t>
  </si>
  <si>
    <r>
      <t>IZVRŠENJE 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2020. godinu</t>
    </r>
  </si>
  <si>
    <t>Orašje, ožujak 2021. godine</t>
  </si>
  <si>
    <t xml:space="preserve"> Naknade troškova zaposlenih - volonteri (20)</t>
  </si>
  <si>
    <t xml:space="preserve"> Ugovorene i dr. posebne usluge-volonteri (20)</t>
  </si>
  <si>
    <t>50 (55)</t>
  </si>
  <si>
    <t>53 (54)</t>
  </si>
  <si>
    <t>43 (47)</t>
  </si>
  <si>
    <t>29 (31)</t>
  </si>
  <si>
    <t>42 (43)</t>
  </si>
  <si>
    <t>20 (20)</t>
  </si>
  <si>
    <t>28 (29)</t>
  </si>
  <si>
    <t>49 (56)</t>
  </si>
  <si>
    <t>55 (56)</t>
  </si>
  <si>
    <t>41 (47)</t>
  </si>
  <si>
    <t>39 (39)</t>
  </si>
  <si>
    <t>47 (47)</t>
  </si>
  <si>
    <t>932 (952)</t>
  </si>
  <si>
    <t>950 (970)</t>
  </si>
  <si>
    <t xml:space="preserve">   Prihodi od prodaje mjeničnih blanketa</t>
  </si>
  <si>
    <t xml:space="preserve">   Naplate premija osiguranja</t>
  </si>
  <si>
    <t xml:space="preserve">      20020002 Srednja škola Pere Zečevića Odžak - Min.poljoprivrede.
      vodoprivrede i šumarstva ŽP</t>
  </si>
  <si>
    <t xml:space="preserve">   Porez na dobit od poljoprivrednih djelatnosti</t>
  </si>
  <si>
    <t xml:space="preserve">      13010001 Ministarstvo unutarnjih poslova ŽP</t>
  </si>
  <si>
    <t xml:space="preserve">   Uplate zaost.obveza od nakn.za puteve iz cijene naft.derivata</t>
  </si>
  <si>
    <t>50 (53)</t>
  </si>
  <si>
    <t>52 (52)</t>
  </si>
  <si>
    <t>109 (111)</t>
  </si>
  <si>
    <t>42 (42)</t>
  </si>
  <si>
    <t>947 (962)</t>
  </si>
  <si>
    <t xml:space="preserve">                      Orašje, ožujak 2021. godine</t>
  </si>
  <si>
    <t>Izvršenje Proračuna ŽP za 2020.g.(po korisn.i ek.klasif.izdataka)</t>
  </si>
  <si>
    <t>Funkc.klasifikacija rashoda i izdataka Proračuna ŽP za 2020.g.</t>
  </si>
  <si>
    <t>Izdaci za nab.st.sredst.za 2020.g.(po pror.korisn.i izv.financ.)</t>
  </si>
  <si>
    <t>BA6019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</si>
</sst>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1"/>
      <name val="Arial"/>
      <family val="2"/>
      <charset val="238"/>
    </font>
    <font>
      <i/>
      <sz val="11"/>
      <color rgb="FF9C000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58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2" fillId="0" borderId="10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Protection="1">
      <protection locked="0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7" fillId="0" borderId="0" xfId="3" applyNumberFormat="1" applyFont="1" applyAlignment="1">
      <alignment horizontal="left"/>
    </xf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10" fillId="0" borderId="4" xfId="3" applyNumberFormat="1" applyFont="1" applyFill="1" applyBorder="1"/>
    <xf numFmtId="3" fontId="3" fillId="0" borderId="6" xfId="3" applyNumberFormat="1" applyFont="1" applyBorder="1"/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3" fontId="4" fillId="0" borderId="10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1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0" fillId="0" borderId="8" xfId="0" applyNumberFormat="1" applyFont="1" applyFill="1" applyBorder="1"/>
    <xf numFmtId="4" fontId="10" fillId="0" borderId="18" xfId="0" applyNumberFormat="1" applyFont="1" applyFill="1" applyBorder="1"/>
    <xf numFmtId="0" fontId="10" fillId="0" borderId="3" xfId="0" applyFont="1" applyBorder="1" applyAlignment="1">
      <alignment horizontal="right"/>
    </xf>
    <xf numFmtId="3" fontId="15" fillId="0" borderId="8" xfId="0" applyNumberFormat="1" applyFont="1" applyFill="1" applyBorder="1"/>
    <xf numFmtId="4" fontId="10" fillId="0" borderId="18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8" xfId="0" applyNumberFormat="1" applyFont="1" applyFill="1" applyBorder="1"/>
    <xf numFmtId="3" fontId="16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3" fontId="0" fillId="0" borderId="8" xfId="0" applyNumberFormat="1" applyFill="1" applyBorder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8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4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0" fontId="10" fillId="0" borderId="24" xfId="0" applyFont="1" applyBorder="1" applyAlignment="1">
      <alignment horizontal="right"/>
    </xf>
    <xf numFmtId="0" fontId="0" fillId="0" borderId="12" xfId="0" applyBorder="1"/>
    <xf numFmtId="3" fontId="10" fillId="0" borderId="26" xfId="0" applyNumberFormat="1" applyFont="1" applyBorder="1"/>
    <xf numFmtId="4" fontId="22" fillId="6" borderId="18" xfId="0" applyNumberFormat="1" applyFont="1" applyFill="1" applyBorder="1"/>
    <xf numFmtId="4" fontId="8" fillId="6" borderId="18" xfId="0" applyNumberFormat="1" applyFont="1" applyFill="1" applyBorder="1"/>
    <xf numFmtId="4" fontId="10" fillId="0" borderId="27" xfId="0" applyNumberFormat="1" applyFont="1" applyBorder="1"/>
    <xf numFmtId="4" fontId="10" fillId="0" borderId="27" xfId="0" applyNumberFormat="1" applyFont="1" applyFill="1" applyBorder="1"/>
    <xf numFmtId="4" fontId="22" fillId="0" borderId="18" xfId="0" applyNumberFormat="1" applyFont="1" applyBorder="1"/>
    <xf numFmtId="4" fontId="22" fillId="6" borderId="28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6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29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18" xfId="0" applyNumberFormat="1" applyFont="1" applyBorder="1"/>
    <xf numFmtId="4" fontId="2" fillId="0" borderId="30" xfId="0" applyNumberFormat="1" applyFont="1" applyBorder="1"/>
    <xf numFmtId="3" fontId="0" fillId="0" borderId="26" xfId="0" applyNumberFormat="1" applyFill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0" fontId="28" fillId="0" borderId="4" xfId="3" applyFont="1" applyFill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8" fillId="0" borderId="4" xfId="0" applyFont="1" applyBorder="1"/>
    <xf numFmtId="0" fontId="28" fillId="0" borderId="12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0" fontId="3" fillId="0" borderId="14" xfId="3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8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4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2" xfId="3" applyFont="1" applyFill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17" fillId="0" borderId="10" xfId="3" applyFont="1" applyBorder="1" applyAlignment="1">
      <alignment horizontal="center" vertical="top"/>
    </xf>
    <xf numFmtId="0" fontId="34" fillId="0" borderId="10" xfId="3" applyFont="1" applyBorder="1" applyAlignment="1">
      <alignment horizontal="center" vertical="top"/>
    </xf>
    <xf numFmtId="0" fontId="17" fillId="0" borderId="10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34" fillId="0" borderId="16" xfId="3" applyFont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3" applyNumberFormat="1" applyFont="1" applyBorder="1" applyAlignment="1">
      <alignment horizontal="center" vertical="top"/>
    </xf>
    <xf numFmtId="0" fontId="17" fillId="0" borderId="10" xfId="3" applyFont="1" applyBorder="1" applyAlignment="1">
      <alignment horizontal="center"/>
    </xf>
    <xf numFmtId="0" fontId="17" fillId="0" borderId="34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2" xfId="3" applyFont="1" applyFill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2" xfId="3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164" fontId="21" fillId="0" borderId="14" xfId="0" applyNumberFormat="1" applyFont="1" applyBorder="1" applyAlignment="1"/>
    <xf numFmtId="4" fontId="32" fillId="0" borderId="19" xfId="3" applyNumberFormat="1" applyFont="1" applyBorder="1" applyAlignment="1">
      <alignment horizontal="center"/>
    </xf>
    <xf numFmtId="4" fontId="32" fillId="0" borderId="19" xfId="3" applyNumberFormat="1" applyFont="1" applyFill="1" applyBorder="1"/>
    <xf numFmtId="4" fontId="21" fillId="0" borderId="19" xfId="3" applyNumberFormat="1" applyFont="1" applyFill="1" applyBorder="1"/>
    <xf numFmtId="4" fontId="21" fillId="0" borderId="19" xfId="3" applyNumberFormat="1" applyFont="1" applyBorder="1"/>
    <xf numFmtId="4" fontId="21" fillId="0" borderId="20" xfId="3" applyNumberFormat="1" applyFont="1" applyBorder="1"/>
    <xf numFmtId="4" fontId="21" fillId="0" borderId="0" xfId="3" applyNumberFormat="1" applyFont="1"/>
    <xf numFmtId="4" fontId="32" fillId="0" borderId="20" xfId="3" applyNumberFormat="1" applyFont="1" applyBorder="1"/>
    <xf numFmtId="4" fontId="21" fillId="0" borderId="15" xfId="3" applyNumberFormat="1" applyFont="1" applyBorder="1"/>
    <xf numFmtId="4" fontId="32" fillId="0" borderId="19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10" xfId="12" applyNumberFormat="1" applyFont="1" applyBorder="1"/>
    <xf numFmtId="3" fontId="4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3" fontId="8" fillId="0" borderId="8" xfId="11" applyNumberFormat="1" applyFont="1" applyBorder="1"/>
    <xf numFmtId="3" fontId="8" fillId="6" borderId="8" xfId="11" applyNumberFormat="1" applyFont="1" applyFill="1" applyBorder="1"/>
    <xf numFmtId="3" fontId="4" fillId="0" borderId="8" xfId="11" applyNumberFormat="1" applyFont="1" applyBorder="1"/>
    <xf numFmtId="3" fontId="4" fillId="0" borderId="8" xfId="11" applyNumberFormat="1" applyFont="1" applyFill="1" applyBorder="1"/>
    <xf numFmtId="3" fontId="1" fillId="0" borderId="8" xfId="11" applyNumberFormat="1" applyFont="1" applyFill="1" applyBorder="1"/>
    <xf numFmtId="164" fontId="18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0" fontId="6" fillId="0" borderId="0" xfId="3" applyFont="1"/>
    <xf numFmtId="3" fontId="6" fillId="0" borderId="0" xfId="3" applyNumberFormat="1" applyFont="1"/>
    <xf numFmtId="0" fontId="6" fillId="6" borderId="6" xfId="3" applyFont="1" applyFill="1" applyBorder="1"/>
    <xf numFmtId="3" fontId="6" fillId="0" borderId="15" xfId="3" applyNumberFormat="1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9" fontId="3" fillId="6" borderId="3" xfId="0" applyNumberFormat="1" applyFont="1" applyFill="1" applyBorder="1" applyAlignment="1">
      <alignment horizontal="center" vertical="top"/>
    </xf>
    <xf numFmtId="49" fontId="18" fillId="6" borderId="10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10" xfId="3" applyNumberFormat="1" applyFont="1" applyFill="1" applyBorder="1" applyAlignment="1">
      <alignment horizontal="center" vertical="top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6" xfId="0" applyNumberFormat="1" applyFont="1" applyFill="1" applyBorder="1"/>
    <xf numFmtId="3" fontId="37" fillId="0" borderId="8" xfId="0" applyNumberFormat="1" applyFont="1" applyFill="1" applyBorder="1"/>
    <xf numFmtId="3" fontId="36" fillId="0" borderId="26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29" xfId="0" applyNumberFormat="1" applyFont="1" applyFill="1" applyBorder="1"/>
    <xf numFmtId="0" fontId="36" fillId="0" borderId="0" xfId="0" applyFont="1"/>
    <xf numFmtId="0" fontId="26" fillId="0" borderId="26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32" fillId="4" borderId="21" xfId="0" applyFont="1" applyFill="1" applyBorder="1" applyAlignment="1">
      <alignment horizontal="left" vertical="center"/>
    </xf>
    <xf numFmtId="0" fontId="39" fillId="4" borderId="21" xfId="0" applyFont="1" applyFill="1" applyBorder="1" applyAlignment="1">
      <alignment horizontal="center" vertical="center"/>
    </xf>
    <xf numFmtId="3" fontId="32" fillId="4" borderId="21" xfId="0" applyNumberFormat="1" applyFont="1" applyFill="1" applyBorder="1" applyAlignment="1"/>
    <xf numFmtId="2" fontId="32" fillId="4" borderId="21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/>
    <xf numFmtId="0" fontId="39" fillId="4" borderId="22" xfId="0" applyFont="1" applyFill="1" applyBorder="1" applyAlignment="1">
      <alignment horizont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3" fontId="32" fillId="4" borderId="21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3" xfId="0" applyFont="1" applyFill="1" applyBorder="1" applyAlignment="1"/>
    <xf numFmtId="0" fontId="39" fillId="0" borderId="23" xfId="0" applyFont="1" applyFill="1" applyBorder="1" applyAlignment="1">
      <alignment horizontal="center"/>
    </xf>
    <xf numFmtId="4" fontId="21" fillId="0" borderId="23" xfId="0" applyNumberFormat="1" applyFont="1" applyFill="1" applyBorder="1" applyAlignment="1"/>
    <xf numFmtId="2" fontId="21" fillId="0" borderId="23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1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3" xfId="0" applyBorder="1"/>
    <xf numFmtId="0" fontId="33" fillId="0" borderId="52" xfId="0" applyFont="1" applyBorder="1" applyAlignment="1">
      <alignment horizontal="center"/>
    </xf>
    <xf numFmtId="0" fontId="33" fillId="0" borderId="0" xfId="0" applyFont="1"/>
    <xf numFmtId="0" fontId="33" fillId="0" borderId="44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0" fillId="0" borderId="0" xfId="0"/>
    <xf numFmtId="0" fontId="1" fillId="0" borderId="4" xfId="0" applyFont="1" applyFill="1" applyBorder="1"/>
    <xf numFmtId="3" fontId="1" fillId="0" borderId="8" xfId="0" applyNumberFormat="1" applyFont="1" applyFill="1" applyBorder="1"/>
    <xf numFmtId="3" fontId="1" fillId="0" borderId="26" xfId="0" applyNumberFormat="1" applyFont="1" applyFill="1" applyBorder="1"/>
    <xf numFmtId="17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3" fontId="29" fillId="0" borderId="0" xfId="2" applyNumberFormat="1" applyFont="1" applyFill="1"/>
    <xf numFmtId="3" fontId="1" fillId="0" borderId="0" xfId="6" applyNumberFormat="1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8" fillId="0" borderId="8" xfId="12" applyNumberFormat="1" applyFont="1" applyFill="1" applyBorder="1" applyAlignment="1">
      <alignment horizontal="right"/>
    </xf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0" fontId="2" fillId="0" borderId="10" xfId="3" applyBorder="1"/>
    <xf numFmtId="0" fontId="18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8" fillId="0" borderId="18" xfId="12" applyNumberFormat="1" applyFont="1" applyFill="1" applyBorder="1" applyAlignment="1">
      <alignment horizontal="right"/>
    </xf>
    <xf numFmtId="3" fontId="3" fillId="0" borderId="18" xfId="3" applyNumberFormat="1" applyFont="1" applyBorder="1"/>
    <xf numFmtId="0" fontId="2" fillId="0" borderId="18" xfId="3" applyBorder="1"/>
    <xf numFmtId="0" fontId="2" fillId="0" borderId="30" xfId="3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4" fillId="7" borderId="3" xfId="12" applyNumberFormat="1" applyFont="1" applyFill="1" applyBorder="1"/>
    <xf numFmtId="3" fontId="8" fillId="0" borderId="3" xfId="12" applyNumberFormat="1" applyFont="1" applyFill="1" applyBorder="1"/>
    <xf numFmtId="0" fontId="1" fillId="0" borderId="8" xfId="12" applyFont="1" applyFill="1" applyBorder="1"/>
    <xf numFmtId="0" fontId="8" fillId="0" borderId="8" xfId="12" applyFont="1" applyFill="1" applyBorder="1"/>
    <xf numFmtId="3" fontId="1" fillId="0" borderId="8" xfId="12" applyNumberFormat="1" applyFont="1" applyFill="1" applyBorder="1" applyAlignment="1">
      <alignment vertical="center"/>
    </xf>
    <xf numFmtId="3" fontId="1" fillId="0" borderId="3" xfId="12" applyNumberFormat="1" applyFont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3" fontId="2" fillId="0" borderId="9" xfId="3" applyNumberFormat="1" applyBorder="1"/>
    <xf numFmtId="0" fontId="3" fillId="0" borderId="24" xfId="3" applyFont="1" applyFill="1" applyBorder="1" applyAlignment="1">
      <alignment horizontal="center" vertical="center" wrapText="1"/>
    </xf>
    <xf numFmtId="3" fontId="3" fillId="0" borderId="3" xfId="4" applyNumberFormat="1" applyFont="1" applyFill="1" applyBorder="1"/>
    <xf numFmtId="3" fontId="10" fillId="0" borderId="3" xfId="4" applyNumberFormat="1" applyFill="1" applyBorder="1"/>
    <xf numFmtId="3" fontId="2" fillId="0" borderId="3" xfId="3" applyNumberFormat="1" applyBorder="1"/>
    <xf numFmtId="3" fontId="3" fillId="3" borderId="3" xfId="3" applyNumberFormat="1" applyFont="1" applyFill="1" applyBorder="1"/>
    <xf numFmtId="3" fontId="3" fillId="0" borderId="3" xfId="3" applyNumberFormat="1" applyFont="1" applyBorder="1"/>
    <xf numFmtId="3" fontId="2" fillId="0" borderId="3" xfId="3" applyNumberFormat="1" applyFill="1" applyBorder="1"/>
    <xf numFmtId="3" fontId="3" fillId="0" borderId="3" xfId="3" applyNumberFormat="1" applyFont="1" applyFill="1" applyBorder="1" applyAlignment="1">
      <alignment horizontal="right"/>
    </xf>
    <xf numFmtId="3" fontId="2" fillId="0" borderId="5" xfId="3" applyNumberFormat="1" applyBorder="1"/>
    <xf numFmtId="3" fontId="2" fillId="0" borderId="8" xfId="3" applyNumberFormat="1" applyBorder="1"/>
    <xf numFmtId="0" fontId="8" fillId="0" borderId="24" xfId="3" applyFont="1" applyFill="1" applyBorder="1" applyAlignment="1">
      <alignment horizontal="center" vertical="center" wrapText="1"/>
    </xf>
    <xf numFmtId="3" fontId="3" fillId="0" borderId="3" xfId="3" applyNumberFormat="1" applyFont="1" applyFill="1" applyBorder="1"/>
    <xf numFmtId="0" fontId="3" fillId="0" borderId="12" xfId="3" applyFont="1" applyBorder="1" applyAlignment="1">
      <alignment horizontal="center"/>
    </xf>
    <xf numFmtId="3" fontId="3" fillId="7" borderId="3" xfId="4" applyNumberFormat="1" applyFont="1" applyFill="1" applyBorder="1"/>
    <xf numFmtId="3" fontId="10" fillId="7" borderId="3" xfId="4" applyNumberFormat="1" applyFill="1" applyBorder="1"/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3" fillId="0" borderId="4" xfId="4" applyNumberFormat="1" applyFont="1" applyFill="1" applyBorder="1" applyProtection="1"/>
    <xf numFmtId="3" fontId="4" fillId="0" borderId="4" xfId="4" applyNumberFormat="1" applyFont="1" applyFill="1" applyBorder="1" applyProtection="1"/>
    <xf numFmtId="3" fontId="10" fillId="0" borderId="4" xfId="4" applyNumberFormat="1" applyFill="1" applyBorder="1" applyProtection="1"/>
    <xf numFmtId="3" fontId="4" fillId="0" borderId="4" xfId="3" applyNumberFormat="1" applyFont="1" applyBorder="1" applyProtection="1"/>
    <xf numFmtId="3" fontId="3" fillId="3" borderId="4" xfId="3" applyNumberFormat="1" applyFont="1" applyFill="1" applyBorder="1" applyProtection="1"/>
    <xf numFmtId="3" fontId="2" fillId="0" borderId="4" xfId="3" applyNumberFormat="1" applyFill="1" applyBorder="1" applyProtection="1"/>
    <xf numFmtId="3" fontId="10" fillId="0" borderId="4" xfId="3" applyNumberFormat="1" applyFont="1" applyFill="1" applyBorder="1" applyProtection="1"/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0" fontId="8" fillId="0" borderId="24" xfId="3" applyFont="1" applyFill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4" applyNumberFormat="1" applyFont="1" applyFill="1" applyBorder="1" applyProtection="1"/>
    <xf numFmtId="3" fontId="4" fillId="0" borderId="3" xfId="4" applyNumberFormat="1" applyFont="1" applyFill="1" applyBorder="1" applyProtection="1"/>
    <xf numFmtId="3" fontId="10" fillId="0" borderId="3" xfId="4" applyNumberFormat="1" applyFill="1" applyBorder="1" applyProtection="1"/>
    <xf numFmtId="3" fontId="4" fillId="0" borderId="3" xfId="3" applyNumberFormat="1" applyFont="1" applyBorder="1" applyProtection="1"/>
    <xf numFmtId="3" fontId="3" fillId="3" borderId="3" xfId="3" applyNumberFormat="1" applyFont="1" applyFill="1" applyBorder="1" applyProtection="1"/>
    <xf numFmtId="3" fontId="2" fillId="0" borderId="3" xfId="3" applyNumberFormat="1" applyFill="1" applyBorder="1" applyProtection="1"/>
    <xf numFmtId="3" fontId="10" fillId="0" borderId="3" xfId="3" applyNumberFormat="1" applyFont="1" applyFill="1" applyBorder="1" applyProtection="1"/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3" fontId="4" fillId="7" borderId="3" xfId="4" applyNumberFormat="1" applyFont="1" applyFill="1" applyBorder="1"/>
    <xf numFmtId="3" fontId="4" fillId="0" borderId="3" xfId="3" applyNumberFormat="1" applyFont="1" applyBorder="1"/>
    <xf numFmtId="3" fontId="4" fillId="0" borderId="3" xfId="3" applyNumberFormat="1" applyFont="1" applyFill="1" applyBorder="1"/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3" fontId="4" fillId="0" borderId="3" xfId="4" applyNumberFormat="1" applyFont="1" applyFill="1" applyBorder="1"/>
    <xf numFmtId="3" fontId="3" fillId="0" borderId="3" xfId="3" applyNumberFormat="1" applyFont="1" applyBorder="1" applyAlignment="1">
      <alignment horizontal="right"/>
    </xf>
    <xf numFmtId="3" fontId="2" fillId="0" borderId="3" xfId="3" applyNumberFormat="1" applyFont="1" applyFill="1" applyBorder="1"/>
    <xf numFmtId="3" fontId="8" fillId="0" borderId="3" xfId="3" applyNumberFormat="1" applyFont="1" applyFill="1" applyBorder="1"/>
    <xf numFmtId="3" fontId="10" fillId="0" borderId="3" xfId="4" applyNumberFormat="1" applyFont="1" applyFill="1" applyBorder="1"/>
    <xf numFmtId="3" fontId="4" fillId="0" borderId="3" xfId="3" applyNumberFormat="1" applyFont="1" applyFill="1" applyBorder="1" applyAlignment="1">
      <alignment vertical="center"/>
    </xf>
    <xf numFmtId="3" fontId="4" fillId="0" borderId="8" xfId="3" applyNumberFormat="1" applyFont="1" applyFill="1" applyBorder="1"/>
    <xf numFmtId="3" fontId="3" fillId="0" borderId="8" xfId="3" applyNumberFormat="1" applyFont="1" applyFill="1" applyBorder="1"/>
    <xf numFmtId="3" fontId="3" fillId="0" borderId="9" xfId="3" applyNumberFormat="1" applyFont="1" applyBorder="1"/>
    <xf numFmtId="3" fontId="3" fillId="0" borderId="5" xfId="3" applyNumberFormat="1" applyFont="1" applyBorder="1"/>
    <xf numFmtId="3" fontId="3" fillId="0" borderId="31" xfId="3" applyNumberFormat="1" applyFont="1" applyFill="1" applyBorder="1"/>
    <xf numFmtId="0" fontId="0" fillId="0" borderId="0" xfId="0"/>
    <xf numFmtId="0" fontId="0" fillId="0" borderId="10" xfId="0" applyBorder="1" applyAlignment="1">
      <alignment wrapText="1"/>
    </xf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5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43" fillId="0" borderId="0" xfId="3" applyFont="1" applyFill="1" applyAlignment="1">
      <alignment vertical="center"/>
    </xf>
    <xf numFmtId="3" fontId="2" fillId="0" borderId="0" xfId="3" applyNumberFormat="1" applyFill="1"/>
    <xf numFmtId="0" fontId="0" fillId="0" borderId="0" xfId="0"/>
    <xf numFmtId="0" fontId="33" fillId="0" borderId="45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" fillId="0" borderId="3" xfId="3" applyFont="1" applyFill="1" applyBorder="1" applyAlignment="1">
      <alignment horizontal="right"/>
    </xf>
    <xf numFmtId="0" fontId="3" fillId="0" borderId="4" xfId="3" applyFont="1" applyFill="1" applyBorder="1" applyAlignment="1">
      <alignment horizontal="right"/>
    </xf>
    <xf numFmtId="3" fontId="3" fillId="0" borderId="4" xfId="3" applyNumberFormat="1" applyFont="1" applyBorder="1" applyAlignment="1" applyProtection="1">
      <alignment horizontal="right"/>
    </xf>
    <xf numFmtId="3" fontId="3" fillId="0" borderId="3" xfId="3" applyNumberFormat="1" applyFont="1" applyFill="1" applyBorder="1" applyAlignment="1" applyProtection="1">
      <alignment horizontal="right"/>
    </xf>
    <xf numFmtId="0" fontId="33" fillId="0" borderId="5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/>
    <xf numFmtId="0" fontId="33" fillId="0" borderId="45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3" fontId="8" fillId="0" borderId="4" xfId="3" applyNumberFormat="1" applyFont="1" applyBorder="1"/>
    <xf numFmtId="0" fontId="2" fillId="0" borderId="12" xfId="3" applyBorder="1"/>
    <xf numFmtId="0" fontId="2" fillId="0" borderId="11" xfId="3" applyBorder="1"/>
    <xf numFmtId="0" fontId="2" fillId="0" borderId="26" xfId="3" applyBorder="1"/>
    <xf numFmtId="0" fontId="2" fillId="0" borderId="16" xfId="3" applyBorder="1"/>
    <xf numFmtId="0" fontId="3" fillId="0" borderId="11" xfId="3" applyFont="1" applyBorder="1"/>
    <xf numFmtId="49" fontId="31" fillId="0" borderId="4" xfId="3" applyNumberFormat="1" applyFont="1" applyBorder="1" applyAlignment="1">
      <alignment horizontal="center"/>
    </xf>
    <xf numFmtId="49" fontId="31" fillId="0" borderId="4" xfId="3" applyNumberFormat="1" applyFont="1" applyFill="1" applyBorder="1" applyAlignment="1">
      <alignment horizontal="center"/>
    </xf>
    <xf numFmtId="49" fontId="31" fillId="0" borderId="4" xfId="3" applyNumberFormat="1" applyFont="1" applyBorder="1"/>
    <xf numFmtId="49" fontId="33" fillId="0" borderId="8" xfId="3" applyNumberFormat="1" applyFont="1" applyBorder="1" applyAlignment="1">
      <alignment vertical="center"/>
    </xf>
    <xf numFmtId="49" fontId="33" fillId="0" borderId="12" xfId="3" applyNumberFormat="1" applyFont="1" applyBorder="1"/>
    <xf numFmtId="49" fontId="33" fillId="0" borderId="4" xfId="3" applyNumberFormat="1" applyFont="1" applyBorder="1"/>
    <xf numFmtId="49" fontId="33" fillId="0" borderId="4" xfId="3" applyNumberFormat="1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/>
    </xf>
    <xf numFmtId="0" fontId="1" fillId="0" borderId="4" xfId="3" applyFont="1" applyFill="1" applyBorder="1"/>
    <xf numFmtId="0" fontId="34" fillId="0" borderId="16" xfId="3" applyFont="1" applyFill="1" applyBorder="1" applyAlignment="1">
      <alignment horizontal="center" vertical="top"/>
    </xf>
    <xf numFmtId="0" fontId="28" fillId="0" borderId="12" xfId="3" applyFont="1" applyFill="1" applyBorder="1"/>
    <xf numFmtId="49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/>
    <xf numFmtId="0" fontId="33" fillId="0" borderId="49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justify"/>
    </xf>
    <xf numFmtId="4" fontId="1" fillId="0" borderId="18" xfId="0" applyNumberFormat="1" applyFont="1" applyBorder="1"/>
    <xf numFmtId="0" fontId="0" fillId="0" borderId="0" xfId="0" applyBorder="1" applyAlignment="1">
      <alignment wrapText="1"/>
    </xf>
    <xf numFmtId="0" fontId="31" fillId="2" borderId="17" xfId="4" applyFont="1" applyFill="1" applyBorder="1" applyAlignment="1">
      <alignment horizontal="center" vertical="center" wrapText="1"/>
    </xf>
    <xf numFmtId="0" fontId="3" fillId="2" borderId="35" xfId="4" applyFont="1" applyFill="1" applyBorder="1" applyAlignment="1">
      <alignment horizontal="center" vertical="center" wrapText="1"/>
    </xf>
    <xf numFmtId="0" fontId="18" fillId="0" borderId="8" xfId="4" applyFont="1" applyFill="1" applyBorder="1" applyAlignment="1">
      <alignment horizontal="center" vertical="center" wrapText="1"/>
    </xf>
    <xf numFmtId="4" fontId="22" fillId="6" borderId="8" xfId="0" applyNumberFormat="1" applyFont="1" applyFill="1" applyBorder="1"/>
    <xf numFmtId="4" fontId="8" fillId="6" borderId="8" xfId="0" applyNumberFormat="1" applyFont="1" applyFill="1" applyBorder="1"/>
    <xf numFmtId="4" fontId="8" fillId="0" borderId="8" xfId="0" applyNumberFormat="1" applyFont="1" applyFill="1" applyBorder="1"/>
    <xf numFmtId="4" fontId="10" fillId="0" borderId="8" xfId="0" applyNumberFormat="1" applyFont="1" applyFill="1" applyBorder="1"/>
    <xf numFmtId="4" fontId="10" fillId="0" borderId="26" xfId="0" applyNumberFormat="1" applyFont="1" applyBorder="1"/>
    <xf numFmtId="4" fontId="10" fillId="0" borderId="8" xfId="0" applyNumberFormat="1" applyFont="1" applyBorder="1"/>
    <xf numFmtId="4" fontId="8" fillId="0" borderId="8" xfId="0" applyNumberFormat="1" applyFont="1" applyBorder="1"/>
    <xf numFmtId="4" fontId="1" fillId="0" borderId="8" xfId="0" applyNumberFormat="1" applyFont="1" applyBorder="1"/>
    <xf numFmtId="4" fontId="10" fillId="0" borderId="26" xfId="0" applyNumberFormat="1" applyFont="1" applyFill="1" applyBorder="1"/>
    <xf numFmtId="4" fontId="22" fillId="0" borderId="8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2" fillId="6" borderId="62" xfId="0" applyNumberFormat="1" applyFont="1" applyFill="1" applyBorder="1"/>
    <xf numFmtId="0" fontId="0" fillId="0" borderId="0" xfId="0" applyBorder="1"/>
    <xf numFmtId="3" fontId="0" fillId="0" borderId="0" xfId="0" applyNumberFormat="1" applyBorder="1" applyAlignment="1"/>
    <xf numFmtId="0" fontId="18" fillId="0" borderId="25" xfId="3" applyFont="1" applyBorder="1" applyAlignment="1">
      <alignment horizontal="center"/>
    </xf>
    <xf numFmtId="4" fontId="3" fillId="6" borderId="25" xfId="3" applyNumberFormat="1" applyFont="1" applyFill="1" applyBorder="1" applyAlignment="1">
      <alignment horizontal="right"/>
    </xf>
    <xf numFmtId="4" fontId="4" fillId="0" borderId="25" xfId="3" applyNumberFormat="1" applyFont="1" applyBorder="1" applyAlignment="1">
      <alignment horizontal="right"/>
    </xf>
    <xf numFmtId="4" fontId="8" fillId="6" borderId="25" xfId="3" applyNumberFormat="1" applyFont="1" applyFill="1" applyBorder="1" applyAlignment="1">
      <alignment horizontal="right"/>
    </xf>
    <xf numFmtId="4" fontId="28" fillId="0" borderId="25" xfId="3" applyNumberFormat="1" applyFont="1" applyBorder="1" applyAlignment="1">
      <alignment horizontal="right"/>
    </xf>
    <xf numFmtId="4" fontId="8" fillId="0" borderId="25" xfId="3" applyNumberFormat="1" applyFont="1" applyBorder="1" applyAlignment="1">
      <alignment horizontal="right"/>
    </xf>
    <xf numFmtId="4" fontId="2" fillId="0" borderId="63" xfId="3" applyNumberFormat="1" applyBorder="1"/>
    <xf numFmtId="4" fontId="2" fillId="0" borderId="14" xfId="3" applyNumberFormat="1" applyBorder="1"/>
    <xf numFmtId="4" fontId="3" fillId="6" borderId="18" xfId="3" applyNumberFormat="1" applyFont="1" applyFill="1" applyBorder="1" applyAlignment="1">
      <alignment horizontal="right"/>
    </xf>
    <xf numFmtId="4" fontId="4" fillId="0" borderId="18" xfId="3" applyNumberFormat="1" applyFont="1" applyBorder="1" applyAlignment="1">
      <alignment horizontal="right"/>
    </xf>
    <xf numFmtId="4" fontId="8" fillId="6" borderId="18" xfId="3" applyNumberFormat="1" applyFont="1" applyFill="1" applyBorder="1" applyAlignment="1">
      <alignment horizontal="right"/>
    </xf>
    <xf numFmtId="4" fontId="28" fillId="0" borderId="18" xfId="3" applyNumberFormat="1" applyFont="1" applyBorder="1" applyAlignment="1">
      <alignment horizontal="right"/>
    </xf>
    <xf numFmtId="4" fontId="8" fillId="0" borderId="18" xfId="3" applyNumberFormat="1" applyFont="1" applyBorder="1" applyAlignment="1">
      <alignment horizontal="right"/>
    </xf>
    <xf numFmtId="4" fontId="2" fillId="0" borderId="30" xfId="3" applyNumberFormat="1" applyBorder="1"/>
    <xf numFmtId="4" fontId="2" fillId="0" borderId="28" xfId="3" applyNumberFormat="1" applyBorder="1"/>
    <xf numFmtId="4" fontId="32" fillId="0" borderId="25" xfId="3" applyNumberFormat="1" applyFont="1" applyBorder="1" applyAlignment="1">
      <alignment horizontal="center"/>
    </xf>
    <xf numFmtId="4" fontId="32" fillId="0" borderId="25" xfId="3" applyNumberFormat="1" applyFont="1" applyFill="1" applyBorder="1"/>
    <xf numFmtId="4" fontId="21" fillId="0" borderId="25" xfId="3" applyNumberFormat="1" applyFont="1" applyFill="1" applyBorder="1"/>
    <xf numFmtId="4" fontId="21" fillId="0" borderId="63" xfId="3" applyNumberFormat="1" applyFont="1" applyBorder="1"/>
    <xf numFmtId="4" fontId="21" fillId="0" borderId="25" xfId="3" applyNumberFormat="1" applyFont="1" applyBorder="1"/>
    <xf numFmtId="4" fontId="32" fillId="0" borderId="18" xfId="3" applyNumberFormat="1" applyFont="1" applyBorder="1" applyAlignment="1">
      <alignment horizontal="center"/>
    </xf>
    <xf numFmtId="4" fontId="32" fillId="0" borderId="18" xfId="3" applyNumberFormat="1" applyFont="1" applyFill="1" applyBorder="1"/>
    <xf numFmtId="4" fontId="21" fillId="0" borderId="18" xfId="3" applyNumberFormat="1" applyFont="1" applyFill="1" applyBorder="1"/>
    <xf numFmtId="4" fontId="21" fillId="0" borderId="30" xfId="3" applyNumberFormat="1" applyFont="1" applyBorder="1"/>
    <xf numFmtId="4" fontId="21" fillId="0" borderId="18" xfId="3" applyNumberFormat="1" applyFont="1" applyBorder="1"/>
    <xf numFmtId="0" fontId="22" fillId="2" borderId="2" xfId="0" applyFont="1" applyFill="1" applyBorder="1" applyAlignment="1">
      <alignment horizontal="center" vertical="center" wrapText="1"/>
    </xf>
    <xf numFmtId="0" fontId="12" fillId="6" borderId="27" xfId="3" applyFont="1" applyFill="1" applyBorder="1" applyAlignment="1">
      <alignment horizontal="center" vertical="center" wrapText="1"/>
    </xf>
    <xf numFmtId="0" fontId="18" fillId="6" borderId="18" xfId="3" applyFont="1" applyFill="1" applyBorder="1" applyAlignment="1">
      <alignment horizontal="center"/>
    </xf>
    <xf numFmtId="0" fontId="12" fillId="6" borderId="19" xfId="3" applyFont="1" applyFill="1" applyBorder="1" applyAlignment="1">
      <alignment horizontal="center"/>
    </xf>
    <xf numFmtId="3" fontId="12" fillId="6" borderId="19" xfId="3" applyNumberFormat="1" applyFont="1" applyFill="1" applyBorder="1" applyAlignment="1">
      <alignment horizontal="right"/>
    </xf>
    <xf numFmtId="3" fontId="6" fillId="6" borderId="19" xfId="3" applyNumberFormat="1" applyFont="1" applyFill="1" applyBorder="1"/>
    <xf numFmtId="3" fontId="12" fillId="6" borderId="19" xfId="3" applyNumberFormat="1" applyFont="1" applyFill="1" applyBorder="1"/>
    <xf numFmtId="3" fontId="12" fillId="6" borderId="19" xfId="4" applyNumberFormat="1" applyFont="1" applyFill="1" applyBorder="1"/>
    <xf numFmtId="3" fontId="4" fillId="0" borderId="3" xfId="12" applyNumberFormat="1" applyFont="1" applyFill="1" applyBorder="1" applyAlignment="1">
      <alignment vertical="center"/>
    </xf>
    <xf numFmtId="3" fontId="12" fillId="6" borderId="18" xfId="3" applyNumberFormat="1" applyFont="1" applyFill="1" applyBorder="1"/>
    <xf numFmtId="3" fontId="10" fillId="0" borderId="3" xfId="3" applyNumberFormat="1" applyFont="1" applyFill="1" applyBorder="1"/>
    <xf numFmtId="0" fontId="6" fillId="6" borderId="18" xfId="3" applyFont="1" applyFill="1" applyBorder="1"/>
    <xf numFmtId="0" fontId="6" fillId="6" borderId="30" xfId="3" applyFont="1" applyFill="1" applyBorder="1"/>
    <xf numFmtId="4" fontId="32" fillId="0" borderId="3" xfId="3" applyNumberFormat="1" applyFont="1" applyFill="1" applyBorder="1"/>
    <xf numFmtId="4" fontId="21" fillId="0" borderId="3" xfId="3" applyNumberFormat="1" applyFont="1" applyFill="1" applyBorder="1"/>
    <xf numFmtId="4" fontId="21" fillId="0" borderId="3" xfId="3" applyNumberFormat="1" applyFont="1" applyBorder="1"/>
    <xf numFmtId="4" fontId="21" fillId="0" borderId="5" xfId="3" applyNumberFormat="1" applyFont="1" applyBorder="1"/>
    <xf numFmtId="0" fontId="12" fillId="6" borderId="18" xfId="3" applyFont="1" applyFill="1" applyBorder="1" applyAlignment="1">
      <alignment horizontal="center"/>
    </xf>
    <xf numFmtId="3" fontId="12" fillId="6" borderId="18" xfId="4" applyNumberFormat="1" applyFont="1" applyFill="1" applyBorder="1"/>
    <xf numFmtId="3" fontId="6" fillId="6" borderId="18" xfId="4" applyNumberFormat="1" applyFont="1" applyFill="1" applyBorder="1"/>
    <xf numFmtId="3" fontId="6" fillId="6" borderId="18" xfId="3" applyNumberFormat="1" applyFont="1" applyFill="1" applyBorder="1"/>
    <xf numFmtId="3" fontId="12" fillId="6" borderId="18" xfId="3" applyNumberFormat="1" applyFont="1" applyFill="1" applyBorder="1" applyAlignment="1">
      <alignment horizontal="right"/>
    </xf>
    <xf numFmtId="3" fontId="6" fillId="6" borderId="30" xfId="3" applyNumberFormat="1" applyFont="1" applyFill="1" applyBorder="1"/>
    <xf numFmtId="3" fontId="3" fillId="0" borderId="3" xfId="12" applyNumberFormat="1" applyFont="1" applyFill="1" applyBorder="1"/>
    <xf numFmtId="3" fontId="3" fillId="3" borderId="3" xfId="12" applyNumberFormat="1" applyFont="1" applyFill="1" applyBorder="1"/>
    <xf numFmtId="3" fontId="3" fillId="0" borderId="3" xfId="12" applyNumberFormat="1" applyFont="1" applyBorder="1"/>
    <xf numFmtId="4" fontId="32" fillId="0" borderId="3" xfId="3" applyNumberFormat="1" applyFont="1" applyBorder="1" applyAlignment="1">
      <alignment horizontal="center"/>
    </xf>
    <xf numFmtId="4" fontId="32" fillId="0" borderId="3" xfId="3" applyNumberFormat="1" applyFont="1" applyBorder="1"/>
    <xf numFmtId="3" fontId="8" fillId="0" borderId="8" xfId="3" applyNumberFormat="1" applyFont="1" applyBorder="1"/>
    <xf numFmtId="3" fontId="8" fillId="0" borderId="3" xfId="3" applyNumberFormat="1" applyFont="1" applyBorder="1"/>
    <xf numFmtId="3" fontId="22" fillId="6" borderId="18" xfId="3" applyNumberFormat="1" applyFont="1" applyFill="1" applyBorder="1"/>
    <xf numFmtId="0" fontId="12" fillId="6" borderId="27" xfId="3" applyFont="1" applyFill="1" applyBorder="1" applyAlignment="1" applyProtection="1">
      <alignment horizontal="center" vertical="center" wrapText="1"/>
    </xf>
    <xf numFmtId="0" fontId="18" fillId="6" borderId="18" xfId="3" applyFont="1" applyFill="1" applyBorder="1" applyAlignment="1" applyProtection="1">
      <alignment horizontal="center"/>
    </xf>
    <xf numFmtId="3" fontId="12" fillId="6" borderId="18" xfId="3" applyNumberFormat="1" applyFont="1" applyFill="1" applyBorder="1" applyAlignment="1" applyProtection="1">
      <alignment horizontal="center"/>
    </xf>
    <xf numFmtId="3" fontId="12" fillId="6" borderId="18" xfId="4" applyNumberFormat="1" applyFont="1" applyFill="1" applyBorder="1" applyProtection="1"/>
    <xf numFmtId="3" fontId="6" fillId="6" borderId="18" xfId="4" applyNumberFormat="1" applyFont="1" applyFill="1" applyBorder="1" applyProtection="1"/>
    <xf numFmtId="3" fontId="6" fillId="6" borderId="18" xfId="3" applyNumberFormat="1" applyFont="1" applyFill="1" applyBorder="1" applyProtection="1"/>
    <xf numFmtId="3" fontId="12" fillId="6" borderId="18" xfId="3" applyNumberFormat="1" applyFont="1" applyFill="1" applyBorder="1" applyProtection="1"/>
    <xf numFmtId="3" fontId="12" fillId="6" borderId="18" xfId="3" applyNumberFormat="1" applyFont="1" applyFill="1" applyBorder="1" applyAlignment="1" applyProtection="1">
      <alignment horizontal="right"/>
    </xf>
    <xf numFmtId="3" fontId="6" fillId="6" borderId="30" xfId="3" applyNumberFormat="1" applyFont="1" applyFill="1" applyBorder="1" applyProtection="1"/>
    <xf numFmtId="3" fontId="12" fillId="6" borderId="18" xfId="3" applyNumberFormat="1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 vertical="center" wrapText="1"/>
    </xf>
    <xf numFmtId="3" fontId="6" fillId="6" borderId="18" xfId="12" applyNumberFormat="1" applyFont="1" applyFill="1" applyBorder="1"/>
    <xf numFmtId="3" fontId="12" fillId="6" borderId="18" xfId="12" applyNumberFormat="1" applyFont="1" applyFill="1" applyBorder="1"/>
    <xf numFmtId="0" fontId="12" fillId="6" borderId="18" xfId="3" applyFont="1" applyFill="1" applyBorder="1" applyAlignment="1">
      <alignment horizontal="right"/>
    </xf>
    <xf numFmtId="0" fontId="8" fillId="0" borderId="8" xfId="12" applyFont="1" applyFill="1" applyBorder="1" applyAlignment="1">
      <alignment horizontal="right"/>
    </xf>
    <xf numFmtId="0" fontId="8" fillId="0" borderId="24" xfId="3" applyFont="1" applyFill="1" applyBorder="1" applyAlignment="1" applyProtection="1">
      <alignment horizontal="center" vertical="center" wrapText="1"/>
      <protection locked="0"/>
    </xf>
    <xf numFmtId="0" fontId="8" fillId="0" borderId="12" xfId="3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Border="1" applyAlignment="1" applyProtection="1">
      <alignment horizontal="center"/>
      <protection locked="0"/>
    </xf>
    <xf numFmtId="0" fontId="18" fillId="0" borderId="4" xfId="3" applyFont="1" applyBorder="1" applyAlignment="1" applyProtection="1">
      <alignment horizontal="center"/>
      <protection locked="0"/>
    </xf>
    <xf numFmtId="3" fontId="3" fillId="0" borderId="3" xfId="3" applyNumberFormat="1" applyFont="1" applyBorder="1" applyAlignment="1" applyProtection="1">
      <alignment horizontal="center"/>
      <protection locked="0"/>
    </xf>
    <xf numFmtId="3" fontId="3" fillId="0" borderId="4" xfId="3" applyNumberFormat="1" applyFont="1" applyBorder="1" applyAlignment="1" applyProtection="1">
      <alignment horizontal="center"/>
      <protection locked="0"/>
    </xf>
    <xf numFmtId="3" fontId="3" fillId="0" borderId="3" xfId="4" applyNumberFormat="1" applyFont="1" applyFill="1" applyBorder="1" applyProtection="1">
      <protection locked="0"/>
    </xf>
    <xf numFmtId="3" fontId="3" fillId="0" borderId="4" xfId="4" applyNumberFormat="1" applyFont="1" applyFill="1" applyBorder="1" applyProtection="1">
      <protection locked="0"/>
    </xf>
    <xf numFmtId="3" fontId="4" fillId="0" borderId="3" xfId="4" applyNumberFormat="1" applyFont="1" applyFill="1" applyBorder="1" applyProtection="1">
      <protection locked="0"/>
    </xf>
    <xf numFmtId="3" fontId="4" fillId="0" borderId="4" xfId="4" applyNumberFormat="1" applyFont="1" applyFill="1" applyBorder="1" applyProtection="1">
      <protection locked="0"/>
    </xf>
    <xf numFmtId="3" fontId="10" fillId="0" borderId="3" xfId="4" applyNumberFormat="1" applyFill="1" applyBorder="1" applyProtection="1">
      <protection locked="0"/>
    </xf>
    <xf numFmtId="3" fontId="10" fillId="0" borderId="4" xfId="4" applyNumberFormat="1" applyFill="1" applyBorder="1" applyProtection="1">
      <protection locked="0"/>
    </xf>
    <xf numFmtId="3" fontId="4" fillId="0" borderId="3" xfId="3" applyNumberFormat="1" applyFont="1" applyBorder="1" applyProtection="1">
      <protection locked="0"/>
    </xf>
    <xf numFmtId="3" fontId="4" fillId="0" borderId="4" xfId="3" applyNumberFormat="1" applyFont="1" applyBorder="1" applyProtection="1">
      <protection locked="0"/>
    </xf>
    <xf numFmtId="3" fontId="3" fillId="3" borderId="3" xfId="3" applyNumberFormat="1" applyFont="1" applyFill="1" applyBorder="1" applyProtection="1">
      <protection locked="0"/>
    </xf>
    <xf numFmtId="3" fontId="3" fillId="3" borderId="4" xfId="3" applyNumberFormat="1" applyFont="1" applyFill="1" applyBorder="1" applyProtection="1">
      <protection locked="0"/>
    </xf>
    <xf numFmtId="3" fontId="4" fillId="0" borderId="3" xfId="12" applyNumberFormat="1" applyFont="1" applyBorder="1" applyProtection="1">
      <protection locked="0"/>
    </xf>
    <xf numFmtId="3" fontId="4" fillId="0" borderId="4" xfId="12" applyNumberFormat="1" applyFont="1" applyBorder="1" applyProtection="1">
      <protection locked="0"/>
    </xf>
    <xf numFmtId="3" fontId="4" fillId="0" borderId="3" xfId="12" applyNumberFormat="1" applyFont="1" applyFill="1" applyBorder="1" applyProtection="1">
      <protection locked="0"/>
    </xf>
    <xf numFmtId="3" fontId="4" fillId="0" borderId="4" xfId="12" applyNumberFormat="1" applyFont="1" applyFill="1" applyBorder="1" applyProtection="1">
      <protection locked="0"/>
    </xf>
    <xf numFmtId="3" fontId="4" fillId="0" borderId="3" xfId="3" applyNumberFormat="1" applyFont="1" applyFill="1" applyBorder="1" applyProtection="1">
      <protection locked="0"/>
    </xf>
    <xf numFmtId="3" fontId="3" fillId="0" borderId="3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3" xfId="3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3" fontId="2" fillId="0" borderId="5" xfId="3" applyNumberFormat="1" applyBorder="1" applyProtection="1">
      <protection locked="0"/>
    </xf>
    <xf numFmtId="3" fontId="2" fillId="0" borderId="6" xfId="3" applyNumberFormat="1" applyBorder="1" applyProtection="1">
      <protection locked="0"/>
    </xf>
    <xf numFmtId="0" fontId="12" fillId="6" borderId="27" xfId="3" applyFont="1" applyFill="1" applyBorder="1" applyAlignment="1" applyProtection="1">
      <alignment horizontal="center" vertical="center" wrapText="1"/>
      <protection locked="0"/>
    </xf>
    <xf numFmtId="0" fontId="18" fillId="6" borderId="18" xfId="3" applyFont="1" applyFill="1" applyBorder="1" applyAlignment="1" applyProtection="1">
      <alignment horizontal="center"/>
      <protection locked="0"/>
    </xf>
    <xf numFmtId="3" fontId="12" fillId="6" borderId="18" xfId="3" applyNumberFormat="1" applyFont="1" applyFill="1" applyBorder="1" applyAlignment="1" applyProtection="1">
      <alignment horizontal="center"/>
      <protection locked="0"/>
    </xf>
    <xf numFmtId="3" fontId="12" fillId="6" borderId="18" xfId="4" applyNumberFormat="1" applyFont="1" applyFill="1" applyBorder="1" applyProtection="1">
      <protection locked="0"/>
    </xf>
    <xf numFmtId="3" fontId="6" fillId="6" borderId="18" xfId="4" applyNumberFormat="1" applyFont="1" applyFill="1" applyBorder="1" applyProtection="1">
      <protection locked="0"/>
    </xf>
    <xf numFmtId="3" fontId="6" fillId="6" borderId="18" xfId="3" applyNumberFormat="1" applyFont="1" applyFill="1" applyBorder="1" applyProtection="1">
      <protection locked="0"/>
    </xf>
    <xf numFmtId="3" fontId="12" fillId="6" borderId="18" xfId="3" applyNumberFormat="1" applyFont="1" applyFill="1" applyBorder="1" applyProtection="1">
      <protection locked="0"/>
    </xf>
    <xf numFmtId="3" fontId="12" fillId="6" borderId="18" xfId="3" applyNumberFormat="1" applyFont="1" applyFill="1" applyBorder="1" applyAlignment="1" applyProtection="1">
      <alignment horizontal="right"/>
      <protection locked="0"/>
    </xf>
    <xf numFmtId="3" fontId="6" fillId="6" borderId="30" xfId="3" applyNumberFormat="1" applyFont="1" applyFill="1" applyBorder="1" applyProtection="1">
      <protection locked="0"/>
    </xf>
    <xf numFmtId="3" fontId="12" fillId="6" borderId="30" xfId="3" applyNumberFormat="1" applyFont="1" applyFill="1" applyBorder="1"/>
    <xf numFmtId="4" fontId="32" fillId="0" borderId="5" xfId="3" applyNumberFormat="1" applyFont="1" applyBorder="1"/>
    <xf numFmtId="3" fontId="36" fillId="0" borderId="0" xfId="0" applyNumberFormat="1" applyFont="1"/>
    <xf numFmtId="0" fontId="0" fillId="0" borderId="0" xfId="0"/>
    <xf numFmtId="4" fontId="26" fillId="0" borderId="18" xfId="3" applyNumberFormat="1" applyFont="1" applyFill="1" applyBorder="1"/>
    <xf numFmtId="4" fontId="27" fillId="0" borderId="18" xfId="3" applyNumberFormat="1" applyFont="1" applyFill="1" applyBorder="1"/>
    <xf numFmtId="0" fontId="28" fillId="0" borderId="0" xfId="0" applyFont="1"/>
    <xf numFmtId="0" fontId="28" fillId="0" borderId="3" xfId="0" applyFont="1" applyBorder="1" applyAlignment="1">
      <alignment horizontal="right"/>
    </xf>
    <xf numFmtId="0" fontId="44" fillId="0" borderId="4" xfId="0" applyFont="1" applyBorder="1"/>
    <xf numFmtId="3" fontId="28" fillId="0" borderId="8" xfId="0" applyNumberFormat="1" applyFont="1" applyFill="1" applyBorder="1"/>
    <xf numFmtId="3" fontId="45" fillId="0" borderId="8" xfId="0" applyNumberFormat="1" applyFont="1" applyFill="1" applyBorder="1"/>
    <xf numFmtId="4" fontId="28" fillId="0" borderId="8" xfId="0" applyNumberFormat="1" applyFont="1" applyFill="1" applyBorder="1"/>
    <xf numFmtId="4" fontId="28" fillId="0" borderId="18" xfId="0" applyNumberFormat="1" applyFont="1" applyFill="1" applyBorder="1"/>
    <xf numFmtId="3" fontId="28" fillId="0" borderId="0" xfId="0" applyNumberFormat="1" applyFont="1" applyFill="1"/>
    <xf numFmtId="0" fontId="28" fillId="0" borderId="0" xfId="0" applyFont="1" applyFill="1"/>
    <xf numFmtId="0" fontId="44" fillId="0" borderId="4" xfId="0" applyFont="1" applyFill="1" applyBorder="1" applyAlignment="1">
      <alignment wrapText="1"/>
    </xf>
    <xf numFmtId="3" fontId="7" fillId="0" borderId="8" xfId="0" applyNumberFormat="1" applyFont="1" applyFill="1" applyBorder="1"/>
    <xf numFmtId="4" fontId="28" fillId="0" borderId="8" xfId="0" applyNumberFormat="1" applyFont="1" applyBorder="1"/>
    <xf numFmtId="4" fontId="28" fillId="0" borderId="18" xfId="0" applyNumberFormat="1" applyFont="1" applyBorder="1"/>
    <xf numFmtId="3" fontId="46" fillId="0" borderId="0" xfId="2" applyNumberFormat="1" applyFont="1" applyFill="1"/>
    <xf numFmtId="0" fontId="44" fillId="0" borderId="4" xfId="11" applyFont="1" applyFill="1" applyBorder="1" applyAlignment="1">
      <alignment wrapText="1"/>
    </xf>
    <xf numFmtId="0" fontId="0" fillId="0" borderId="0" xfId="0"/>
    <xf numFmtId="3" fontId="3" fillId="0" borderId="0" xfId="3" applyNumberFormat="1" applyFont="1" applyFill="1"/>
    <xf numFmtId="4" fontId="26" fillId="0" borderId="19" xfId="3" applyNumberFormat="1" applyFont="1" applyFill="1" applyBorder="1"/>
    <xf numFmtId="3" fontId="21" fillId="0" borderId="0" xfId="0" applyNumberFormat="1" applyFont="1" applyAlignment="1">
      <alignment wrapText="1"/>
    </xf>
    <xf numFmtId="0" fontId="0" fillId="0" borderId="0" xfId="0"/>
    <xf numFmtId="0" fontId="22" fillId="6" borderId="4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/>
    <xf numFmtId="0" fontId="0" fillId="0" borderId="0" xfId="0" applyFill="1" applyBorder="1"/>
    <xf numFmtId="3" fontId="1" fillId="0" borderId="0" xfId="6" applyNumberFormat="1" applyFont="1" applyFill="1" applyBorder="1"/>
    <xf numFmtId="0" fontId="8" fillId="0" borderId="0" xfId="0" applyFont="1" applyFill="1" applyBorder="1"/>
    <xf numFmtId="3" fontId="28" fillId="0" borderId="0" xfId="6" applyNumberFormat="1" applyFont="1" applyFill="1" applyBorder="1"/>
    <xf numFmtId="3" fontId="28" fillId="0" borderId="0" xfId="0" applyNumberFormat="1" applyFont="1" applyFill="1" applyBorder="1"/>
    <xf numFmtId="0" fontId="28" fillId="0" borderId="0" xfId="0" applyFont="1" applyFill="1" applyBorder="1"/>
    <xf numFmtId="3" fontId="29" fillId="0" borderId="0" xfId="2" applyNumberFormat="1" applyFont="1" applyFill="1" applyBorder="1"/>
    <xf numFmtId="0" fontId="33" fillId="0" borderId="45" xfId="0" applyFont="1" applyBorder="1" applyAlignment="1">
      <alignment horizontal="left"/>
    </xf>
    <xf numFmtId="4" fontId="1" fillId="0" borderId="8" xfId="0" applyNumberFormat="1" applyFont="1" applyFill="1" applyBorder="1"/>
    <xf numFmtId="4" fontId="1" fillId="0" borderId="18" xfId="0" applyNumberFormat="1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45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3" fillId="0" borderId="59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2" xfId="0" applyFont="1" applyFill="1" applyBorder="1" applyAlignment="1">
      <alignment horizontal="right" wrapText="1"/>
    </xf>
    <xf numFmtId="4" fontId="31" fillId="6" borderId="39" xfId="3" applyNumberFormat="1" applyFont="1" applyFill="1" applyBorder="1" applyAlignment="1">
      <alignment horizontal="center" vertical="center" wrapText="1"/>
    </xf>
    <xf numFmtId="0" fontId="33" fillId="6" borderId="27" xfId="0" applyFont="1" applyFill="1" applyBorder="1" applyAlignment="1">
      <alignment horizontal="center" vertical="center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12" fillId="6" borderId="35" xfId="12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3" fillId="6" borderId="37" xfId="3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8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8" xfId="3" applyFont="1" applyFill="1" applyBorder="1" applyAlignment="1">
      <alignment horizontal="center" vertical="center" wrapText="1"/>
    </xf>
    <xf numFmtId="4" fontId="31" fillId="6" borderId="56" xfId="3" applyNumberFormat="1" applyFont="1" applyFill="1" applyBorder="1" applyAlignment="1">
      <alignment horizontal="center" vertical="center" wrapText="1"/>
    </xf>
    <xf numFmtId="0" fontId="33" fillId="6" borderId="26" xfId="0" applyFont="1" applyFill="1" applyBorder="1" applyAlignment="1">
      <alignment horizontal="center" vertical="center"/>
    </xf>
    <xf numFmtId="4" fontId="32" fillId="0" borderId="39" xfId="3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6" borderId="40" xfId="3" applyFont="1" applyFill="1" applyBorder="1" applyAlignment="1">
      <alignment horizontal="left" vertical="center"/>
    </xf>
    <xf numFmtId="0" fontId="9" fillId="6" borderId="41" xfId="3" applyFont="1" applyFill="1" applyBorder="1" applyAlignment="1">
      <alignment horizontal="left" vertical="center"/>
    </xf>
    <xf numFmtId="0" fontId="0" fillId="0" borderId="42" xfId="0" applyBorder="1" applyAlignment="1"/>
    <xf numFmtId="0" fontId="3" fillId="0" borderId="14" xfId="3" applyFont="1" applyBorder="1" applyAlignment="1">
      <alignment horizontal="right"/>
    </xf>
    <xf numFmtId="0" fontId="42" fillId="0" borderId="57" xfId="12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31" fillId="0" borderId="37" xfId="3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1" fillId="0" borderId="38" xfId="3" applyFont="1" applyFill="1" applyBorder="1" applyAlignment="1">
      <alignment horizontal="center" vertical="center" textRotation="90" wrapText="1"/>
    </xf>
    <xf numFmtId="0" fontId="8" fillId="0" borderId="38" xfId="3" applyFont="1" applyBorder="1" applyAlignment="1">
      <alignment horizontal="center" vertical="center" textRotation="90" wrapText="1"/>
    </xf>
    <xf numFmtId="0" fontId="3" fillId="0" borderId="38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8" xfId="3" applyFont="1" applyFill="1" applyBorder="1" applyAlignment="1">
      <alignment horizontal="center" vertical="center" wrapText="1"/>
    </xf>
    <xf numFmtId="0" fontId="31" fillId="0" borderId="38" xfId="3" applyFont="1" applyFill="1" applyBorder="1" applyAlignment="1">
      <alignment horizontal="center" vertical="center" wrapText="1"/>
    </xf>
    <xf numFmtId="0" fontId="3" fillId="0" borderId="56" xfId="3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32" fillId="0" borderId="15" xfId="3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1" xfId="0" applyBorder="1" applyAlignment="1"/>
    <xf numFmtId="0" fontId="3" fillId="0" borderId="38" xfId="3" applyFont="1" applyBorder="1" applyAlignment="1">
      <alignment horizontal="center" vertical="center" textRotation="90" wrapText="1"/>
    </xf>
    <xf numFmtId="0" fontId="3" fillId="0" borderId="38" xfId="3" applyFont="1" applyFill="1" applyBorder="1" applyAlignment="1">
      <alignment horizontal="center" vertical="center" textRotation="90" wrapText="1"/>
    </xf>
    <xf numFmtId="0" fontId="8" fillId="0" borderId="38" xfId="3" applyFont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32" fillId="0" borderId="38" xfId="3" applyFont="1" applyFill="1" applyBorder="1" applyAlignment="1">
      <alignment horizontal="center" vertical="center" wrapText="1"/>
    </xf>
    <xf numFmtId="0" fontId="8" fillId="0" borderId="39" xfId="3" applyFont="1" applyFill="1" applyBorder="1" applyAlignment="1">
      <alignment horizontal="center" vertical="center" wrapText="1"/>
    </xf>
    <xf numFmtId="0" fontId="32" fillId="0" borderId="38" xfId="3" applyFont="1" applyFill="1" applyBorder="1" applyAlignment="1">
      <alignment horizontal="center" vertical="center" textRotation="90" wrapText="1"/>
    </xf>
    <xf numFmtId="4" fontId="32" fillId="0" borderId="66" xfId="3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32" fillId="0" borderId="37" xfId="3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/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3" name="Slika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selection activeCell="M26" sqref="M26"/>
    </sheetView>
  </sheetViews>
  <sheetFormatPr defaultRowHeight="12.75"/>
  <cols>
    <col min="1" max="14" width="9.7109375" style="671" customWidth="1"/>
    <col min="15" max="16384" width="9.140625" style="671"/>
  </cols>
  <sheetData>
    <row r="1" spans="1:14">
      <c r="A1" s="844"/>
      <c r="B1" s="844"/>
      <c r="C1" s="844"/>
      <c r="D1" s="844"/>
      <c r="E1" s="844"/>
      <c r="F1" s="844"/>
      <c r="G1" s="844"/>
      <c r="H1" s="844"/>
      <c r="I1" s="844"/>
    </row>
    <row r="2" spans="1:14" ht="12.75" customHeight="1">
      <c r="B2" s="413"/>
      <c r="C2" s="414"/>
      <c r="D2" s="845" t="s">
        <v>813</v>
      </c>
      <c r="E2" s="846"/>
      <c r="F2" s="846"/>
      <c r="I2" s="845" t="s">
        <v>814</v>
      </c>
      <c r="J2" s="851"/>
      <c r="K2" s="851"/>
    </row>
    <row r="3" spans="1:14">
      <c r="B3" s="414"/>
      <c r="C3" s="414"/>
      <c r="D3" s="846"/>
      <c r="E3" s="846"/>
      <c r="F3" s="846"/>
      <c r="I3" s="851"/>
      <c r="J3" s="851"/>
      <c r="K3" s="851"/>
    </row>
    <row r="4" spans="1:14">
      <c r="B4" s="414"/>
      <c r="C4" s="414"/>
      <c r="D4" s="846"/>
      <c r="E4" s="846"/>
      <c r="F4" s="846"/>
      <c r="I4" s="851"/>
      <c r="J4" s="851"/>
      <c r="K4" s="851"/>
    </row>
    <row r="5" spans="1:14">
      <c r="B5" s="414"/>
      <c r="C5" s="414"/>
      <c r="D5" s="846"/>
      <c r="E5" s="846"/>
      <c r="F5" s="846"/>
      <c r="I5" s="851"/>
      <c r="J5" s="851"/>
      <c r="K5" s="851"/>
    </row>
    <row r="6" spans="1:14">
      <c r="B6" s="414"/>
      <c r="C6" s="414"/>
      <c r="D6" s="846"/>
      <c r="E6" s="846"/>
      <c r="F6" s="846"/>
      <c r="I6" s="851"/>
      <c r="J6" s="851"/>
      <c r="K6" s="851"/>
    </row>
    <row r="7" spans="1:14">
      <c r="B7" s="414"/>
      <c r="C7" s="414"/>
      <c r="D7" s="846"/>
      <c r="E7" s="846"/>
      <c r="F7" s="846"/>
      <c r="I7" s="851"/>
      <c r="J7" s="851"/>
      <c r="K7" s="851"/>
    </row>
    <row r="8" spans="1:14" ht="13.5" thickBot="1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</row>
    <row r="9" spans="1:14" ht="13.5" thickTop="1"/>
    <row r="15" spans="1:14" ht="12.75" customHeight="1">
      <c r="A15" s="847" t="s">
        <v>887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9"/>
      <c r="M15" s="849"/>
      <c r="N15" s="849"/>
    </row>
    <row r="16" spans="1:14">
      <c r="A16" s="848"/>
      <c r="B16" s="848"/>
      <c r="C16" s="848"/>
      <c r="D16" s="848"/>
      <c r="E16" s="848"/>
      <c r="F16" s="848"/>
      <c r="G16" s="848"/>
      <c r="H16" s="848"/>
      <c r="I16" s="848"/>
      <c r="J16" s="848"/>
      <c r="K16" s="848"/>
      <c r="L16" s="849"/>
      <c r="M16" s="849"/>
      <c r="N16" s="849"/>
    </row>
    <row r="17" spans="1:14">
      <c r="A17" s="848"/>
      <c r="B17" s="848"/>
      <c r="C17" s="848"/>
      <c r="D17" s="848"/>
      <c r="E17" s="848"/>
      <c r="F17" s="848"/>
      <c r="G17" s="848"/>
      <c r="H17" s="848"/>
      <c r="I17" s="848"/>
      <c r="J17" s="848"/>
      <c r="K17" s="848"/>
      <c r="L17" s="849"/>
      <c r="M17" s="849"/>
      <c r="N17" s="849"/>
    </row>
    <row r="18" spans="1:14">
      <c r="A18" s="848"/>
      <c r="B18" s="848"/>
      <c r="C18" s="848"/>
      <c r="D18" s="848"/>
      <c r="E18" s="848"/>
      <c r="F18" s="848"/>
      <c r="G18" s="848"/>
      <c r="H18" s="848"/>
      <c r="I18" s="848"/>
      <c r="J18" s="848"/>
      <c r="K18" s="848"/>
      <c r="L18" s="849"/>
      <c r="M18" s="849"/>
      <c r="N18" s="849"/>
    </row>
    <row r="19" spans="1:14">
      <c r="A19" s="848"/>
      <c r="B19" s="848"/>
      <c r="C19" s="848"/>
      <c r="D19" s="848"/>
      <c r="E19" s="848"/>
      <c r="F19" s="848"/>
      <c r="G19" s="848"/>
      <c r="H19" s="848"/>
      <c r="I19" s="848"/>
      <c r="J19" s="848"/>
      <c r="K19" s="848"/>
      <c r="L19" s="849"/>
      <c r="M19" s="849"/>
      <c r="N19" s="849"/>
    </row>
    <row r="20" spans="1:14" ht="13.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9"/>
      <c r="M20" s="849"/>
      <c r="N20" s="849"/>
    </row>
    <row r="23" spans="1:14">
      <c r="A23" s="852" t="s">
        <v>815</v>
      </c>
      <c r="B23" s="852"/>
      <c r="C23" s="852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</row>
    <row r="38" spans="1:14">
      <c r="A38" s="850" t="s">
        <v>888</v>
      </c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</row>
    <row r="39" spans="1:14">
      <c r="A39" s="844"/>
      <c r="B39" s="844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</row>
    <row r="40" spans="1:14" ht="15.75">
      <c r="A40" s="672"/>
      <c r="B40" s="672"/>
      <c r="C40" s="672"/>
      <c r="D40" s="672"/>
      <c r="E40" s="672"/>
      <c r="F40" s="672"/>
      <c r="G40" s="672"/>
      <c r="H40" s="672"/>
      <c r="I40" s="672"/>
    </row>
  </sheetData>
  <mergeCells count="6">
    <mergeCell ref="A1:I1"/>
    <mergeCell ref="D2:F7"/>
    <mergeCell ref="A15:N20"/>
    <mergeCell ref="A38:N39"/>
    <mergeCell ref="I2:K7"/>
    <mergeCell ref="A23:N23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96"/>
  <sheetViews>
    <sheetView zoomScaleNormal="100" workbookViewId="0">
      <selection activeCell="R23" sqref="R23"/>
    </sheetView>
  </sheetViews>
  <sheetFormatPr defaultRowHeight="12.75"/>
  <cols>
    <col min="1" max="1" width="9.140625" style="307"/>
    <col min="2" max="2" width="4.7109375" style="9" customWidth="1"/>
    <col min="3" max="3" width="5.425781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703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115</v>
      </c>
      <c r="C7" s="7" t="s">
        <v>80</v>
      </c>
      <c r="D7" s="7" t="s">
        <v>118</v>
      </c>
      <c r="E7" s="653" t="s">
        <v>780</v>
      </c>
      <c r="F7" s="5"/>
      <c r="G7" s="306"/>
      <c r="H7" s="5"/>
      <c r="I7" s="5"/>
      <c r="J7" s="5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54370</v>
      </c>
      <c r="J8" s="537">
        <f t="shared" ref="J8" si="1">SUM(J9:J12)</f>
        <v>54370</v>
      </c>
      <c r="K8" s="537">
        <f>SUM(K9:K11)</f>
        <v>44281</v>
      </c>
      <c r="L8" s="564">
        <f>SUM(L9:L12)</f>
        <v>54204</v>
      </c>
      <c r="M8" s="233">
        <f>SUM(M9:M12)</f>
        <v>0</v>
      </c>
      <c r="N8" s="741">
        <f>SUM(N9:N12)</f>
        <v>54204</v>
      </c>
      <c r="O8" s="714">
        <f>IF(J8=0,"",N8/J8*100)</f>
        <v>99.694684568695962</v>
      </c>
      <c r="P8" s="719">
        <f>IF(K8=0,"",N8/K8*100)</f>
        <v>122.40915968474064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48120</v>
      </c>
      <c r="J9" s="538">
        <v>48120</v>
      </c>
      <c r="K9" s="538">
        <v>38661</v>
      </c>
      <c r="L9" s="565">
        <v>48059</v>
      </c>
      <c r="M9" s="232">
        <v>0</v>
      </c>
      <c r="N9" s="742">
        <f>SUM(L9:M9)</f>
        <v>48059</v>
      </c>
      <c r="O9" s="715">
        <f>IF(J9=0,"",N9/J9*100)</f>
        <v>99.873233582709901</v>
      </c>
      <c r="P9" s="720">
        <f t="shared" ref="P9:P33" si="2">IF(K9=0,"",N9/K9*100)</f>
        <v>124.30873490080442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6250</v>
      </c>
      <c r="J10" s="538">
        <v>6250</v>
      </c>
      <c r="K10" s="538">
        <v>5620</v>
      </c>
      <c r="L10" s="565">
        <v>6145</v>
      </c>
      <c r="M10" s="232">
        <v>0</v>
      </c>
      <c r="N10" s="742">
        <f t="shared" ref="N10:N11" si="3">SUM(L10:M10)</f>
        <v>6145</v>
      </c>
      <c r="O10" s="715">
        <f t="shared" ref="O10:P35" si="4">IF(J10=0,"",N10/J10*100)</f>
        <v>98.32</v>
      </c>
      <c r="P10" s="720">
        <f t="shared" si="2"/>
        <v>109.34163701067617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8.1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5130</v>
      </c>
      <c r="J13" s="537">
        <f t="shared" si="6"/>
        <v>5130</v>
      </c>
      <c r="K13" s="537">
        <f>K14</f>
        <v>4084</v>
      </c>
      <c r="L13" s="564">
        <f>L14</f>
        <v>5069</v>
      </c>
      <c r="M13" s="233">
        <f>M14</f>
        <v>0</v>
      </c>
      <c r="N13" s="741">
        <f>N14</f>
        <v>5069</v>
      </c>
      <c r="O13" s="714">
        <f t="shared" si="4"/>
        <v>98.810916179337227</v>
      </c>
      <c r="P13" s="719">
        <f t="shared" si="2"/>
        <v>124.11851126346718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5130</v>
      </c>
      <c r="J14" s="538">
        <v>5130</v>
      </c>
      <c r="K14" s="538">
        <v>4084</v>
      </c>
      <c r="L14" s="565">
        <v>5069</v>
      </c>
      <c r="M14" s="232">
        <v>0</v>
      </c>
      <c r="N14" s="742">
        <f>SUM(L14:M14)</f>
        <v>5069</v>
      </c>
      <c r="O14" s="715">
        <f t="shared" si="4"/>
        <v>98.810916179337227</v>
      </c>
      <c r="P14" s="720">
        <f t="shared" si="2"/>
        <v>124.11851126346718</v>
      </c>
    </row>
    <row r="15" spans="1:18" ht="8.1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6"/>
      <c r="M15" s="302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660</v>
      </c>
      <c r="J16" s="537">
        <f t="shared" ref="J16" si="8">SUM(J17:J26)</f>
        <v>660</v>
      </c>
      <c r="K16" s="537">
        <f>SUM(K17:K26)</f>
        <v>845</v>
      </c>
      <c r="L16" s="567">
        <f>SUM(L17:L26)</f>
        <v>154</v>
      </c>
      <c r="M16" s="316">
        <f>SUM(M17:M26)</f>
        <v>0</v>
      </c>
      <c r="N16" s="732">
        <f>SUM(N17:N26)</f>
        <v>154</v>
      </c>
      <c r="O16" s="714">
        <f t="shared" si="4"/>
        <v>23.333333333333332</v>
      </c>
      <c r="P16" s="719">
        <f t="shared" si="2"/>
        <v>18.224852071005916</v>
      </c>
    </row>
    <row r="17" spans="1:18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200</v>
      </c>
      <c r="J17" s="538">
        <v>200</v>
      </c>
      <c r="K17" s="538">
        <v>0</v>
      </c>
      <c r="L17" s="550">
        <v>0</v>
      </c>
      <c r="M17" s="385">
        <v>0</v>
      </c>
      <c r="N17" s="742">
        <f t="shared" ref="N17:N26" si="9">SUM(L17:M17)</f>
        <v>0</v>
      </c>
      <c r="O17" s="715">
        <f t="shared" si="4"/>
        <v>0</v>
      </c>
      <c r="P17" s="720" t="str">
        <f t="shared" si="2"/>
        <v/>
      </c>
    </row>
    <row r="18" spans="1:18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0">
        <v>0</v>
      </c>
      <c r="M18" s="385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8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f t="shared" si="10"/>
        <v>0</v>
      </c>
      <c r="J19" s="538">
        <f t="shared" si="10"/>
        <v>0</v>
      </c>
      <c r="K19" s="538">
        <v>0</v>
      </c>
      <c r="L19" s="550">
        <v>0</v>
      </c>
      <c r="M19" s="385">
        <v>0</v>
      </c>
      <c r="N19" s="742">
        <f t="shared" si="9"/>
        <v>0</v>
      </c>
      <c r="O19" s="715" t="str">
        <f t="shared" si="4"/>
        <v/>
      </c>
      <c r="P19" s="720" t="str">
        <f t="shared" si="2"/>
        <v/>
      </c>
    </row>
    <row r="20" spans="1:18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f t="shared" si="10"/>
        <v>0</v>
      </c>
      <c r="J20" s="538">
        <f t="shared" si="10"/>
        <v>0</v>
      </c>
      <c r="K20" s="538">
        <v>0</v>
      </c>
      <c r="L20" s="550">
        <v>0</v>
      </c>
      <c r="M20" s="385">
        <v>0</v>
      </c>
      <c r="N20" s="742">
        <f t="shared" si="9"/>
        <v>0</v>
      </c>
      <c r="O20" s="715" t="str">
        <f t="shared" si="4"/>
        <v/>
      </c>
      <c r="P20" s="720" t="str">
        <f t="shared" si="2"/>
        <v/>
      </c>
    </row>
    <row r="21" spans="1:18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0">
        <v>0</v>
      </c>
      <c r="M21" s="385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8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0">
        <v>0</v>
      </c>
      <c r="M22" s="385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8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f t="shared" si="10"/>
        <v>0</v>
      </c>
      <c r="J23" s="538">
        <f t="shared" si="10"/>
        <v>0</v>
      </c>
      <c r="K23" s="538">
        <v>0</v>
      </c>
      <c r="L23" s="550">
        <v>0</v>
      </c>
      <c r="M23" s="385">
        <v>0</v>
      </c>
      <c r="N23" s="742">
        <f t="shared" si="9"/>
        <v>0</v>
      </c>
      <c r="O23" s="715" t="str">
        <f t="shared" si="4"/>
        <v/>
      </c>
      <c r="P23" s="720" t="str">
        <f t="shared" si="2"/>
        <v/>
      </c>
    </row>
    <row r="24" spans="1:18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0">
        <v>0</v>
      </c>
      <c r="M24" s="385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  <c r="R24" s="55"/>
    </row>
    <row r="25" spans="1:18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460</v>
      </c>
      <c r="J25" s="538">
        <v>460</v>
      </c>
      <c r="K25" s="538">
        <v>845</v>
      </c>
      <c r="L25" s="550">
        <v>154</v>
      </c>
      <c r="M25" s="385">
        <v>0</v>
      </c>
      <c r="N25" s="742">
        <f t="shared" si="9"/>
        <v>154</v>
      </c>
      <c r="O25" s="715">
        <f t="shared" si="4"/>
        <v>33.478260869565219</v>
      </c>
      <c r="P25" s="720">
        <f t="shared" si="2"/>
        <v>18.224852071005916</v>
      </c>
    </row>
    <row r="26" spans="1:18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1">
        <v>0</v>
      </c>
      <c r="M26" s="386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8" s="1" customFormat="1" ht="8.1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566"/>
      <c r="M27" s="302"/>
      <c r="N27" s="743"/>
      <c r="O27" s="715" t="str">
        <f t="shared" si="4"/>
        <v/>
      </c>
      <c r="P27" s="720" t="str">
        <f t="shared" si="2"/>
        <v/>
      </c>
    </row>
    <row r="28" spans="1:18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0</v>
      </c>
      <c r="J28" s="537">
        <f t="shared" ref="J28" si="12">SUM(J29:J30)</f>
        <v>0</v>
      </c>
      <c r="K28" s="537">
        <f>SUM(K29:K30)</f>
        <v>0</v>
      </c>
      <c r="L28" s="568">
        <f t="shared" ref="L28" si="13">SUM(L29:L30)</f>
        <v>0</v>
      </c>
      <c r="M28" s="311">
        <f t="shared" ref="M28:N28" si="14">SUM(M29:M30)</f>
        <v>0</v>
      </c>
      <c r="N28" s="732">
        <f t="shared" si="14"/>
        <v>0</v>
      </c>
      <c r="O28" s="715" t="str">
        <f t="shared" si="4"/>
        <v/>
      </c>
      <c r="P28" s="720" t="str">
        <f t="shared" si="2"/>
        <v/>
      </c>
    </row>
    <row r="29" spans="1:18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5">SUM(G29:H29)</f>
        <v>0</v>
      </c>
      <c r="J29" s="538">
        <f t="shared" si="15"/>
        <v>0</v>
      </c>
      <c r="K29" s="538">
        <v>0</v>
      </c>
      <c r="L29" s="569">
        <v>0</v>
      </c>
      <c r="M29" s="303">
        <v>0</v>
      </c>
      <c r="N29" s="742">
        <f t="shared" ref="N29:N30" si="16">SUM(L29:M29)</f>
        <v>0</v>
      </c>
      <c r="O29" s="715" t="str">
        <f t="shared" si="4"/>
        <v/>
      </c>
      <c r="P29" s="720" t="str">
        <f t="shared" si="2"/>
        <v/>
      </c>
    </row>
    <row r="30" spans="1:18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0</v>
      </c>
      <c r="J30" s="538">
        <v>0</v>
      </c>
      <c r="K30" s="538">
        <v>0</v>
      </c>
      <c r="L30" s="566">
        <v>0</v>
      </c>
      <c r="M30" s="302">
        <v>0</v>
      </c>
      <c r="N30" s="742">
        <f t="shared" si="16"/>
        <v>0</v>
      </c>
      <c r="O30" s="715" t="str">
        <f t="shared" si="4"/>
        <v/>
      </c>
      <c r="P30" s="720" t="str">
        <f t="shared" si="2"/>
        <v/>
      </c>
    </row>
    <row r="31" spans="1:18" ht="8.1" customHeight="1">
      <c r="B31" s="10"/>
      <c r="C31" s="11"/>
      <c r="D31" s="11"/>
      <c r="E31" s="309"/>
      <c r="F31" s="328"/>
      <c r="G31" s="354"/>
      <c r="H31" s="11"/>
      <c r="I31" s="537"/>
      <c r="J31" s="537"/>
      <c r="K31" s="537"/>
      <c r="L31" s="568"/>
      <c r="M31" s="311"/>
      <c r="N31" s="732"/>
      <c r="O31" s="715" t="str">
        <f t="shared" si="4"/>
        <v/>
      </c>
      <c r="P31" s="720" t="str">
        <f t="shared" si="2"/>
        <v/>
      </c>
    </row>
    <row r="32" spans="1:18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2</v>
      </c>
      <c r="J32" s="537"/>
      <c r="K32" s="537">
        <v>2</v>
      </c>
      <c r="L32" s="568">
        <v>2</v>
      </c>
      <c r="M32" s="311"/>
      <c r="N32" s="732">
        <v>2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15">
        <f>I8+I13+I16+I28</f>
        <v>60160</v>
      </c>
      <c r="J33" s="311">
        <f>J8+J13+J16+J28</f>
        <v>60160</v>
      </c>
      <c r="K33" s="561">
        <f t="shared" ref="K33" si="17">K8+K13+K16+K28</f>
        <v>49210</v>
      </c>
      <c r="L33" s="568">
        <f>L8+L13+L16+L28</f>
        <v>59427</v>
      </c>
      <c r="M33" s="311">
        <f>M8+M13+M16+M28</f>
        <v>0</v>
      </c>
      <c r="N33" s="732">
        <f>N8+N13+N16+N28</f>
        <v>59427</v>
      </c>
      <c r="O33" s="714">
        <f t="shared" si="4"/>
        <v>98.781582446808514</v>
      </c>
      <c r="P33" s="719">
        <f t="shared" si="2"/>
        <v>120.76204023572446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/>
      <c r="J34" s="15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8.1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F39" s="330"/>
      <c r="G39" s="356"/>
      <c r="N39" s="409"/>
    </row>
    <row r="40" spans="1:16" ht="12.95" customHeight="1">
      <c r="F40" s="330"/>
      <c r="G40" s="356"/>
      <c r="N40" s="409"/>
    </row>
    <row r="41" spans="1:16" ht="12.95" customHeight="1"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R96"/>
  <sheetViews>
    <sheetView zoomScaleNormal="100" workbookViewId="0">
      <selection activeCell="P24" sqref="P24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701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9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4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507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115</v>
      </c>
      <c r="C7" s="7" t="s">
        <v>80</v>
      </c>
      <c r="D7" s="7" t="s">
        <v>119</v>
      </c>
      <c r="E7" s="653" t="s">
        <v>780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76470</v>
      </c>
      <c r="J8" s="537">
        <f t="shared" ref="J8" si="1">SUM(J9:J12)</f>
        <v>76470</v>
      </c>
      <c r="K8" s="537">
        <f>SUM(K9:K11)</f>
        <v>75886</v>
      </c>
      <c r="L8" s="564">
        <f>SUM(L9:L12)</f>
        <v>76076</v>
      </c>
      <c r="M8" s="233">
        <f>SUM(M9:M12)</f>
        <v>0</v>
      </c>
      <c r="N8" s="741">
        <f>SUM(N9:N12)</f>
        <v>76076</v>
      </c>
      <c r="O8" s="714">
        <f>IF(J8=0,"",N8/J8*100)</f>
        <v>99.484765267425132</v>
      </c>
      <c r="P8" s="719">
        <f>IF(K8=0,"",N8/K8*100)</f>
        <v>100.25037556334502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65970</v>
      </c>
      <c r="J9" s="538">
        <v>65970</v>
      </c>
      <c r="K9" s="538">
        <v>64762</v>
      </c>
      <c r="L9" s="565">
        <v>65854</v>
      </c>
      <c r="M9" s="232">
        <v>0</v>
      </c>
      <c r="N9" s="742">
        <f>SUM(L9:M9)</f>
        <v>65854</v>
      </c>
      <c r="O9" s="715">
        <f>IF(J9=0,"",N9/J9*100)</f>
        <v>99.824162498105196</v>
      </c>
      <c r="P9" s="720">
        <f t="shared" ref="P9:P33" si="2">IF(K9=0,"",N9/K9*100)</f>
        <v>101.68617399092059</v>
      </c>
      <c r="Q9" s="63"/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10500</v>
      </c>
      <c r="J10" s="538">
        <v>10500</v>
      </c>
      <c r="K10" s="538">
        <v>11124</v>
      </c>
      <c r="L10" s="565">
        <v>10222</v>
      </c>
      <c r="M10" s="232">
        <v>0</v>
      </c>
      <c r="N10" s="742">
        <f t="shared" ref="N10:N11" si="3">SUM(L10:M10)</f>
        <v>10222</v>
      </c>
      <c r="O10" s="715">
        <f t="shared" ref="O10:P35" si="4">IF(J10=0,"",N10/J10*100)</f>
        <v>97.352380952380955</v>
      </c>
      <c r="P10" s="720">
        <f t="shared" si="2"/>
        <v>91.891405969075862</v>
      </c>
      <c r="Q10" s="67"/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8.1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7020</v>
      </c>
      <c r="J13" s="537">
        <f t="shared" si="6"/>
        <v>7020</v>
      </c>
      <c r="K13" s="537">
        <f>K14</f>
        <v>6855</v>
      </c>
      <c r="L13" s="564">
        <f>L14</f>
        <v>6949</v>
      </c>
      <c r="M13" s="233">
        <f>M14</f>
        <v>0</v>
      </c>
      <c r="N13" s="741">
        <f>N14</f>
        <v>6949</v>
      </c>
      <c r="O13" s="714">
        <f t="shared" si="4"/>
        <v>98.988603988603984</v>
      </c>
      <c r="P13" s="719">
        <f t="shared" si="2"/>
        <v>101.3712618526623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7020</v>
      </c>
      <c r="J14" s="538">
        <v>7020</v>
      </c>
      <c r="K14" s="538">
        <v>6855</v>
      </c>
      <c r="L14" s="565">
        <v>6949</v>
      </c>
      <c r="M14" s="232">
        <v>0</v>
      </c>
      <c r="N14" s="742">
        <f>SUM(L14:M14)</f>
        <v>6949</v>
      </c>
      <c r="O14" s="715">
        <f t="shared" si="4"/>
        <v>98.988603988603984</v>
      </c>
      <c r="P14" s="720">
        <f t="shared" si="2"/>
        <v>101.3712618526623</v>
      </c>
    </row>
    <row r="15" spans="1:18" ht="8.1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6"/>
      <c r="M15" s="302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5900</v>
      </c>
      <c r="J16" s="537">
        <f t="shared" ref="J16" si="8">SUM(J17:J26)</f>
        <v>5900</v>
      </c>
      <c r="K16" s="537">
        <f>SUM(K17:K26)</f>
        <v>3736</v>
      </c>
      <c r="L16" s="567">
        <f>SUM(L17:L26)</f>
        <v>4276</v>
      </c>
      <c r="M16" s="316">
        <f>SUM(M17:M26)</f>
        <v>0</v>
      </c>
      <c r="N16" s="732">
        <f>SUM(N17:N26)</f>
        <v>4276</v>
      </c>
      <c r="O16" s="714">
        <f t="shared" si="4"/>
        <v>72.474576271186436</v>
      </c>
      <c r="P16" s="719">
        <f t="shared" si="2"/>
        <v>114.45396145610277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500</v>
      </c>
      <c r="J17" s="538">
        <v>500</v>
      </c>
      <c r="K17" s="538">
        <v>392</v>
      </c>
      <c r="L17" s="549">
        <v>0</v>
      </c>
      <c r="M17" s="387">
        <v>0</v>
      </c>
      <c r="N17" s="742">
        <f t="shared" ref="N17:N26" si="9">SUM(L17:M17)</f>
        <v>0</v>
      </c>
      <c r="O17" s="715">
        <f t="shared" si="4"/>
        <v>0</v>
      </c>
      <c r="P17" s="720">
        <f t="shared" si="2"/>
        <v>0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0">
        <v>0</v>
      </c>
      <c r="M18" s="385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2500</v>
      </c>
      <c r="J19" s="538">
        <v>2500</v>
      </c>
      <c r="K19" s="538">
        <v>1539</v>
      </c>
      <c r="L19" s="550">
        <v>1611</v>
      </c>
      <c r="M19" s="385">
        <v>0</v>
      </c>
      <c r="N19" s="742">
        <f t="shared" si="9"/>
        <v>1611</v>
      </c>
      <c r="O19" s="715">
        <f t="shared" si="4"/>
        <v>64.44</v>
      </c>
      <c r="P19" s="720">
        <f t="shared" si="2"/>
        <v>104.67836257309942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300</v>
      </c>
      <c r="J20" s="538">
        <v>300</v>
      </c>
      <c r="K20" s="538">
        <v>95</v>
      </c>
      <c r="L20" s="549">
        <v>255</v>
      </c>
      <c r="M20" s="387">
        <v>0</v>
      </c>
      <c r="N20" s="742">
        <f t="shared" si="9"/>
        <v>255</v>
      </c>
      <c r="O20" s="715">
        <f t="shared" si="4"/>
        <v>85</v>
      </c>
      <c r="P20" s="720">
        <f t="shared" si="2"/>
        <v>268.42105263157896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0">
        <v>0</v>
      </c>
      <c r="M21" s="385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0">
        <v>0</v>
      </c>
      <c r="M22" s="385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500</v>
      </c>
      <c r="J23" s="538">
        <v>500</v>
      </c>
      <c r="K23" s="538">
        <v>0</v>
      </c>
      <c r="L23" s="550">
        <v>446</v>
      </c>
      <c r="M23" s="385">
        <v>0</v>
      </c>
      <c r="N23" s="742">
        <f t="shared" si="9"/>
        <v>446</v>
      </c>
      <c r="O23" s="715">
        <f t="shared" si="4"/>
        <v>89.2</v>
      </c>
      <c r="P23" s="720" t="str">
        <f t="shared" si="2"/>
        <v/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0">
        <v>0</v>
      </c>
      <c r="M24" s="385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2100</v>
      </c>
      <c r="J25" s="538">
        <v>2100</v>
      </c>
      <c r="K25" s="538">
        <v>1710</v>
      </c>
      <c r="L25" s="549">
        <v>1964</v>
      </c>
      <c r="M25" s="387">
        <v>0</v>
      </c>
      <c r="N25" s="742">
        <f t="shared" si="9"/>
        <v>1964</v>
      </c>
      <c r="O25" s="715">
        <f t="shared" si="4"/>
        <v>93.523809523809518</v>
      </c>
      <c r="P25" s="720">
        <f t="shared" si="2"/>
        <v>114.85380116959065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8.1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569"/>
      <c r="M27" s="303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1500</v>
      </c>
      <c r="J28" s="537">
        <f t="shared" ref="J28" si="12">SUM(J29:J30)</f>
        <v>1500</v>
      </c>
      <c r="K28" s="537">
        <f>SUM(K29:K30)</f>
        <v>1253</v>
      </c>
      <c r="L28" s="574">
        <f>SUM(L29:L30)</f>
        <v>993</v>
      </c>
      <c r="M28" s="318">
        <f>SUM(M29:M30)</f>
        <v>0</v>
      </c>
      <c r="N28" s="732">
        <f>SUM(N29:N30)</f>
        <v>993</v>
      </c>
      <c r="O28" s="714">
        <f t="shared" si="4"/>
        <v>66.2</v>
      </c>
      <c r="P28" s="719">
        <f t="shared" si="2"/>
        <v>79.249800478850759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569">
        <v>0</v>
      </c>
      <c r="M29" s="303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1500</v>
      </c>
      <c r="J30" s="538">
        <v>1500</v>
      </c>
      <c r="K30" s="538">
        <v>1253</v>
      </c>
      <c r="L30" s="569">
        <v>993</v>
      </c>
      <c r="M30" s="303">
        <v>0</v>
      </c>
      <c r="N30" s="742">
        <f t="shared" si="14"/>
        <v>993</v>
      </c>
      <c r="O30" s="715">
        <f t="shared" si="4"/>
        <v>66.2</v>
      </c>
      <c r="P30" s="720">
        <f t="shared" si="2"/>
        <v>79.249800478850759</v>
      </c>
    </row>
    <row r="31" spans="1:16" ht="8.1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566"/>
      <c r="M31" s="302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3</v>
      </c>
      <c r="J32" s="537"/>
      <c r="K32" s="537">
        <v>3</v>
      </c>
      <c r="L32" s="574">
        <v>3</v>
      </c>
      <c r="M32" s="318"/>
      <c r="N32" s="732">
        <v>3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90890</v>
      </c>
      <c r="J33" s="311">
        <f>J8+J13+J16+J28</f>
        <v>90890</v>
      </c>
      <c r="K33" s="561">
        <f t="shared" ref="K33" si="15">K8+K13+K16+K28</f>
        <v>87730</v>
      </c>
      <c r="L33" s="568">
        <f>L8+L13+L16+L28</f>
        <v>88294</v>
      </c>
      <c r="M33" s="311">
        <f>M8+M13+M16+M28</f>
        <v>0</v>
      </c>
      <c r="N33" s="732">
        <f>N8+N13+N16+N28</f>
        <v>88294</v>
      </c>
      <c r="O33" s="714">
        <f t="shared" si="4"/>
        <v>97.143800198041589</v>
      </c>
      <c r="P33" s="719">
        <f t="shared" si="2"/>
        <v>100.64288156844864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561"/>
      <c r="J35" s="311"/>
      <c r="K35" s="561"/>
      <c r="L35" s="568"/>
      <c r="M35" s="311"/>
      <c r="N35" s="732"/>
      <c r="O35" s="715" t="str">
        <f t="shared" si="4"/>
        <v/>
      </c>
      <c r="P35" s="720" t="str">
        <f t="shared" si="4"/>
        <v/>
      </c>
    </row>
    <row r="36" spans="1:16" ht="8.1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R96"/>
  <sheetViews>
    <sheetView zoomScaleNormal="100" workbookViewId="0">
      <selection activeCell="N32" sqref="N3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B2" s="906" t="s">
        <v>460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115</v>
      </c>
      <c r="C7" s="7" t="s">
        <v>80</v>
      </c>
      <c r="D7" s="7" t="s">
        <v>133</v>
      </c>
      <c r="E7" s="653" t="s">
        <v>780</v>
      </c>
      <c r="F7" s="5"/>
      <c r="G7" s="306"/>
      <c r="H7" s="5"/>
      <c r="I7" s="560"/>
      <c r="J7" s="575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188570</v>
      </c>
      <c r="J8" s="537">
        <f t="shared" ref="J8" si="1">SUM(J9:J12)</f>
        <v>190120</v>
      </c>
      <c r="K8" s="537">
        <f>SUM(K9:K11)</f>
        <v>171156</v>
      </c>
      <c r="L8" s="576">
        <f>SUM(L9:L12)</f>
        <v>190024</v>
      </c>
      <c r="M8" s="245">
        <f>SUM(M9:M12)</f>
        <v>0</v>
      </c>
      <c r="N8" s="741">
        <f>SUM(N9:N12)</f>
        <v>190024</v>
      </c>
      <c r="O8" s="714">
        <f>IF(J8=0,"",N8/J8*100)</f>
        <v>99.949505575426045</v>
      </c>
      <c r="P8" s="719">
        <f>IF(K8=0,"",N8/K8*100)</f>
        <v>111.023861272757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145130</v>
      </c>
      <c r="J9" s="538">
        <v>144780</v>
      </c>
      <c r="K9" s="538">
        <v>133059</v>
      </c>
      <c r="L9" s="577">
        <v>144770</v>
      </c>
      <c r="M9" s="246">
        <v>0</v>
      </c>
      <c r="N9" s="742">
        <f>SUM(L9:M9)</f>
        <v>144770</v>
      </c>
      <c r="O9" s="715">
        <f>IF(J9=0,"",N9/J9*100)</f>
        <v>99.993092968642074</v>
      </c>
      <c r="P9" s="720">
        <f t="shared" ref="P9:P33" si="2">IF(K9=0,"",N9/K9*100)</f>
        <v>108.80135879572219</v>
      </c>
      <c r="Q9" s="63"/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43440</v>
      </c>
      <c r="J10" s="538">
        <v>45340</v>
      </c>
      <c r="K10" s="538">
        <v>38097</v>
      </c>
      <c r="L10" s="577">
        <v>45254</v>
      </c>
      <c r="M10" s="246">
        <v>0</v>
      </c>
      <c r="N10" s="742">
        <f t="shared" ref="N10:N11" si="3">SUM(L10:M10)</f>
        <v>45254</v>
      </c>
      <c r="O10" s="715">
        <f t="shared" ref="O10:P35" si="4">IF(J10=0,"",N10/J10*100)</f>
        <v>99.810322011468898</v>
      </c>
      <c r="P10" s="720">
        <f t="shared" si="2"/>
        <v>118.78625613565373</v>
      </c>
      <c r="Q10" s="67"/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77">
        <v>0</v>
      </c>
      <c r="M11" s="246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77"/>
      <c r="M12" s="246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15440</v>
      </c>
      <c r="J13" s="537">
        <f t="shared" si="6"/>
        <v>15340</v>
      </c>
      <c r="K13" s="537">
        <f>K14</f>
        <v>14094</v>
      </c>
      <c r="L13" s="576">
        <f>L14</f>
        <v>15304</v>
      </c>
      <c r="M13" s="245">
        <f>M14</f>
        <v>0</v>
      </c>
      <c r="N13" s="741">
        <f>N14</f>
        <v>15304</v>
      </c>
      <c r="O13" s="714">
        <f t="shared" si="4"/>
        <v>99.765319426336376</v>
      </c>
      <c r="P13" s="719">
        <f t="shared" si="2"/>
        <v>108.58521356605648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15440</v>
      </c>
      <c r="J14" s="538">
        <v>15340</v>
      </c>
      <c r="K14" s="538">
        <v>14094</v>
      </c>
      <c r="L14" s="577">
        <v>15304</v>
      </c>
      <c r="M14" s="246">
        <v>0</v>
      </c>
      <c r="N14" s="742">
        <f>SUM(L14:M14)</f>
        <v>15304</v>
      </c>
      <c r="O14" s="715">
        <f t="shared" si="4"/>
        <v>99.765319426336376</v>
      </c>
      <c r="P14" s="720">
        <f t="shared" si="2"/>
        <v>108.58521356605648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6"/>
      <c r="M15" s="302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7700</v>
      </c>
      <c r="J16" s="537">
        <f t="shared" ref="J16" si="8">SUM(J17:J26)</f>
        <v>7700</v>
      </c>
      <c r="K16" s="537">
        <f>SUM(K17:K26)</f>
        <v>9276</v>
      </c>
      <c r="L16" s="567">
        <f>SUM(L17:L26)</f>
        <v>7041</v>
      </c>
      <c r="M16" s="316">
        <f>SUM(M17:M26)</f>
        <v>0</v>
      </c>
      <c r="N16" s="732">
        <f>SUM(N17:N26)</f>
        <v>7041</v>
      </c>
      <c r="O16" s="714">
        <f t="shared" si="4"/>
        <v>91.441558441558442</v>
      </c>
      <c r="P16" s="719">
        <f t="shared" si="2"/>
        <v>75.905562742561443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3500</v>
      </c>
      <c r="J17" s="538">
        <v>3350</v>
      </c>
      <c r="K17" s="538">
        <v>3997</v>
      </c>
      <c r="L17" s="549">
        <v>2940</v>
      </c>
      <c r="M17" s="387">
        <v>0</v>
      </c>
      <c r="N17" s="742">
        <f t="shared" ref="N17:N26" si="9">SUM(L17:M17)</f>
        <v>2940</v>
      </c>
      <c r="O17" s="715">
        <f t="shared" si="4"/>
        <v>87.761194029850742</v>
      </c>
      <c r="P17" s="720">
        <f t="shared" si="2"/>
        <v>73.555166374781095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0">
        <v>0</v>
      </c>
      <c r="M18" s="385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800</v>
      </c>
      <c r="J19" s="538">
        <v>800</v>
      </c>
      <c r="K19" s="538">
        <v>606</v>
      </c>
      <c r="L19" s="550">
        <v>613</v>
      </c>
      <c r="M19" s="385">
        <v>0</v>
      </c>
      <c r="N19" s="742">
        <f t="shared" si="9"/>
        <v>613</v>
      </c>
      <c r="O19" s="715">
        <f t="shared" si="4"/>
        <v>76.625</v>
      </c>
      <c r="P19" s="720">
        <f t="shared" si="2"/>
        <v>101.15511551155116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800</v>
      </c>
      <c r="J20" s="538">
        <v>800</v>
      </c>
      <c r="K20" s="538">
        <v>596</v>
      </c>
      <c r="L20" s="549">
        <v>775</v>
      </c>
      <c r="M20" s="387">
        <v>0</v>
      </c>
      <c r="N20" s="742">
        <f t="shared" si="9"/>
        <v>775</v>
      </c>
      <c r="O20" s="715">
        <f t="shared" si="4"/>
        <v>96.875</v>
      </c>
      <c r="P20" s="720">
        <f t="shared" si="2"/>
        <v>130.03355704697987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0">
        <v>0</v>
      </c>
      <c r="M21" s="385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0">
        <v>0</v>
      </c>
      <c r="M22" s="385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1200</v>
      </c>
      <c r="J23" s="538">
        <v>1250</v>
      </c>
      <c r="K23" s="538">
        <v>997</v>
      </c>
      <c r="L23" s="550">
        <v>1225</v>
      </c>
      <c r="M23" s="385">
        <v>0</v>
      </c>
      <c r="N23" s="742">
        <f t="shared" si="9"/>
        <v>1225</v>
      </c>
      <c r="O23" s="715">
        <f t="shared" si="4"/>
        <v>98</v>
      </c>
      <c r="P23" s="720">
        <f t="shared" si="2"/>
        <v>122.86860581745236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0">
        <v>0</v>
      </c>
      <c r="M24" s="385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1400</v>
      </c>
      <c r="J25" s="538">
        <v>1500</v>
      </c>
      <c r="K25" s="538">
        <v>3080</v>
      </c>
      <c r="L25" s="549">
        <v>1488</v>
      </c>
      <c r="M25" s="387">
        <v>0</v>
      </c>
      <c r="N25" s="742">
        <f t="shared" si="9"/>
        <v>1488</v>
      </c>
      <c r="O25" s="715">
        <f t="shared" si="4"/>
        <v>99.2</v>
      </c>
      <c r="P25" s="720">
        <f t="shared" si="2"/>
        <v>48.311688311688314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569"/>
      <c r="M27" s="303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4000</v>
      </c>
      <c r="J28" s="537">
        <f t="shared" ref="J28" si="12">SUM(J29:J30)</f>
        <v>4000</v>
      </c>
      <c r="K28" s="537">
        <f>SUM(K29:K30)</f>
        <v>1392</v>
      </c>
      <c r="L28" s="574">
        <f>SUM(L29:L30)</f>
        <v>3976</v>
      </c>
      <c r="M28" s="318">
        <f>SUM(M29:M30)</f>
        <v>0</v>
      </c>
      <c r="N28" s="732">
        <f>SUM(N29:N30)</f>
        <v>3976</v>
      </c>
      <c r="O28" s="714">
        <f t="shared" si="4"/>
        <v>99.4</v>
      </c>
      <c r="P28" s="719">
        <f t="shared" si="2"/>
        <v>285.63218390804599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569">
        <v>0</v>
      </c>
      <c r="M29" s="303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4000</v>
      </c>
      <c r="J30" s="538">
        <v>4000</v>
      </c>
      <c r="K30" s="538">
        <v>1392</v>
      </c>
      <c r="L30" s="569">
        <v>3976</v>
      </c>
      <c r="M30" s="303">
        <v>0</v>
      </c>
      <c r="N30" s="742">
        <f t="shared" si="14"/>
        <v>3976</v>
      </c>
      <c r="O30" s="715">
        <f t="shared" si="4"/>
        <v>99.4</v>
      </c>
      <c r="P30" s="720">
        <f t="shared" si="2"/>
        <v>285.63218390804599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566"/>
      <c r="M31" s="302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>
        <v>9</v>
      </c>
      <c r="J32" s="539"/>
      <c r="K32" s="537">
        <v>7</v>
      </c>
      <c r="L32" s="570">
        <v>9</v>
      </c>
      <c r="M32" s="320"/>
      <c r="N32" s="744">
        <v>9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215710</v>
      </c>
      <c r="J33" s="311">
        <f>J8+J13+J16+J28</f>
        <v>217160</v>
      </c>
      <c r="K33" s="561">
        <f t="shared" ref="K33" si="15">K8+K13+K16+K28</f>
        <v>195918</v>
      </c>
      <c r="L33" s="568">
        <f>L8+L13+L16+L28</f>
        <v>216345</v>
      </c>
      <c r="M33" s="311">
        <f>M8+M13+M16+M28</f>
        <v>0</v>
      </c>
      <c r="N33" s="732">
        <f>N8+N13+N16+N28</f>
        <v>216345</v>
      </c>
      <c r="O33" s="714">
        <f t="shared" si="4"/>
        <v>99.624700681525141</v>
      </c>
      <c r="P33" s="719">
        <f t="shared" si="2"/>
        <v>110.42630079931399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/>
      <c r="J34" s="15"/>
      <c r="K34" s="561"/>
      <c r="L34" s="568"/>
      <c r="M34" s="311"/>
      <c r="N34" s="732"/>
      <c r="O34" s="714" t="str">
        <f>IF(J34=0,"",N34/J34*100)</f>
        <v/>
      </c>
      <c r="P34" s="719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/>
      <c r="J35" s="15"/>
      <c r="K35" s="561"/>
      <c r="L35" s="568"/>
      <c r="M35" s="311"/>
      <c r="N35" s="732"/>
      <c r="O35" s="714" t="str">
        <f t="shared" si="4"/>
        <v/>
      </c>
      <c r="P35" s="719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6"/>
  <sheetViews>
    <sheetView zoomScaleNormal="100" workbookViewId="0">
      <selection activeCell="N36" sqref="N36"/>
    </sheetView>
  </sheetViews>
  <sheetFormatPr defaultRowHeight="12.75"/>
  <cols>
    <col min="1" max="1" width="9.140625" style="307"/>
    <col min="2" max="2" width="4.7109375" style="307" customWidth="1"/>
    <col min="3" max="3" width="5.140625" style="307" customWidth="1"/>
    <col min="4" max="5" width="5" style="307" customWidth="1"/>
    <col min="6" max="7" width="8.7109375" style="312" customWidth="1"/>
    <col min="8" max="8" width="50.7109375" style="307" customWidth="1"/>
    <col min="9" max="13" width="14.7109375" style="307" customWidth="1"/>
    <col min="14" max="14" width="15.7109375" style="307" customWidth="1"/>
    <col min="15" max="16" width="7.7109375" style="372" customWidth="1"/>
    <col min="17" max="16384" width="9.140625" style="307"/>
  </cols>
  <sheetData>
    <row r="1" spans="2:19" ht="13.5" thickBot="1"/>
    <row r="2" spans="2:19" s="403" customFormat="1" ht="20.100000000000001" customHeight="1" thickTop="1" thickBot="1">
      <c r="B2" s="906" t="s">
        <v>696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2:19" s="304" customFormat="1" ht="8.1" customHeight="1" thickTop="1" thickBot="1">
      <c r="F3" s="305"/>
      <c r="G3" s="305"/>
      <c r="H3" s="909"/>
      <c r="I3" s="909"/>
      <c r="J3" s="630"/>
      <c r="K3" s="630"/>
      <c r="L3" s="103"/>
      <c r="M3" s="103"/>
      <c r="N3" s="103"/>
      <c r="O3" s="366"/>
      <c r="P3" s="366"/>
    </row>
    <row r="4" spans="2:19" s="304" customFormat="1" ht="39" customHeight="1"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2:19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2:19" s="305" customFormat="1" ht="12.95" customHeight="1"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2:19" s="305" customFormat="1" ht="12.95" customHeight="1">
      <c r="B7" s="6" t="s">
        <v>115</v>
      </c>
      <c r="C7" s="7" t="s">
        <v>80</v>
      </c>
      <c r="D7" s="7" t="s">
        <v>134</v>
      </c>
      <c r="E7" s="653" t="s">
        <v>780</v>
      </c>
      <c r="F7" s="306"/>
      <c r="G7" s="306"/>
      <c r="H7" s="306"/>
      <c r="I7" s="306"/>
      <c r="J7" s="306"/>
      <c r="K7" s="560"/>
      <c r="L7" s="4"/>
      <c r="M7" s="306"/>
      <c r="N7" s="740"/>
      <c r="O7" s="713"/>
      <c r="P7" s="718"/>
    </row>
    <row r="8" spans="2:19" s="304" customFormat="1" ht="12.95" customHeight="1">
      <c r="B8" s="310"/>
      <c r="C8" s="8"/>
      <c r="D8" s="8"/>
      <c r="E8" s="8"/>
      <c r="F8" s="327">
        <v>611000</v>
      </c>
      <c r="G8" s="353"/>
      <c r="H8" s="8" t="s">
        <v>146</v>
      </c>
      <c r="I8" s="381">
        <f t="shared" ref="I8:J8" si="0">SUM(I9:I12)</f>
        <v>93600</v>
      </c>
      <c r="J8" s="381">
        <f t="shared" si="0"/>
        <v>92600</v>
      </c>
      <c r="K8" s="537">
        <f>SUM(K9:K11)</f>
        <v>0</v>
      </c>
      <c r="L8" s="746">
        <f t="shared" ref="L8" si="1">SUM(L9:L12)</f>
        <v>92348</v>
      </c>
      <c r="M8" s="233">
        <f>SUM(M9:M12)</f>
        <v>0</v>
      </c>
      <c r="N8" s="741">
        <f>SUM(N9:N12)</f>
        <v>92348</v>
      </c>
      <c r="O8" s="714">
        <f>IF(J8=0,"",N8/J8*100)</f>
        <v>99.727861771058315</v>
      </c>
      <c r="P8" s="719" t="str">
        <f>IF(K8=0,"",O8/K8*100)</f>
        <v/>
      </c>
    </row>
    <row r="9" spans="2:19" ht="12.95" customHeight="1">
      <c r="B9" s="308"/>
      <c r="C9" s="309"/>
      <c r="D9" s="309"/>
      <c r="E9" s="309"/>
      <c r="F9" s="328">
        <v>611100</v>
      </c>
      <c r="G9" s="354"/>
      <c r="H9" s="313" t="s">
        <v>169</v>
      </c>
      <c r="I9" s="384">
        <v>72460</v>
      </c>
      <c r="J9" s="384">
        <v>72460</v>
      </c>
      <c r="K9" s="538">
        <v>0</v>
      </c>
      <c r="L9" s="549">
        <v>72287</v>
      </c>
      <c r="M9" s="232">
        <v>0</v>
      </c>
      <c r="N9" s="742">
        <f>SUM(L9:M9)</f>
        <v>72287</v>
      </c>
      <c r="O9" s="715">
        <f>IF(J9=0,"",N9/J9*100)</f>
        <v>99.761247584874411</v>
      </c>
      <c r="P9" s="720" t="str">
        <f>IF(K9=0,"",O9/K9*100)</f>
        <v/>
      </c>
    </row>
    <row r="10" spans="2:19" ht="12.95" customHeight="1">
      <c r="B10" s="308"/>
      <c r="C10" s="309"/>
      <c r="D10" s="309"/>
      <c r="E10" s="309"/>
      <c r="F10" s="328">
        <v>611200</v>
      </c>
      <c r="G10" s="354"/>
      <c r="H10" s="309" t="s">
        <v>170</v>
      </c>
      <c r="I10" s="384">
        <v>21140</v>
      </c>
      <c r="J10" s="384">
        <v>20140</v>
      </c>
      <c r="K10" s="538">
        <v>0</v>
      </c>
      <c r="L10" s="549">
        <v>20061</v>
      </c>
      <c r="M10" s="232">
        <v>0</v>
      </c>
      <c r="N10" s="742">
        <f t="shared" ref="N10:N11" si="2">SUM(L10:M10)</f>
        <v>20061</v>
      </c>
      <c r="O10" s="715">
        <f t="shared" ref="O10:P33" si="3">IF(J10=0,"",N10/J10*100)</f>
        <v>99.607745779543194</v>
      </c>
      <c r="P10" s="720" t="str">
        <f t="shared" si="3"/>
        <v/>
      </c>
    </row>
    <row r="11" spans="2:19" ht="12.95" customHeight="1">
      <c r="B11" s="308"/>
      <c r="C11" s="309"/>
      <c r="D11" s="309"/>
      <c r="E11" s="309"/>
      <c r="F11" s="328">
        <v>611200</v>
      </c>
      <c r="G11" s="354"/>
      <c r="H11" s="211" t="s">
        <v>451</v>
      </c>
      <c r="I11" s="384">
        <f t="shared" ref="I11:J11" si="4">SUM(G11:H11)</f>
        <v>0</v>
      </c>
      <c r="J11" s="384">
        <f t="shared" si="4"/>
        <v>0</v>
      </c>
      <c r="K11" s="538">
        <v>0</v>
      </c>
      <c r="L11" s="549">
        <v>0</v>
      </c>
      <c r="M11" s="232">
        <v>0</v>
      </c>
      <c r="N11" s="742">
        <f t="shared" si="2"/>
        <v>0</v>
      </c>
      <c r="O11" s="715" t="str">
        <f t="shared" si="3"/>
        <v/>
      </c>
      <c r="P11" s="720" t="str">
        <f t="shared" si="3"/>
        <v/>
      </c>
      <c r="R11" s="62"/>
    </row>
    <row r="12" spans="2:19" ht="8.1" customHeight="1">
      <c r="B12" s="308"/>
      <c r="C12" s="309"/>
      <c r="D12" s="309"/>
      <c r="E12" s="309"/>
      <c r="F12" s="328"/>
      <c r="G12" s="354"/>
      <c r="H12" s="313"/>
      <c r="I12" s="384"/>
      <c r="J12" s="384"/>
      <c r="K12" s="538"/>
      <c r="L12" s="549"/>
      <c r="M12" s="232"/>
      <c r="N12" s="742"/>
      <c r="O12" s="715" t="str">
        <f t="shared" si="3"/>
        <v/>
      </c>
      <c r="P12" s="720" t="str">
        <f t="shared" si="3"/>
        <v/>
      </c>
    </row>
    <row r="13" spans="2:19" s="304" customFormat="1" ht="12.95" customHeight="1">
      <c r="B13" s="310"/>
      <c r="C13" s="8"/>
      <c r="D13" s="8"/>
      <c r="E13" s="8"/>
      <c r="F13" s="327">
        <v>612000</v>
      </c>
      <c r="G13" s="353"/>
      <c r="H13" s="8" t="s">
        <v>145</v>
      </c>
      <c r="I13" s="381">
        <f t="shared" ref="I13:L13" si="5">I14</f>
        <v>7740</v>
      </c>
      <c r="J13" s="381">
        <f t="shared" si="5"/>
        <v>7640</v>
      </c>
      <c r="K13" s="537">
        <f>K14</f>
        <v>0</v>
      </c>
      <c r="L13" s="746">
        <f t="shared" si="5"/>
        <v>7633</v>
      </c>
      <c r="M13" s="233">
        <f>M14</f>
        <v>0</v>
      </c>
      <c r="N13" s="741">
        <f>N14</f>
        <v>7633</v>
      </c>
      <c r="O13" s="714">
        <f t="shared" si="3"/>
        <v>99.90837696335079</v>
      </c>
      <c r="P13" s="719" t="str">
        <f t="shared" si="3"/>
        <v/>
      </c>
      <c r="S13" s="68"/>
    </row>
    <row r="14" spans="2:19" ht="12.95" customHeight="1">
      <c r="B14" s="308"/>
      <c r="C14" s="309"/>
      <c r="D14" s="309"/>
      <c r="E14" s="309"/>
      <c r="F14" s="328">
        <v>612100</v>
      </c>
      <c r="G14" s="354"/>
      <c r="H14" s="13" t="s">
        <v>82</v>
      </c>
      <c r="I14" s="384">
        <v>7740</v>
      </c>
      <c r="J14" s="384">
        <v>7640</v>
      </c>
      <c r="K14" s="538">
        <v>0</v>
      </c>
      <c r="L14" s="549">
        <v>7633</v>
      </c>
      <c r="M14" s="232">
        <v>0</v>
      </c>
      <c r="N14" s="742">
        <f>SUM(L14:M14)</f>
        <v>7633</v>
      </c>
      <c r="O14" s="715">
        <f t="shared" si="3"/>
        <v>99.90837696335079</v>
      </c>
      <c r="P14" s="720" t="str">
        <f t="shared" si="3"/>
        <v/>
      </c>
      <c r="S14" s="55"/>
    </row>
    <row r="15" spans="2:19" ht="8.1" customHeight="1">
      <c r="B15" s="308"/>
      <c r="C15" s="309"/>
      <c r="D15" s="309"/>
      <c r="E15" s="309"/>
      <c r="F15" s="328"/>
      <c r="G15" s="354"/>
      <c r="H15" s="309"/>
      <c r="I15" s="384"/>
      <c r="J15" s="384"/>
      <c r="K15" s="538"/>
      <c r="L15" s="550"/>
      <c r="M15" s="302"/>
      <c r="N15" s="743"/>
      <c r="O15" s="715" t="str">
        <f t="shared" si="3"/>
        <v/>
      </c>
      <c r="P15" s="720" t="str">
        <f t="shared" si="3"/>
        <v/>
      </c>
    </row>
    <row r="16" spans="2:19" s="304" customFormat="1" ht="12.95" customHeight="1">
      <c r="B16" s="310"/>
      <c r="C16" s="8"/>
      <c r="D16" s="8"/>
      <c r="E16" s="8"/>
      <c r="F16" s="327">
        <v>613000</v>
      </c>
      <c r="G16" s="353"/>
      <c r="H16" s="8" t="s">
        <v>147</v>
      </c>
      <c r="I16" s="381">
        <f t="shared" ref="I16:J16" si="6">SUM(I17:I26)</f>
        <v>3750</v>
      </c>
      <c r="J16" s="381">
        <f t="shared" si="6"/>
        <v>3750</v>
      </c>
      <c r="K16" s="537">
        <f>SUM(K17:K26)</f>
        <v>0</v>
      </c>
      <c r="L16" s="747">
        <f t="shared" ref="L16" si="7">SUM(L17:L26)</f>
        <v>2246</v>
      </c>
      <c r="M16" s="316">
        <f>SUM(M17:M26)</f>
        <v>0</v>
      </c>
      <c r="N16" s="732">
        <f>SUM(N17:N26)</f>
        <v>2246</v>
      </c>
      <c r="O16" s="714">
        <f t="shared" si="3"/>
        <v>59.893333333333331</v>
      </c>
      <c r="P16" s="719" t="str">
        <f t="shared" si="3"/>
        <v/>
      </c>
    </row>
    <row r="17" spans="2:17" ht="12.95" customHeight="1">
      <c r="B17" s="308"/>
      <c r="C17" s="309"/>
      <c r="D17" s="309"/>
      <c r="E17" s="309"/>
      <c r="F17" s="328">
        <v>613100</v>
      </c>
      <c r="G17" s="354"/>
      <c r="H17" s="309" t="s">
        <v>83</v>
      </c>
      <c r="I17" s="384">
        <v>300</v>
      </c>
      <c r="J17" s="384">
        <v>270</v>
      </c>
      <c r="K17" s="538">
        <v>0</v>
      </c>
      <c r="L17" s="550">
        <v>45</v>
      </c>
      <c r="M17" s="385">
        <v>0</v>
      </c>
      <c r="N17" s="742">
        <f t="shared" ref="N17:N26" si="8">SUM(L17:M17)</f>
        <v>45</v>
      </c>
      <c r="O17" s="715">
        <f t="shared" si="3"/>
        <v>16.666666666666664</v>
      </c>
      <c r="P17" s="720" t="str">
        <f t="shared" si="3"/>
        <v/>
      </c>
    </row>
    <row r="18" spans="2:17" ht="12.95" customHeight="1">
      <c r="B18" s="308"/>
      <c r="C18" s="309"/>
      <c r="D18" s="309"/>
      <c r="E18" s="309"/>
      <c r="F18" s="328">
        <v>613200</v>
      </c>
      <c r="G18" s="354"/>
      <c r="H18" s="309" t="s">
        <v>84</v>
      </c>
      <c r="I18" s="384">
        <f t="shared" ref="I18:J26" si="9">SUM(G18:H18)</f>
        <v>0</v>
      </c>
      <c r="J18" s="384">
        <f t="shared" si="9"/>
        <v>0</v>
      </c>
      <c r="K18" s="538">
        <v>0</v>
      </c>
      <c r="L18" s="550">
        <v>0</v>
      </c>
      <c r="M18" s="385">
        <v>0</v>
      </c>
      <c r="N18" s="742">
        <f t="shared" si="8"/>
        <v>0</v>
      </c>
      <c r="O18" s="715" t="str">
        <f t="shared" si="3"/>
        <v/>
      </c>
      <c r="P18" s="720" t="str">
        <f t="shared" si="3"/>
        <v/>
      </c>
    </row>
    <row r="19" spans="2:17" ht="12.95" customHeight="1">
      <c r="B19" s="308"/>
      <c r="C19" s="309"/>
      <c r="D19" s="309"/>
      <c r="E19" s="309"/>
      <c r="F19" s="328">
        <v>613300</v>
      </c>
      <c r="G19" s="354"/>
      <c r="H19" s="313" t="s">
        <v>171</v>
      </c>
      <c r="I19" s="384">
        <v>1000</v>
      </c>
      <c r="J19" s="384">
        <v>1030</v>
      </c>
      <c r="K19" s="538">
        <v>0</v>
      </c>
      <c r="L19" s="550">
        <v>1016</v>
      </c>
      <c r="M19" s="385">
        <v>0</v>
      </c>
      <c r="N19" s="742">
        <f t="shared" si="8"/>
        <v>1016</v>
      </c>
      <c r="O19" s="715">
        <f t="shared" si="3"/>
        <v>98.640776699029132</v>
      </c>
      <c r="P19" s="720" t="str">
        <f t="shared" si="3"/>
        <v/>
      </c>
    </row>
    <row r="20" spans="2:17" ht="12.95" customHeight="1">
      <c r="B20" s="308"/>
      <c r="C20" s="309"/>
      <c r="D20" s="309"/>
      <c r="E20" s="309"/>
      <c r="F20" s="328">
        <v>613400</v>
      </c>
      <c r="G20" s="354"/>
      <c r="H20" s="309" t="s">
        <v>148</v>
      </c>
      <c r="I20" s="384">
        <f t="shared" si="9"/>
        <v>0</v>
      </c>
      <c r="J20" s="384">
        <f t="shared" si="9"/>
        <v>0</v>
      </c>
      <c r="K20" s="538">
        <v>0</v>
      </c>
      <c r="L20" s="550">
        <v>0</v>
      </c>
      <c r="M20" s="385">
        <v>0</v>
      </c>
      <c r="N20" s="742">
        <f t="shared" si="8"/>
        <v>0</v>
      </c>
      <c r="O20" s="715" t="str">
        <f t="shared" si="3"/>
        <v/>
      </c>
      <c r="P20" s="720" t="str">
        <f t="shared" si="3"/>
        <v/>
      </c>
    </row>
    <row r="21" spans="2:17" ht="12.95" customHeight="1">
      <c r="B21" s="308"/>
      <c r="C21" s="309"/>
      <c r="D21" s="309"/>
      <c r="E21" s="309"/>
      <c r="F21" s="328">
        <v>613500</v>
      </c>
      <c r="G21" s="354"/>
      <c r="H21" s="309" t="s">
        <v>85</v>
      </c>
      <c r="I21" s="384">
        <f t="shared" si="9"/>
        <v>0</v>
      </c>
      <c r="J21" s="384">
        <f t="shared" si="9"/>
        <v>0</v>
      </c>
      <c r="K21" s="538">
        <v>0</v>
      </c>
      <c r="L21" s="550">
        <v>0</v>
      </c>
      <c r="M21" s="385">
        <v>0</v>
      </c>
      <c r="N21" s="742">
        <f t="shared" si="8"/>
        <v>0</v>
      </c>
      <c r="O21" s="715" t="str">
        <f t="shared" si="3"/>
        <v/>
      </c>
      <c r="P21" s="720" t="str">
        <f t="shared" si="3"/>
        <v/>
      </c>
    </row>
    <row r="22" spans="2:17" ht="12.95" customHeight="1">
      <c r="B22" s="308"/>
      <c r="C22" s="309"/>
      <c r="D22" s="309"/>
      <c r="E22" s="309"/>
      <c r="F22" s="328">
        <v>613600</v>
      </c>
      <c r="G22" s="354"/>
      <c r="H22" s="313" t="s">
        <v>172</v>
      </c>
      <c r="I22" s="384">
        <f t="shared" si="9"/>
        <v>0</v>
      </c>
      <c r="J22" s="384">
        <f t="shared" si="9"/>
        <v>0</v>
      </c>
      <c r="K22" s="538">
        <v>0</v>
      </c>
      <c r="L22" s="550">
        <v>0</v>
      </c>
      <c r="M22" s="385">
        <v>0</v>
      </c>
      <c r="N22" s="742">
        <f t="shared" si="8"/>
        <v>0</v>
      </c>
      <c r="O22" s="715" t="str">
        <f t="shared" si="3"/>
        <v/>
      </c>
      <c r="P22" s="720" t="str">
        <f t="shared" si="3"/>
        <v/>
      </c>
    </row>
    <row r="23" spans="2:17" ht="12.95" customHeight="1">
      <c r="B23" s="308"/>
      <c r="C23" s="309"/>
      <c r="D23" s="309"/>
      <c r="E23" s="309"/>
      <c r="F23" s="328">
        <v>613700</v>
      </c>
      <c r="G23" s="354"/>
      <c r="H23" s="309" t="s">
        <v>86</v>
      </c>
      <c r="I23" s="384">
        <v>600</v>
      </c>
      <c r="J23" s="384">
        <v>600</v>
      </c>
      <c r="K23" s="538">
        <v>0</v>
      </c>
      <c r="L23" s="550">
        <v>539</v>
      </c>
      <c r="M23" s="385">
        <v>0</v>
      </c>
      <c r="N23" s="742">
        <f t="shared" si="8"/>
        <v>539</v>
      </c>
      <c r="O23" s="715">
        <f t="shared" si="3"/>
        <v>89.833333333333329</v>
      </c>
      <c r="P23" s="720" t="str">
        <f t="shared" si="3"/>
        <v/>
      </c>
    </row>
    <row r="24" spans="2:17" ht="12.95" customHeight="1">
      <c r="B24" s="308"/>
      <c r="C24" s="309"/>
      <c r="D24" s="309"/>
      <c r="E24" s="309"/>
      <c r="F24" s="328">
        <v>613800</v>
      </c>
      <c r="G24" s="354"/>
      <c r="H24" s="309" t="s">
        <v>149</v>
      </c>
      <c r="I24" s="384">
        <f t="shared" si="9"/>
        <v>0</v>
      </c>
      <c r="J24" s="384">
        <f t="shared" si="9"/>
        <v>0</v>
      </c>
      <c r="K24" s="538">
        <v>0</v>
      </c>
      <c r="L24" s="550">
        <v>0</v>
      </c>
      <c r="M24" s="385">
        <v>0</v>
      </c>
      <c r="N24" s="742">
        <f t="shared" si="8"/>
        <v>0</v>
      </c>
      <c r="O24" s="715" t="str">
        <f t="shared" si="3"/>
        <v/>
      </c>
      <c r="P24" s="720" t="str">
        <f t="shared" si="3"/>
        <v/>
      </c>
      <c r="Q24" s="55"/>
    </row>
    <row r="25" spans="2:17" ht="12.95" customHeight="1">
      <c r="B25" s="308"/>
      <c r="C25" s="309"/>
      <c r="D25" s="309"/>
      <c r="E25" s="309"/>
      <c r="F25" s="328">
        <v>613900</v>
      </c>
      <c r="G25" s="354"/>
      <c r="H25" s="309" t="s">
        <v>150</v>
      </c>
      <c r="I25" s="384">
        <v>1850</v>
      </c>
      <c r="J25" s="384">
        <v>1850</v>
      </c>
      <c r="K25" s="538">
        <v>0</v>
      </c>
      <c r="L25" s="549">
        <v>646</v>
      </c>
      <c r="M25" s="387">
        <v>0</v>
      </c>
      <c r="N25" s="742">
        <f t="shared" si="8"/>
        <v>646</v>
      </c>
      <c r="O25" s="715">
        <f t="shared" si="3"/>
        <v>34.918918918918919</v>
      </c>
      <c r="P25" s="720" t="str">
        <f t="shared" si="3"/>
        <v/>
      </c>
    </row>
    <row r="26" spans="2:17" ht="12.95" customHeight="1">
      <c r="B26" s="308"/>
      <c r="C26" s="309"/>
      <c r="D26" s="309"/>
      <c r="E26" s="309"/>
      <c r="F26" s="328">
        <v>613900</v>
      </c>
      <c r="G26" s="354"/>
      <c r="H26" s="211" t="s">
        <v>452</v>
      </c>
      <c r="I26" s="384">
        <f t="shared" si="9"/>
        <v>0</v>
      </c>
      <c r="J26" s="384">
        <f t="shared" si="9"/>
        <v>0</v>
      </c>
      <c r="K26" s="538">
        <v>0</v>
      </c>
      <c r="L26" s="550">
        <v>0</v>
      </c>
      <c r="M26" s="385">
        <v>0</v>
      </c>
      <c r="N26" s="742">
        <f t="shared" si="8"/>
        <v>0</v>
      </c>
      <c r="O26" s="715" t="str">
        <f t="shared" si="3"/>
        <v/>
      </c>
      <c r="P26" s="720" t="str">
        <f t="shared" si="3"/>
        <v/>
      </c>
    </row>
    <row r="27" spans="2:17" ht="8.1" customHeight="1">
      <c r="B27" s="308"/>
      <c r="C27" s="309"/>
      <c r="D27" s="309"/>
      <c r="E27" s="309"/>
      <c r="F27" s="328"/>
      <c r="G27" s="354"/>
      <c r="H27" s="309"/>
      <c r="I27" s="381"/>
      <c r="J27" s="381"/>
      <c r="K27" s="537"/>
      <c r="L27" s="748"/>
      <c r="M27" s="311"/>
      <c r="N27" s="732"/>
      <c r="O27" s="715" t="str">
        <f t="shared" si="3"/>
        <v/>
      </c>
      <c r="P27" s="720" t="str">
        <f t="shared" si="3"/>
        <v/>
      </c>
    </row>
    <row r="28" spans="2:17" s="304" customFormat="1" ht="12.95" customHeight="1">
      <c r="B28" s="310"/>
      <c r="C28" s="8"/>
      <c r="D28" s="8"/>
      <c r="E28" s="652"/>
      <c r="F28" s="338">
        <v>614000</v>
      </c>
      <c r="G28" s="365"/>
      <c r="H28" s="8" t="s">
        <v>173</v>
      </c>
      <c r="I28" s="381">
        <f t="shared" ref="I28:N28" si="10">SUM(I29:I29)</f>
        <v>50000</v>
      </c>
      <c r="J28" s="381">
        <f t="shared" si="10"/>
        <v>0</v>
      </c>
      <c r="K28" s="537">
        <f t="shared" si="10"/>
        <v>0</v>
      </c>
      <c r="L28" s="748">
        <f t="shared" si="10"/>
        <v>0</v>
      </c>
      <c r="M28" s="311">
        <f t="shared" si="10"/>
        <v>0</v>
      </c>
      <c r="N28" s="732">
        <f t="shared" si="10"/>
        <v>0</v>
      </c>
      <c r="O28" s="714" t="str">
        <f t="shared" si="3"/>
        <v/>
      </c>
      <c r="P28" s="719" t="str">
        <f t="shared" si="3"/>
        <v/>
      </c>
    </row>
    <row r="29" spans="2:17" ht="24" customHeight="1">
      <c r="B29" s="308"/>
      <c r="C29" s="309"/>
      <c r="D29" s="24"/>
      <c r="E29" s="24"/>
      <c r="F29" s="376">
        <v>614200</v>
      </c>
      <c r="G29" s="660" t="s">
        <v>695</v>
      </c>
      <c r="H29" s="623" t="s">
        <v>807</v>
      </c>
      <c r="I29" s="384">
        <v>50000</v>
      </c>
      <c r="J29" s="384">
        <v>0</v>
      </c>
      <c r="K29" s="538">
        <v>0</v>
      </c>
      <c r="L29" s="549">
        <v>0</v>
      </c>
      <c r="M29" s="303">
        <v>0</v>
      </c>
      <c r="N29" s="742">
        <f>SUM(L29:M29)</f>
        <v>0</v>
      </c>
      <c r="O29" s="715" t="str">
        <f t="shared" si="3"/>
        <v/>
      </c>
      <c r="P29" s="720" t="str">
        <f t="shared" si="3"/>
        <v/>
      </c>
    </row>
    <row r="30" spans="2:17" ht="8.1" customHeight="1">
      <c r="B30" s="308"/>
      <c r="C30" s="309"/>
      <c r="D30" s="309"/>
      <c r="E30" s="648"/>
      <c r="F30" s="336"/>
      <c r="G30" s="361"/>
      <c r="H30" s="309"/>
      <c r="I30" s="384"/>
      <c r="J30" s="384"/>
      <c r="K30" s="538"/>
      <c r="L30" s="550"/>
      <c r="M30" s="302"/>
      <c r="N30" s="743"/>
      <c r="O30" s="737" t="str">
        <f t="shared" si="3"/>
        <v/>
      </c>
      <c r="P30" s="369" t="str">
        <f t="shared" si="3"/>
        <v/>
      </c>
    </row>
    <row r="31" spans="2:17" s="304" customFormat="1" ht="12.95" customHeight="1">
      <c r="B31" s="310"/>
      <c r="C31" s="8"/>
      <c r="D31" s="8"/>
      <c r="E31" s="8"/>
      <c r="F31" s="327">
        <v>821000</v>
      </c>
      <c r="G31" s="353"/>
      <c r="H31" s="8" t="s">
        <v>89</v>
      </c>
      <c r="I31" s="381">
        <f t="shared" ref="I31:J31" si="11">SUM(I32:I33)</f>
        <v>2000</v>
      </c>
      <c r="J31" s="381">
        <f t="shared" si="11"/>
        <v>2000</v>
      </c>
      <c r="K31" s="537">
        <f>SUM(K32:K33)</f>
        <v>0</v>
      </c>
      <c r="L31" s="748">
        <f t="shared" ref="L31" si="12">SUM(L32:L33)</f>
        <v>1956</v>
      </c>
      <c r="M31" s="311">
        <f>SUM(M32:M33)</f>
        <v>0</v>
      </c>
      <c r="N31" s="732">
        <f>SUM(N32:N33)</f>
        <v>1956</v>
      </c>
      <c r="O31" s="736">
        <f t="shared" si="3"/>
        <v>97.8</v>
      </c>
      <c r="P31" s="368" t="str">
        <f t="shared" si="3"/>
        <v/>
      </c>
    </row>
    <row r="32" spans="2:17" ht="12.95" customHeight="1">
      <c r="B32" s="308"/>
      <c r="C32" s="309"/>
      <c r="D32" s="309"/>
      <c r="E32" s="309"/>
      <c r="F32" s="328">
        <v>821200</v>
      </c>
      <c r="G32" s="354"/>
      <c r="H32" s="309" t="s">
        <v>90</v>
      </c>
      <c r="I32" s="384">
        <f t="shared" ref="I32:J32" si="13">SUM(G32:H32)</f>
        <v>0</v>
      </c>
      <c r="J32" s="384">
        <f t="shared" si="13"/>
        <v>0</v>
      </c>
      <c r="K32" s="538">
        <v>0</v>
      </c>
      <c r="L32" s="549">
        <v>0</v>
      </c>
      <c r="M32" s="303">
        <v>0</v>
      </c>
      <c r="N32" s="742">
        <f t="shared" ref="N32:N33" si="14">SUM(L32:M32)</f>
        <v>0</v>
      </c>
      <c r="O32" s="737" t="str">
        <f t="shared" si="3"/>
        <v/>
      </c>
      <c r="P32" s="369" t="str">
        <f t="shared" si="3"/>
        <v/>
      </c>
    </row>
    <row r="33" spans="1:19" ht="12.95" customHeight="1">
      <c r="B33" s="308"/>
      <c r="C33" s="309"/>
      <c r="D33" s="309"/>
      <c r="E33" s="309"/>
      <c r="F33" s="328">
        <v>821300</v>
      </c>
      <c r="G33" s="354"/>
      <c r="H33" s="309" t="s">
        <v>91</v>
      </c>
      <c r="I33" s="384">
        <v>2000</v>
      </c>
      <c r="J33" s="384">
        <v>2000</v>
      </c>
      <c r="K33" s="538">
        <v>0</v>
      </c>
      <c r="L33" s="550">
        <v>1956</v>
      </c>
      <c r="M33" s="302">
        <v>0</v>
      </c>
      <c r="N33" s="742">
        <f t="shared" si="14"/>
        <v>1956</v>
      </c>
      <c r="O33" s="737">
        <f t="shared" si="3"/>
        <v>97.8</v>
      </c>
      <c r="P33" s="369" t="str">
        <f t="shared" si="3"/>
        <v/>
      </c>
    </row>
    <row r="34" spans="1:19" ht="8.1" customHeight="1">
      <c r="B34" s="308"/>
      <c r="C34" s="309"/>
      <c r="D34" s="309"/>
      <c r="E34" s="309"/>
      <c r="F34" s="328"/>
      <c r="G34" s="354"/>
      <c r="H34" s="309"/>
      <c r="I34" s="384"/>
      <c r="J34" s="384"/>
      <c r="K34" s="538"/>
      <c r="L34" s="550"/>
      <c r="M34" s="302"/>
      <c r="N34" s="743"/>
      <c r="O34" s="737" t="str">
        <f>IF(J34=0,"",N34/J34*100)</f>
        <v/>
      </c>
      <c r="P34" s="369" t="str">
        <f>IF(K34=0,"",O34/K34*100)</f>
        <v/>
      </c>
    </row>
    <row r="35" spans="1:19" s="304" customFormat="1" ht="12.95" customHeight="1">
      <c r="B35" s="310"/>
      <c r="C35" s="8"/>
      <c r="D35" s="8"/>
      <c r="E35" s="8"/>
      <c r="F35" s="327"/>
      <c r="G35" s="353"/>
      <c r="H35" s="8" t="s">
        <v>92</v>
      </c>
      <c r="I35" s="381">
        <v>4</v>
      </c>
      <c r="J35" s="381"/>
      <c r="K35" s="537">
        <v>0</v>
      </c>
      <c r="L35" s="746">
        <v>4</v>
      </c>
      <c r="M35" s="318"/>
      <c r="N35" s="732">
        <v>4</v>
      </c>
      <c r="O35" s="737"/>
      <c r="P35" s="369"/>
    </row>
    <row r="36" spans="1:19" s="304" customFormat="1" ht="12.95" customHeight="1">
      <c r="B36" s="310"/>
      <c r="C36" s="8"/>
      <c r="D36" s="8"/>
      <c r="E36" s="8"/>
      <c r="F36" s="327"/>
      <c r="G36" s="353"/>
      <c r="H36" s="8" t="s">
        <v>110</v>
      </c>
      <c r="I36" s="311">
        <f t="shared" ref="I36:N36" si="15">I31+I28+I16+I13+I8</f>
        <v>157090</v>
      </c>
      <c r="J36" s="311">
        <f t="shared" si="15"/>
        <v>105990</v>
      </c>
      <c r="K36" s="561">
        <f t="shared" si="15"/>
        <v>0</v>
      </c>
      <c r="L36" s="568">
        <f t="shared" si="15"/>
        <v>104183</v>
      </c>
      <c r="M36" s="311">
        <f t="shared" si="15"/>
        <v>0</v>
      </c>
      <c r="N36" s="732">
        <f t="shared" si="15"/>
        <v>104183</v>
      </c>
      <c r="O36" s="736">
        <f>IF(J36=0,"",N36/J36*100)</f>
        <v>98.29512218133786</v>
      </c>
      <c r="P36" s="368" t="str">
        <f>IF(K36=0,"",O36/K36*100)</f>
        <v/>
      </c>
    </row>
    <row r="37" spans="1:19" s="304" customFormat="1" ht="12.95" customHeight="1">
      <c r="B37" s="310"/>
      <c r="C37" s="8"/>
      <c r="D37" s="8"/>
      <c r="E37" s="8"/>
      <c r="F37" s="327"/>
      <c r="G37" s="353"/>
      <c r="H37" s="8" t="s">
        <v>93</v>
      </c>
      <c r="I37" s="311">
        <f>I36+'7'!I33+'6'!I33+'5'!I33+'4 (S)'!I36+'3'!I55</f>
        <v>2468380</v>
      </c>
      <c r="J37" s="311">
        <f>J36+'7'!J33+'6'!J33+'5'!J33+'4 (S)'!J36+'3'!J55</f>
        <v>2689530</v>
      </c>
      <c r="K37" s="561">
        <f>K36+'7'!K33+'6'!K33+'5'!K33+'4 (S)'!K36+'3'!K55</f>
        <v>2712782</v>
      </c>
      <c r="L37" s="568">
        <f>L36+'7'!L33+'6'!L33+'5'!L33+'4 (S)'!L36+'3'!L55</f>
        <v>2664683</v>
      </c>
      <c r="M37" s="311">
        <f>M36+'7'!M33+'6'!M33+'5'!M33+'4 (S)'!M36+'3'!M55</f>
        <v>0</v>
      </c>
      <c r="N37" s="732">
        <f>N36+'7'!N33+'6'!N33+'5'!N33+'4 (S)'!N36+'3'!N55</f>
        <v>2664683</v>
      </c>
      <c r="O37" s="750"/>
      <c r="P37" s="375"/>
    </row>
    <row r="38" spans="1:19" s="304" customFormat="1" ht="12.95" customHeight="1">
      <c r="B38" s="310"/>
      <c r="C38" s="8"/>
      <c r="D38" s="8"/>
      <c r="E38" s="8"/>
      <c r="F38" s="327"/>
      <c r="G38" s="353"/>
      <c r="H38" s="8" t="s">
        <v>94</v>
      </c>
      <c r="I38" s="647">
        <f>I37</f>
        <v>2468380</v>
      </c>
      <c r="J38" s="647">
        <f t="shared" ref="J38:N38" si="16">J37</f>
        <v>2689530</v>
      </c>
      <c r="K38" s="751">
        <f t="shared" si="16"/>
        <v>2712782</v>
      </c>
      <c r="L38" s="752">
        <f t="shared" si="16"/>
        <v>2664683</v>
      </c>
      <c r="M38" s="647">
        <f t="shared" si="16"/>
        <v>0</v>
      </c>
      <c r="N38" s="753">
        <f t="shared" si="16"/>
        <v>2664683</v>
      </c>
      <c r="O38" s="738"/>
      <c r="P38" s="370"/>
    </row>
    <row r="39" spans="1:19" ht="8.1" customHeight="1" thickBot="1">
      <c r="B39" s="16"/>
      <c r="C39" s="17"/>
      <c r="D39" s="17"/>
      <c r="E39" s="17"/>
      <c r="F39" s="329"/>
      <c r="G39" s="355"/>
      <c r="H39" s="17"/>
      <c r="I39" s="17"/>
      <c r="J39" s="17"/>
      <c r="K39" s="27"/>
      <c r="L39" s="16"/>
      <c r="M39" s="17"/>
      <c r="N39" s="735"/>
      <c r="O39" s="739"/>
      <c r="P39" s="371"/>
    </row>
    <row r="40" spans="1:19" ht="12.95" customHeight="1">
      <c r="F40" s="330"/>
      <c r="G40" s="356"/>
      <c r="N40" s="409"/>
    </row>
    <row r="41" spans="1:19" ht="12.95" customHeight="1">
      <c r="B41" s="55"/>
      <c r="F41" s="330"/>
      <c r="G41" s="356"/>
      <c r="N41" s="409"/>
    </row>
    <row r="42" spans="1:19" ht="12.95" customHeight="1">
      <c r="F42" s="330"/>
      <c r="G42" s="356"/>
      <c r="N42" s="409"/>
    </row>
    <row r="43" spans="1:19" ht="12.95" customHeight="1">
      <c r="F43" s="330"/>
      <c r="G43" s="356"/>
      <c r="N43" s="409"/>
    </row>
    <row r="44" spans="1:19" ht="12.95" customHeight="1">
      <c r="F44" s="330"/>
      <c r="G44" s="356"/>
      <c r="N44" s="409"/>
    </row>
    <row r="45" spans="1:19" ht="12.95" customHeight="1">
      <c r="F45" s="330"/>
      <c r="G45" s="356"/>
      <c r="N45" s="409"/>
    </row>
    <row r="46" spans="1:19" ht="12.95" customHeight="1">
      <c r="F46" s="330"/>
      <c r="G46" s="356"/>
      <c r="N46" s="409"/>
    </row>
    <row r="47" spans="1:19" ht="12.95" customHeight="1">
      <c r="F47" s="330"/>
      <c r="G47" s="356"/>
      <c r="N47" s="409"/>
    </row>
    <row r="48" spans="1:19" s="372" customFormat="1" ht="12.95" customHeight="1">
      <c r="A48" s="307"/>
      <c r="B48" s="307"/>
      <c r="C48" s="307"/>
      <c r="D48" s="307"/>
      <c r="E48" s="307"/>
      <c r="F48" s="330"/>
      <c r="G48" s="356"/>
      <c r="H48" s="307"/>
      <c r="I48" s="307"/>
      <c r="J48" s="307"/>
      <c r="K48" s="307"/>
      <c r="L48" s="307"/>
      <c r="M48" s="307"/>
      <c r="N48" s="409"/>
      <c r="Q48" s="307"/>
      <c r="R48" s="307"/>
      <c r="S48" s="307"/>
    </row>
    <row r="49" spans="1:19" s="372" customFormat="1" ht="12.95" customHeight="1">
      <c r="A49" s="307"/>
      <c r="B49" s="307"/>
      <c r="C49" s="307"/>
      <c r="D49" s="307"/>
      <c r="E49" s="307"/>
      <c r="F49" s="330"/>
      <c r="G49" s="356"/>
      <c r="H49" s="307"/>
      <c r="I49" s="307"/>
      <c r="J49" s="307"/>
      <c r="K49" s="307"/>
      <c r="L49" s="307"/>
      <c r="M49" s="307"/>
      <c r="N49" s="409"/>
      <c r="Q49" s="307"/>
      <c r="R49" s="307"/>
      <c r="S49" s="307"/>
    </row>
    <row r="50" spans="1:19" s="372" customFormat="1" ht="12.95" customHeight="1">
      <c r="A50" s="307"/>
      <c r="B50" s="307"/>
      <c r="C50" s="307"/>
      <c r="D50" s="307"/>
      <c r="E50" s="307"/>
      <c r="F50" s="330"/>
      <c r="G50" s="356"/>
      <c r="H50" s="307"/>
      <c r="I50" s="307"/>
      <c r="J50" s="307"/>
      <c r="K50" s="307"/>
      <c r="L50" s="307"/>
      <c r="M50" s="307"/>
      <c r="N50" s="409"/>
      <c r="Q50" s="307"/>
      <c r="R50" s="307"/>
      <c r="S50" s="307"/>
    </row>
    <row r="51" spans="1:19" s="372" customFormat="1" ht="12.95" customHeight="1">
      <c r="A51" s="307"/>
      <c r="B51" s="307"/>
      <c r="C51" s="307"/>
      <c r="D51" s="307"/>
      <c r="E51" s="307"/>
      <c r="F51" s="330"/>
      <c r="G51" s="356"/>
      <c r="H51" s="307"/>
      <c r="I51" s="307"/>
      <c r="J51" s="307"/>
      <c r="K51" s="307"/>
      <c r="L51" s="307"/>
      <c r="M51" s="307"/>
      <c r="N51" s="409"/>
      <c r="Q51" s="307"/>
      <c r="R51" s="307"/>
      <c r="S51" s="307"/>
    </row>
    <row r="52" spans="1:19" s="372" customFormat="1" ht="12.95" customHeight="1">
      <c r="A52" s="307"/>
      <c r="B52" s="307"/>
      <c r="C52" s="307"/>
      <c r="D52" s="307"/>
      <c r="E52" s="307"/>
      <c r="F52" s="330"/>
      <c r="G52" s="356"/>
      <c r="H52" s="307"/>
      <c r="I52" s="307"/>
      <c r="J52" s="307"/>
      <c r="K52" s="307"/>
      <c r="L52" s="307"/>
      <c r="M52" s="307"/>
      <c r="N52" s="409"/>
      <c r="Q52" s="307"/>
      <c r="R52" s="307"/>
      <c r="S52" s="307"/>
    </row>
    <row r="53" spans="1:19" s="372" customFormat="1" ht="12.95" customHeight="1">
      <c r="A53" s="307"/>
      <c r="B53" s="307"/>
      <c r="C53" s="307"/>
      <c r="D53" s="307"/>
      <c r="E53" s="307"/>
      <c r="F53" s="330"/>
      <c r="G53" s="356"/>
      <c r="H53" s="307"/>
      <c r="I53" s="307"/>
      <c r="J53" s="307"/>
      <c r="K53" s="307"/>
      <c r="L53" s="307"/>
      <c r="M53" s="307"/>
      <c r="N53" s="409"/>
      <c r="Q53" s="307"/>
      <c r="R53" s="307"/>
      <c r="S53" s="307"/>
    </row>
    <row r="54" spans="1:19" s="372" customFormat="1" ht="12.95" customHeight="1">
      <c r="A54" s="307"/>
      <c r="B54" s="307"/>
      <c r="C54" s="307"/>
      <c r="D54" s="307"/>
      <c r="E54" s="307"/>
      <c r="F54" s="330"/>
      <c r="G54" s="356"/>
      <c r="H54" s="307"/>
      <c r="I54" s="307"/>
      <c r="J54" s="307"/>
      <c r="K54" s="307"/>
      <c r="L54" s="307"/>
      <c r="M54" s="307"/>
      <c r="N54" s="409"/>
      <c r="Q54" s="307"/>
      <c r="R54" s="307"/>
      <c r="S54" s="307"/>
    </row>
    <row r="55" spans="1:19" s="372" customFormat="1" ht="12.95" customHeight="1">
      <c r="A55" s="307"/>
      <c r="B55" s="307"/>
      <c r="C55" s="307"/>
      <c r="D55" s="307"/>
      <c r="E55" s="307"/>
      <c r="F55" s="330"/>
      <c r="G55" s="356"/>
      <c r="H55" s="307"/>
      <c r="I55" s="307"/>
      <c r="J55" s="307"/>
      <c r="K55" s="307"/>
      <c r="L55" s="307"/>
      <c r="M55" s="307"/>
      <c r="N55" s="409"/>
      <c r="Q55" s="307"/>
      <c r="R55" s="307"/>
      <c r="S55" s="307"/>
    </row>
    <row r="56" spans="1:19" s="372" customFormat="1" ht="12.95" customHeight="1">
      <c r="A56" s="307"/>
      <c r="B56" s="307"/>
      <c r="C56" s="307"/>
      <c r="D56" s="307"/>
      <c r="E56" s="307"/>
      <c r="F56" s="330"/>
      <c r="G56" s="356"/>
      <c r="H56" s="307"/>
      <c r="I56" s="307"/>
      <c r="J56" s="307"/>
      <c r="K56" s="307"/>
      <c r="L56" s="307"/>
      <c r="M56" s="307"/>
      <c r="N56" s="409"/>
      <c r="Q56" s="307"/>
      <c r="R56" s="307"/>
      <c r="S56" s="307"/>
    </row>
    <row r="57" spans="1:19" s="372" customFormat="1" ht="12.95" customHeight="1">
      <c r="A57" s="307"/>
      <c r="B57" s="307"/>
      <c r="C57" s="307"/>
      <c r="D57" s="307"/>
      <c r="E57" s="307"/>
      <c r="F57" s="330"/>
      <c r="G57" s="356"/>
      <c r="H57" s="307"/>
      <c r="I57" s="307"/>
      <c r="J57" s="307"/>
      <c r="K57" s="307"/>
      <c r="L57" s="307"/>
      <c r="M57" s="307"/>
      <c r="N57" s="409"/>
      <c r="Q57" s="307"/>
      <c r="R57" s="307"/>
      <c r="S57" s="307"/>
    </row>
    <row r="58" spans="1:19" s="372" customFormat="1" ht="12.95" customHeight="1">
      <c r="A58" s="307"/>
      <c r="B58" s="307"/>
      <c r="C58" s="307"/>
      <c r="D58" s="307"/>
      <c r="E58" s="307"/>
      <c r="F58" s="330"/>
      <c r="G58" s="356"/>
      <c r="H58" s="307"/>
      <c r="I58" s="307"/>
      <c r="J58" s="307"/>
      <c r="K58" s="307"/>
      <c r="L58" s="307"/>
      <c r="M58" s="307"/>
      <c r="N58" s="409"/>
      <c r="Q58" s="307"/>
      <c r="R58" s="307"/>
      <c r="S58" s="307"/>
    </row>
    <row r="59" spans="1:19" s="372" customFormat="1" ht="12.95" customHeight="1">
      <c r="A59" s="307"/>
      <c r="B59" s="307"/>
      <c r="C59" s="307"/>
      <c r="D59" s="307"/>
      <c r="E59" s="307"/>
      <c r="F59" s="330"/>
      <c r="G59" s="356"/>
      <c r="H59" s="307"/>
      <c r="I59" s="307"/>
      <c r="J59" s="307"/>
      <c r="K59" s="307"/>
      <c r="L59" s="307"/>
      <c r="M59" s="307"/>
      <c r="N59" s="409"/>
      <c r="Q59" s="307"/>
      <c r="R59" s="307"/>
      <c r="S59" s="307"/>
    </row>
    <row r="60" spans="1:19" s="372" customFormat="1" ht="17.100000000000001" customHeight="1">
      <c r="A60" s="307"/>
      <c r="B60" s="307"/>
      <c r="C60" s="307"/>
      <c r="D60" s="307"/>
      <c r="E60" s="307"/>
      <c r="F60" s="330"/>
      <c r="G60" s="356"/>
      <c r="H60" s="307"/>
      <c r="I60" s="307"/>
      <c r="J60" s="307"/>
      <c r="K60" s="307"/>
      <c r="L60" s="307"/>
      <c r="M60" s="307"/>
      <c r="N60" s="409"/>
      <c r="Q60" s="307"/>
      <c r="R60" s="307"/>
      <c r="S60" s="307"/>
    </row>
    <row r="61" spans="1:19" s="372" customFormat="1" ht="14.25">
      <c r="A61" s="307"/>
      <c r="B61" s="307"/>
      <c r="C61" s="307"/>
      <c r="D61" s="307"/>
      <c r="E61" s="307"/>
      <c r="F61" s="330"/>
      <c r="G61" s="356"/>
      <c r="H61" s="307"/>
      <c r="I61" s="307"/>
      <c r="J61" s="307"/>
      <c r="K61" s="307"/>
      <c r="L61" s="307"/>
      <c r="M61" s="307"/>
      <c r="N61" s="409"/>
      <c r="Q61" s="307"/>
      <c r="R61" s="307"/>
      <c r="S61" s="307"/>
    </row>
    <row r="62" spans="1:19" s="372" customFormat="1" ht="14.25">
      <c r="A62" s="307"/>
      <c r="B62" s="307"/>
      <c r="C62" s="307"/>
      <c r="D62" s="307"/>
      <c r="E62" s="307"/>
      <c r="F62" s="330"/>
      <c r="G62" s="356"/>
      <c r="H62" s="307"/>
      <c r="I62" s="307"/>
      <c r="J62" s="307"/>
      <c r="K62" s="307"/>
      <c r="L62" s="307"/>
      <c r="M62" s="307"/>
      <c r="N62" s="409"/>
      <c r="Q62" s="307"/>
      <c r="R62" s="307"/>
      <c r="S62" s="307"/>
    </row>
    <row r="63" spans="1:19" s="372" customFormat="1" ht="14.25">
      <c r="A63" s="307"/>
      <c r="B63" s="307"/>
      <c r="C63" s="307"/>
      <c r="D63" s="307"/>
      <c r="E63" s="307"/>
      <c r="F63" s="330"/>
      <c r="G63" s="356"/>
      <c r="H63" s="307"/>
      <c r="I63" s="307"/>
      <c r="J63" s="307"/>
      <c r="K63" s="307"/>
      <c r="L63" s="307"/>
      <c r="M63" s="307"/>
      <c r="N63" s="409"/>
      <c r="Q63" s="307"/>
      <c r="R63" s="307"/>
      <c r="S63" s="307"/>
    </row>
    <row r="64" spans="1:19" s="372" customFormat="1" ht="14.25">
      <c r="A64" s="307"/>
      <c r="B64" s="307"/>
      <c r="C64" s="307"/>
      <c r="D64" s="307"/>
      <c r="E64" s="307"/>
      <c r="F64" s="330"/>
      <c r="G64" s="356"/>
      <c r="H64" s="307"/>
      <c r="I64" s="307"/>
      <c r="J64" s="307"/>
      <c r="K64" s="307"/>
      <c r="L64" s="307"/>
      <c r="M64" s="307"/>
      <c r="N64" s="409"/>
      <c r="Q64" s="307"/>
      <c r="R64" s="307"/>
      <c r="S64" s="307"/>
    </row>
    <row r="65" spans="1:19" s="372" customFormat="1" ht="14.25">
      <c r="A65" s="307"/>
      <c r="B65" s="307"/>
      <c r="C65" s="307"/>
      <c r="D65" s="307"/>
      <c r="E65" s="307"/>
      <c r="F65" s="330"/>
      <c r="G65" s="356"/>
      <c r="H65" s="307"/>
      <c r="I65" s="307"/>
      <c r="J65" s="307"/>
      <c r="K65" s="307"/>
      <c r="L65" s="307"/>
      <c r="M65" s="307"/>
      <c r="N65" s="409"/>
      <c r="Q65" s="307"/>
      <c r="R65" s="307"/>
      <c r="S65" s="307"/>
    </row>
    <row r="66" spans="1:19" s="372" customFormat="1" ht="14.25">
      <c r="A66" s="307"/>
      <c r="B66" s="307"/>
      <c r="C66" s="307"/>
      <c r="D66" s="307"/>
      <c r="E66" s="307"/>
      <c r="F66" s="330"/>
      <c r="G66" s="356"/>
      <c r="H66" s="307"/>
      <c r="I66" s="307"/>
      <c r="J66" s="307"/>
      <c r="K66" s="307"/>
      <c r="L66" s="307"/>
      <c r="M66" s="307"/>
      <c r="N66" s="409"/>
      <c r="Q66" s="307"/>
      <c r="R66" s="307"/>
      <c r="S66" s="307"/>
    </row>
    <row r="67" spans="1:19" s="372" customFormat="1" ht="14.25">
      <c r="A67" s="307"/>
      <c r="B67" s="307"/>
      <c r="C67" s="307"/>
      <c r="D67" s="307"/>
      <c r="E67" s="307"/>
      <c r="F67" s="330"/>
      <c r="G67" s="356"/>
      <c r="H67" s="307"/>
      <c r="I67" s="307"/>
      <c r="J67" s="307"/>
      <c r="K67" s="307"/>
      <c r="L67" s="307"/>
      <c r="M67" s="307"/>
      <c r="N67" s="409"/>
      <c r="Q67" s="307"/>
      <c r="R67" s="307"/>
      <c r="S67" s="307"/>
    </row>
    <row r="68" spans="1:19" s="372" customFormat="1" ht="14.25">
      <c r="A68" s="307"/>
      <c r="B68" s="307"/>
      <c r="C68" s="307"/>
      <c r="D68" s="307"/>
      <c r="E68" s="307"/>
      <c r="F68" s="330"/>
      <c r="G68" s="356"/>
      <c r="H68" s="307"/>
      <c r="I68" s="307"/>
      <c r="J68" s="307"/>
      <c r="K68" s="307"/>
      <c r="L68" s="307"/>
      <c r="M68" s="307"/>
      <c r="N68" s="409"/>
      <c r="Q68" s="307"/>
      <c r="R68" s="307"/>
      <c r="S68" s="307"/>
    </row>
    <row r="69" spans="1:19" s="372" customFormat="1" ht="14.25">
      <c r="A69" s="307"/>
      <c r="B69" s="307"/>
      <c r="C69" s="307"/>
      <c r="D69" s="307"/>
      <c r="E69" s="307"/>
      <c r="F69" s="330"/>
      <c r="G69" s="356"/>
      <c r="H69" s="307"/>
      <c r="I69" s="307"/>
      <c r="J69" s="307"/>
      <c r="K69" s="307"/>
      <c r="L69" s="307"/>
      <c r="M69" s="307"/>
      <c r="N69" s="409"/>
      <c r="Q69" s="307"/>
      <c r="R69" s="307"/>
      <c r="S69" s="307"/>
    </row>
    <row r="70" spans="1:19" s="372" customFormat="1" ht="14.25">
      <c r="A70" s="307"/>
      <c r="B70" s="307"/>
      <c r="C70" s="307"/>
      <c r="D70" s="307"/>
      <c r="E70" s="307"/>
      <c r="F70" s="330"/>
      <c r="G70" s="356"/>
      <c r="H70" s="307"/>
      <c r="I70" s="307"/>
      <c r="J70" s="307"/>
      <c r="K70" s="307"/>
      <c r="L70" s="307"/>
      <c r="M70" s="307"/>
      <c r="N70" s="409"/>
      <c r="Q70" s="307"/>
      <c r="R70" s="307"/>
      <c r="S70" s="307"/>
    </row>
    <row r="71" spans="1:19" s="372" customFormat="1" ht="14.25">
      <c r="A71" s="307"/>
      <c r="B71" s="307"/>
      <c r="C71" s="307"/>
      <c r="D71" s="307"/>
      <c r="E71" s="307"/>
      <c r="F71" s="330"/>
      <c r="G71" s="356"/>
      <c r="H71" s="307"/>
      <c r="I71" s="307"/>
      <c r="J71" s="307"/>
      <c r="K71" s="307"/>
      <c r="L71" s="307"/>
      <c r="M71" s="307"/>
      <c r="N71" s="409"/>
      <c r="Q71" s="307"/>
      <c r="R71" s="307"/>
      <c r="S71" s="307"/>
    </row>
    <row r="72" spans="1:19" s="372" customFormat="1" ht="14.25">
      <c r="A72" s="307"/>
      <c r="B72" s="307"/>
      <c r="C72" s="307"/>
      <c r="D72" s="307"/>
      <c r="E72" s="307"/>
      <c r="F72" s="330"/>
      <c r="G72" s="356"/>
      <c r="H72" s="307"/>
      <c r="I72" s="307"/>
      <c r="J72" s="307"/>
      <c r="K72" s="307"/>
      <c r="L72" s="307"/>
      <c r="M72" s="307"/>
      <c r="N72" s="409"/>
      <c r="Q72" s="307"/>
      <c r="R72" s="307"/>
      <c r="S72" s="307"/>
    </row>
    <row r="73" spans="1:19" s="372" customFormat="1" ht="14.25">
      <c r="A73" s="307"/>
      <c r="B73" s="307"/>
      <c r="C73" s="307"/>
      <c r="D73" s="307"/>
      <c r="E73" s="307"/>
      <c r="F73" s="330"/>
      <c r="G73" s="356"/>
      <c r="H73" s="307"/>
      <c r="I73" s="307"/>
      <c r="J73" s="307"/>
      <c r="K73" s="307"/>
      <c r="L73" s="307"/>
      <c r="M73" s="307"/>
      <c r="N73" s="409"/>
      <c r="Q73" s="307"/>
      <c r="R73" s="307"/>
      <c r="S73" s="307"/>
    </row>
    <row r="74" spans="1:19" s="372" customFormat="1" ht="14.25">
      <c r="A74" s="307"/>
      <c r="B74" s="307"/>
      <c r="C74" s="307"/>
      <c r="D74" s="307"/>
      <c r="E74" s="307"/>
      <c r="F74" s="330"/>
      <c r="G74" s="330"/>
      <c r="H74" s="307"/>
      <c r="I74" s="307"/>
      <c r="J74" s="307"/>
      <c r="K74" s="307"/>
      <c r="L74" s="307"/>
      <c r="M74" s="307"/>
      <c r="N74" s="409"/>
      <c r="Q74" s="307"/>
      <c r="R74" s="307"/>
      <c r="S74" s="307"/>
    </row>
    <row r="75" spans="1:19" s="372" customFormat="1" ht="14.25">
      <c r="A75" s="307"/>
      <c r="B75" s="307"/>
      <c r="C75" s="307"/>
      <c r="D75" s="307"/>
      <c r="E75" s="307"/>
      <c r="F75" s="330"/>
      <c r="G75" s="330"/>
      <c r="H75" s="307"/>
      <c r="I75" s="307"/>
      <c r="J75" s="307"/>
      <c r="K75" s="307"/>
      <c r="L75" s="307"/>
      <c r="M75" s="307"/>
      <c r="N75" s="409"/>
      <c r="Q75" s="307"/>
      <c r="R75" s="307"/>
      <c r="S75" s="307"/>
    </row>
    <row r="76" spans="1:19" s="372" customFormat="1" ht="14.25">
      <c r="A76" s="307"/>
      <c r="B76" s="307"/>
      <c r="C76" s="307"/>
      <c r="D76" s="307"/>
      <c r="E76" s="307"/>
      <c r="F76" s="330"/>
      <c r="G76" s="330"/>
      <c r="H76" s="307"/>
      <c r="I76" s="307"/>
      <c r="J76" s="307"/>
      <c r="K76" s="307"/>
      <c r="L76" s="307"/>
      <c r="M76" s="307"/>
      <c r="N76" s="409"/>
      <c r="Q76" s="307"/>
      <c r="R76" s="307"/>
      <c r="S76" s="307"/>
    </row>
    <row r="77" spans="1:19" s="372" customFormat="1" ht="14.25">
      <c r="A77" s="307"/>
      <c r="B77" s="307"/>
      <c r="C77" s="307"/>
      <c r="D77" s="307"/>
      <c r="E77" s="307"/>
      <c r="F77" s="330"/>
      <c r="G77" s="330"/>
      <c r="H77" s="307"/>
      <c r="I77" s="307"/>
      <c r="J77" s="307"/>
      <c r="K77" s="307"/>
      <c r="L77" s="307"/>
      <c r="M77" s="307"/>
      <c r="N77" s="409"/>
      <c r="Q77" s="307"/>
      <c r="R77" s="307"/>
      <c r="S77" s="307"/>
    </row>
    <row r="78" spans="1:19" s="372" customFormat="1" ht="14.25">
      <c r="A78" s="307"/>
      <c r="B78" s="307"/>
      <c r="C78" s="307"/>
      <c r="D78" s="307"/>
      <c r="E78" s="307"/>
      <c r="F78" s="330"/>
      <c r="G78" s="330"/>
      <c r="H78" s="307"/>
      <c r="I78" s="307"/>
      <c r="J78" s="307"/>
      <c r="K78" s="307"/>
      <c r="L78" s="307"/>
      <c r="M78" s="307"/>
      <c r="N78" s="409"/>
      <c r="Q78" s="307"/>
      <c r="R78" s="307"/>
      <c r="S78" s="307"/>
    </row>
    <row r="79" spans="1:19" s="372" customFormat="1" ht="14.25">
      <c r="A79" s="307"/>
      <c r="B79" s="307"/>
      <c r="C79" s="307"/>
      <c r="D79" s="307"/>
      <c r="E79" s="307"/>
      <c r="F79" s="330"/>
      <c r="G79" s="330"/>
      <c r="H79" s="307"/>
      <c r="I79" s="307"/>
      <c r="J79" s="307"/>
      <c r="K79" s="307"/>
      <c r="L79" s="307"/>
      <c r="M79" s="307"/>
      <c r="N79" s="409"/>
      <c r="Q79" s="307"/>
      <c r="R79" s="307"/>
      <c r="S79" s="307"/>
    </row>
    <row r="80" spans="1:19" s="372" customFormat="1" ht="14.25">
      <c r="A80" s="307"/>
      <c r="B80" s="307"/>
      <c r="C80" s="307"/>
      <c r="D80" s="307"/>
      <c r="E80" s="307"/>
      <c r="F80" s="330"/>
      <c r="G80" s="330"/>
      <c r="H80" s="307"/>
      <c r="I80" s="307"/>
      <c r="J80" s="307"/>
      <c r="K80" s="307"/>
      <c r="L80" s="307"/>
      <c r="M80" s="307"/>
      <c r="N80" s="409"/>
      <c r="Q80" s="307"/>
      <c r="R80" s="307"/>
      <c r="S80" s="307"/>
    </row>
    <row r="81" spans="1:19" s="372" customFormat="1" ht="14.25">
      <c r="A81" s="307"/>
      <c r="B81" s="307"/>
      <c r="C81" s="307"/>
      <c r="D81" s="307"/>
      <c r="E81" s="307"/>
      <c r="F81" s="330"/>
      <c r="G81" s="330"/>
      <c r="H81" s="307"/>
      <c r="I81" s="307"/>
      <c r="J81" s="307"/>
      <c r="K81" s="307"/>
      <c r="L81" s="307"/>
      <c r="M81" s="307"/>
      <c r="N81" s="409"/>
      <c r="Q81" s="307"/>
      <c r="R81" s="307"/>
      <c r="S81" s="307"/>
    </row>
    <row r="82" spans="1:19" s="372" customFormat="1" ht="14.25">
      <c r="A82" s="307"/>
      <c r="B82" s="307"/>
      <c r="C82" s="307"/>
      <c r="D82" s="307"/>
      <c r="E82" s="307"/>
      <c r="F82" s="330"/>
      <c r="G82" s="330"/>
      <c r="H82" s="307"/>
      <c r="I82" s="307"/>
      <c r="J82" s="307"/>
      <c r="K82" s="307"/>
      <c r="L82" s="307"/>
      <c r="M82" s="307"/>
      <c r="N82" s="409"/>
      <c r="Q82" s="307"/>
      <c r="R82" s="307"/>
      <c r="S82" s="307"/>
    </row>
    <row r="83" spans="1:19" s="372" customFormat="1" ht="14.25">
      <c r="A83" s="307"/>
      <c r="B83" s="307"/>
      <c r="C83" s="307"/>
      <c r="D83" s="307"/>
      <c r="E83" s="307"/>
      <c r="F83" s="330"/>
      <c r="G83" s="330"/>
      <c r="H83" s="307"/>
      <c r="I83" s="307"/>
      <c r="J83" s="307"/>
      <c r="K83" s="307"/>
      <c r="L83" s="307"/>
      <c r="M83" s="307"/>
      <c r="N83" s="409"/>
      <c r="Q83" s="307"/>
      <c r="R83" s="307"/>
      <c r="S83" s="307"/>
    </row>
    <row r="84" spans="1:19" s="372" customFormat="1" ht="14.25">
      <c r="A84" s="307"/>
      <c r="B84" s="307"/>
      <c r="C84" s="307"/>
      <c r="D84" s="307"/>
      <c r="E84" s="307"/>
      <c r="F84" s="330"/>
      <c r="G84" s="330"/>
      <c r="H84" s="307"/>
      <c r="I84" s="307"/>
      <c r="J84" s="307"/>
      <c r="K84" s="307"/>
      <c r="L84" s="307"/>
      <c r="M84" s="307"/>
      <c r="N84" s="409"/>
      <c r="Q84" s="307"/>
      <c r="R84" s="307"/>
      <c r="S84" s="307"/>
    </row>
    <row r="85" spans="1:19" s="372" customFormat="1" ht="14.25">
      <c r="A85" s="307"/>
      <c r="B85" s="307"/>
      <c r="C85" s="307"/>
      <c r="D85" s="307"/>
      <c r="E85" s="307"/>
      <c r="F85" s="330"/>
      <c r="G85" s="330"/>
      <c r="H85" s="307"/>
      <c r="I85" s="307"/>
      <c r="J85" s="307"/>
      <c r="K85" s="307"/>
      <c r="L85" s="307"/>
      <c r="M85" s="307"/>
      <c r="N85" s="409"/>
      <c r="Q85" s="307"/>
      <c r="R85" s="307"/>
      <c r="S85" s="307"/>
    </row>
    <row r="86" spans="1:19" s="372" customFormat="1" ht="14.25">
      <c r="A86" s="307"/>
      <c r="B86" s="307"/>
      <c r="C86" s="307"/>
      <c r="D86" s="307"/>
      <c r="E86" s="307"/>
      <c r="F86" s="330"/>
      <c r="G86" s="330"/>
      <c r="H86" s="307"/>
      <c r="I86" s="307"/>
      <c r="J86" s="307"/>
      <c r="K86" s="307"/>
      <c r="L86" s="307"/>
      <c r="M86" s="307"/>
      <c r="N86" s="409"/>
      <c r="Q86" s="307"/>
      <c r="R86" s="307"/>
      <c r="S86" s="307"/>
    </row>
    <row r="87" spans="1:19" s="372" customFormat="1" ht="14.25">
      <c r="A87" s="307"/>
      <c r="B87" s="307"/>
      <c r="C87" s="307"/>
      <c r="D87" s="307"/>
      <c r="E87" s="307"/>
      <c r="F87" s="330"/>
      <c r="G87" s="330"/>
      <c r="H87" s="307"/>
      <c r="I87" s="307"/>
      <c r="J87" s="307"/>
      <c r="K87" s="307"/>
      <c r="L87" s="307"/>
      <c r="M87" s="307"/>
      <c r="N87" s="409"/>
      <c r="Q87" s="307"/>
      <c r="R87" s="307"/>
      <c r="S87" s="307"/>
    </row>
    <row r="88" spans="1:19" s="372" customFormat="1" ht="14.25">
      <c r="A88" s="307"/>
      <c r="B88" s="307"/>
      <c r="C88" s="307"/>
      <c r="D88" s="307"/>
      <c r="E88" s="307"/>
      <c r="F88" s="330"/>
      <c r="G88" s="330"/>
      <c r="H88" s="307"/>
      <c r="I88" s="307"/>
      <c r="J88" s="307"/>
      <c r="K88" s="307"/>
      <c r="L88" s="307"/>
      <c r="M88" s="307"/>
      <c r="N88" s="409"/>
      <c r="Q88" s="307"/>
      <c r="R88" s="307"/>
      <c r="S88" s="307"/>
    </row>
    <row r="89" spans="1:19" s="372" customFormat="1" ht="14.25">
      <c r="A89" s="307"/>
      <c r="B89" s="307"/>
      <c r="C89" s="307"/>
      <c r="D89" s="307"/>
      <c r="E89" s="307"/>
      <c r="F89" s="330"/>
      <c r="G89" s="330"/>
      <c r="H89" s="307"/>
      <c r="I89" s="307"/>
      <c r="J89" s="307"/>
      <c r="K89" s="307"/>
      <c r="L89" s="307"/>
      <c r="M89" s="307"/>
      <c r="N89" s="409"/>
      <c r="Q89" s="307"/>
      <c r="R89" s="307"/>
      <c r="S89" s="307"/>
    </row>
    <row r="90" spans="1:19" s="372" customFormat="1" ht="14.25">
      <c r="A90" s="307"/>
      <c r="B90" s="307"/>
      <c r="C90" s="307"/>
      <c r="D90" s="307"/>
      <c r="E90" s="307"/>
      <c r="F90" s="330"/>
      <c r="G90" s="330"/>
      <c r="H90" s="307"/>
      <c r="I90" s="307"/>
      <c r="J90" s="307"/>
      <c r="K90" s="307"/>
      <c r="L90" s="307"/>
      <c r="M90" s="307"/>
      <c r="N90" s="409"/>
      <c r="Q90" s="307"/>
      <c r="R90" s="307"/>
      <c r="S90" s="307"/>
    </row>
    <row r="91" spans="1:19" s="372" customFormat="1">
      <c r="A91" s="307"/>
      <c r="B91" s="307"/>
      <c r="C91" s="307"/>
      <c r="D91" s="307"/>
      <c r="E91" s="307"/>
      <c r="F91" s="312"/>
      <c r="G91" s="330"/>
      <c r="H91" s="307"/>
      <c r="I91" s="307"/>
      <c r="J91" s="307"/>
      <c r="K91" s="307"/>
      <c r="L91" s="307"/>
      <c r="M91" s="307"/>
      <c r="N91" s="307"/>
      <c r="Q91" s="307"/>
      <c r="R91" s="307"/>
      <c r="S91" s="307"/>
    </row>
    <row r="92" spans="1:19" s="372" customFormat="1">
      <c r="A92" s="307"/>
      <c r="B92" s="307"/>
      <c r="C92" s="307"/>
      <c r="D92" s="307"/>
      <c r="E92" s="307"/>
      <c r="F92" s="312"/>
      <c r="G92" s="330"/>
      <c r="H92" s="307"/>
      <c r="I92" s="307"/>
      <c r="J92" s="307"/>
      <c r="K92" s="307"/>
      <c r="L92" s="307"/>
      <c r="M92" s="307"/>
      <c r="N92" s="307"/>
      <c r="Q92" s="307"/>
      <c r="R92" s="307"/>
      <c r="S92" s="307"/>
    </row>
    <row r="93" spans="1:19" s="372" customFormat="1">
      <c r="A93" s="307"/>
      <c r="B93" s="307"/>
      <c r="C93" s="307"/>
      <c r="D93" s="307"/>
      <c r="E93" s="307"/>
      <c r="F93" s="312"/>
      <c r="G93" s="330"/>
      <c r="H93" s="307"/>
      <c r="I93" s="307"/>
      <c r="J93" s="307"/>
      <c r="K93" s="307"/>
      <c r="L93" s="307"/>
      <c r="M93" s="307"/>
      <c r="N93" s="307"/>
      <c r="Q93" s="307"/>
      <c r="R93" s="307"/>
      <c r="S93" s="307"/>
    </row>
    <row r="94" spans="1:19" s="372" customFormat="1">
      <c r="A94" s="307"/>
      <c r="B94" s="307"/>
      <c r="C94" s="307"/>
      <c r="D94" s="307"/>
      <c r="E94" s="307"/>
      <c r="F94" s="312"/>
      <c r="G94" s="330"/>
      <c r="H94" s="307"/>
      <c r="I94" s="307"/>
      <c r="J94" s="307"/>
      <c r="K94" s="307"/>
      <c r="L94" s="307"/>
      <c r="M94" s="307"/>
      <c r="N94" s="307"/>
      <c r="Q94" s="307"/>
      <c r="R94" s="307"/>
      <c r="S94" s="307"/>
    </row>
    <row r="95" spans="1:19" s="372" customFormat="1">
      <c r="A95" s="307"/>
      <c r="B95" s="307"/>
      <c r="C95" s="307"/>
      <c r="D95" s="307"/>
      <c r="E95" s="307"/>
      <c r="F95" s="312"/>
      <c r="G95" s="330"/>
      <c r="H95" s="307"/>
      <c r="I95" s="307"/>
      <c r="J95" s="307"/>
      <c r="K95" s="307"/>
      <c r="L95" s="307"/>
      <c r="M95" s="307"/>
      <c r="N95" s="307"/>
      <c r="Q95" s="307"/>
      <c r="R95" s="307"/>
      <c r="S95" s="307"/>
    </row>
    <row r="96" spans="1:19">
      <c r="G96" s="330"/>
    </row>
  </sheetData>
  <mergeCells count="15">
    <mergeCell ref="P4:P5"/>
    <mergeCell ref="B2:P2"/>
    <mergeCell ref="K4:K5"/>
    <mergeCell ref="L4:N4"/>
    <mergeCell ref="O4:O5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S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9" ht="13.5" thickBot="1"/>
    <row r="2" spans="1:19" s="403" customFormat="1" ht="20.100000000000001" customHeight="1" thickTop="1" thickBot="1">
      <c r="B2" s="906" t="s">
        <v>699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9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9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9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9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9" s="2" customFormat="1" ht="12.95" customHeight="1">
      <c r="A7" s="305"/>
      <c r="B7" s="6" t="s">
        <v>120</v>
      </c>
      <c r="C7" s="7" t="s">
        <v>80</v>
      </c>
      <c r="D7" s="7" t="s">
        <v>81</v>
      </c>
      <c r="E7" s="653" t="s">
        <v>782</v>
      </c>
      <c r="F7" s="5"/>
      <c r="G7" s="306"/>
      <c r="H7" s="5"/>
      <c r="I7" s="5"/>
      <c r="J7" s="5"/>
      <c r="K7" s="560"/>
      <c r="L7" s="4"/>
      <c r="M7" s="306"/>
      <c r="N7" s="740"/>
      <c r="O7" s="713"/>
      <c r="P7" s="718"/>
    </row>
    <row r="8" spans="1:19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302570</v>
      </c>
      <c r="J8" s="537">
        <f t="shared" ref="J8" si="1">SUM(J9:J12)</f>
        <v>302570</v>
      </c>
      <c r="K8" s="537">
        <f>SUM(K9:K11)</f>
        <v>282972</v>
      </c>
      <c r="L8" s="564">
        <f>SUM(L9:L12)</f>
        <v>302253</v>
      </c>
      <c r="M8" s="233">
        <f>SUM(M9:M12)</f>
        <v>0</v>
      </c>
      <c r="N8" s="741">
        <f>SUM(N9:N12)</f>
        <v>302253</v>
      </c>
      <c r="O8" s="714">
        <f>IF(J8=0,"",N8/J8*100)</f>
        <v>99.895230855669752</v>
      </c>
      <c r="P8" s="719">
        <f>IF(K8=0,"",N8/K8*100)</f>
        <v>106.81374835672787</v>
      </c>
    </row>
    <row r="9" spans="1:19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238780</v>
      </c>
      <c r="J9" s="538">
        <v>238280</v>
      </c>
      <c r="K9" s="538">
        <v>217260</v>
      </c>
      <c r="L9" s="565">
        <v>237982</v>
      </c>
      <c r="M9" s="232">
        <v>0</v>
      </c>
      <c r="N9" s="742">
        <f>SUM(L9:M9)</f>
        <v>237982</v>
      </c>
      <c r="O9" s="715">
        <f>IF(J9=0,"",N9/J9*100)</f>
        <v>99.874937048850086</v>
      </c>
      <c r="P9" s="720">
        <f t="shared" ref="P9:P35" si="2">IF(K9=0,"",N9/K9*100)</f>
        <v>109.53788088005155</v>
      </c>
      <c r="Q9" s="55"/>
    </row>
    <row r="10" spans="1:19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63790</v>
      </c>
      <c r="J10" s="538">
        <v>64290</v>
      </c>
      <c r="K10" s="538">
        <v>65712</v>
      </c>
      <c r="L10" s="565">
        <v>64271</v>
      </c>
      <c r="M10" s="232">
        <v>0</v>
      </c>
      <c r="N10" s="742">
        <f t="shared" ref="N10:N11" si="3">SUM(L10:M10)</f>
        <v>64271</v>
      </c>
      <c r="O10" s="715">
        <f t="shared" ref="O10:O35" si="4">IF(J10=0,"",N10/J10*100)</f>
        <v>99.970446414683465</v>
      </c>
      <c r="P10" s="720">
        <f t="shared" si="2"/>
        <v>97.807097638178718</v>
      </c>
    </row>
    <row r="11" spans="1:19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9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  <c r="R12" s="55"/>
    </row>
    <row r="13" spans="1:19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25950</v>
      </c>
      <c r="J13" s="537">
        <f t="shared" si="6"/>
        <v>25950</v>
      </c>
      <c r="K13" s="537">
        <f>K14</f>
        <v>23358</v>
      </c>
      <c r="L13" s="564">
        <f>L14</f>
        <v>25724</v>
      </c>
      <c r="M13" s="233">
        <f>M14</f>
        <v>0</v>
      </c>
      <c r="N13" s="741">
        <f>N14</f>
        <v>25724</v>
      </c>
      <c r="O13" s="714">
        <f t="shared" si="4"/>
        <v>99.129094412331412</v>
      </c>
      <c r="P13" s="719">
        <f t="shared" si="2"/>
        <v>110.12929189142906</v>
      </c>
      <c r="R13" s="68"/>
      <c r="S13" s="68"/>
    </row>
    <row r="14" spans="1:19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25950</v>
      </c>
      <c r="J14" s="538">
        <v>25950</v>
      </c>
      <c r="K14" s="538">
        <v>23358</v>
      </c>
      <c r="L14" s="565">
        <v>25724</v>
      </c>
      <c r="M14" s="232">
        <v>0</v>
      </c>
      <c r="N14" s="742">
        <f>SUM(L14:M14)</f>
        <v>25724</v>
      </c>
      <c r="O14" s="715">
        <f t="shared" si="4"/>
        <v>99.129094412331412</v>
      </c>
      <c r="P14" s="720">
        <f t="shared" si="2"/>
        <v>110.12929189142906</v>
      </c>
    </row>
    <row r="15" spans="1:19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9"/>
      <c r="M15" s="303"/>
      <c r="N15" s="743"/>
      <c r="O15" s="715" t="str">
        <f t="shared" si="4"/>
        <v/>
      </c>
      <c r="P15" s="720" t="str">
        <f t="shared" si="2"/>
        <v/>
      </c>
    </row>
    <row r="16" spans="1:19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420500</v>
      </c>
      <c r="J16" s="537">
        <f t="shared" ref="J16" si="8">SUM(J17:J26)</f>
        <v>371000</v>
      </c>
      <c r="K16" s="537">
        <f>SUM(K17:K26)</f>
        <v>386015</v>
      </c>
      <c r="L16" s="567">
        <f>SUM(L17:L26)</f>
        <v>367021</v>
      </c>
      <c r="M16" s="316">
        <f>SUM(M17:M26)</f>
        <v>0</v>
      </c>
      <c r="N16" s="732">
        <f>SUM(N17:N26)</f>
        <v>367021</v>
      </c>
      <c r="O16" s="714">
        <f t="shared" si="4"/>
        <v>98.927493261455524</v>
      </c>
      <c r="P16" s="719">
        <f t="shared" si="2"/>
        <v>95.079465823866954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4500</v>
      </c>
      <c r="J17" s="538">
        <v>4500</v>
      </c>
      <c r="K17" s="538">
        <v>7330</v>
      </c>
      <c r="L17" s="549">
        <v>3342</v>
      </c>
      <c r="M17" s="387">
        <v>0</v>
      </c>
      <c r="N17" s="742">
        <f t="shared" ref="N17:N26" si="9">SUM(L17:M17)</f>
        <v>3342</v>
      </c>
      <c r="O17" s="715">
        <f t="shared" si="4"/>
        <v>74.266666666666666</v>
      </c>
      <c r="P17" s="720">
        <f t="shared" si="2"/>
        <v>45.593451568894956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95000</v>
      </c>
      <c r="J18" s="538">
        <v>78100</v>
      </c>
      <c r="K18" s="538">
        <v>84435</v>
      </c>
      <c r="L18" s="550">
        <v>77687</v>
      </c>
      <c r="M18" s="385">
        <v>0</v>
      </c>
      <c r="N18" s="742">
        <f t="shared" si="9"/>
        <v>77687</v>
      </c>
      <c r="O18" s="715">
        <f t="shared" si="4"/>
        <v>99.471190781049927</v>
      </c>
      <c r="P18" s="720">
        <f t="shared" si="2"/>
        <v>92.008053532302952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68000</v>
      </c>
      <c r="J19" s="538">
        <v>63500</v>
      </c>
      <c r="K19" s="538">
        <v>40133</v>
      </c>
      <c r="L19" s="550">
        <v>63099</v>
      </c>
      <c r="M19" s="385">
        <v>0</v>
      </c>
      <c r="N19" s="742">
        <f t="shared" si="9"/>
        <v>63099</v>
      </c>
      <c r="O19" s="715">
        <f t="shared" si="4"/>
        <v>99.368503937007873</v>
      </c>
      <c r="P19" s="720">
        <f t="shared" si="2"/>
        <v>157.22472778013105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84000</v>
      </c>
      <c r="J20" s="538">
        <v>80500</v>
      </c>
      <c r="K20" s="538">
        <v>78603</v>
      </c>
      <c r="L20" s="550">
        <v>80013</v>
      </c>
      <c r="M20" s="385">
        <v>0</v>
      </c>
      <c r="N20" s="742">
        <f t="shared" si="9"/>
        <v>80013</v>
      </c>
      <c r="O20" s="715">
        <f t="shared" si="4"/>
        <v>99.395031055900617</v>
      </c>
      <c r="P20" s="720">
        <f t="shared" si="2"/>
        <v>101.79382466318079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62000</v>
      </c>
      <c r="J21" s="538">
        <v>47500</v>
      </c>
      <c r="K21" s="538">
        <v>67193</v>
      </c>
      <c r="L21" s="550">
        <v>47250</v>
      </c>
      <c r="M21" s="385">
        <v>0</v>
      </c>
      <c r="N21" s="742">
        <f t="shared" si="9"/>
        <v>47250</v>
      </c>
      <c r="O21" s="715">
        <f t="shared" si="4"/>
        <v>99.473684210526315</v>
      </c>
      <c r="P21" s="720">
        <f t="shared" si="2"/>
        <v>70.319824981768932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0">
        <v>0</v>
      </c>
      <c r="M22" s="385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41000</v>
      </c>
      <c r="J23" s="538">
        <v>31000</v>
      </c>
      <c r="K23" s="538">
        <v>36809</v>
      </c>
      <c r="L23" s="550">
        <v>30273</v>
      </c>
      <c r="M23" s="385">
        <v>0</v>
      </c>
      <c r="N23" s="742">
        <f t="shared" si="9"/>
        <v>30273</v>
      </c>
      <c r="O23" s="715">
        <f t="shared" si="4"/>
        <v>97.654838709677421</v>
      </c>
      <c r="P23" s="720">
        <f t="shared" si="2"/>
        <v>82.2434730636529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9000</v>
      </c>
      <c r="J24" s="538">
        <v>7000</v>
      </c>
      <c r="K24" s="538">
        <v>6587</v>
      </c>
      <c r="L24" s="550">
        <v>6502</v>
      </c>
      <c r="M24" s="385">
        <v>0</v>
      </c>
      <c r="N24" s="742">
        <f t="shared" si="9"/>
        <v>6502</v>
      </c>
      <c r="O24" s="715">
        <f t="shared" si="4"/>
        <v>92.885714285714286</v>
      </c>
      <c r="P24" s="720">
        <f t="shared" si="2"/>
        <v>98.709579474722943</v>
      </c>
      <c r="Q24" s="55"/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57000</v>
      </c>
      <c r="J25" s="538">
        <v>58900</v>
      </c>
      <c r="K25" s="538">
        <v>64925</v>
      </c>
      <c r="L25" s="549">
        <v>58855</v>
      </c>
      <c r="M25" s="387">
        <v>0</v>
      </c>
      <c r="N25" s="742">
        <f t="shared" si="9"/>
        <v>58855</v>
      </c>
      <c r="O25" s="715">
        <f t="shared" si="4"/>
        <v>99.923599320882843</v>
      </c>
      <c r="P25" s="720">
        <f t="shared" si="2"/>
        <v>90.650750866384286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1">
        <v>0</v>
      </c>
      <c r="M26" s="386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566"/>
      <c r="M27" s="302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40000</v>
      </c>
      <c r="J28" s="537">
        <f t="shared" ref="J28" si="12">SUM(J29:J30)</f>
        <v>40000</v>
      </c>
      <c r="K28" s="537">
        <f>SUM(K29:K30)</f>
        <v>79789</v>
      </c>
      <c r="L28" s="568">
        <f>SUM(L29:L30)</f>
        <v>39998</v>
      </c>
      <c r="M28" s="311">
        <f>SUM(M29:M30)</f>
        <v>0</v>
      </c>
      <c r="N28" s="732">
        <f>SUM(N29:N30)</f>
        <v>39998</v>
      </c>
      <c r="O28" s="714">
        <f t="shared" si="4"/>
        <v>99.995000000000005</v>
      </c>
      <c r="P28" s="719">
        <f t="shared" si="2"/>
        <v>50.129717128927545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569">
        <v>0</v>
      </c>
      <c r="M29" s="303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40000</v>
      </c>
      <c r="J30" s="538">
        <v>40000</v>
      </c>
      <c r="K30" s="538">
        <v>79789</v>
      </c>
      <c r="L30" s="569">
        <v>39998</v>
      </c>
      <c r="M30" s="303">
        <v>0</v>
      </c>
      <c r="N30" s="742">
        <f t="shared" si="14"/>
        <v>39998</v>
      </c>
      <c r="O30" s="715">
        <f t="shared" si="4"/>
        <v>99.995000000000005</v>
      </c>
      <c r="P30" s="720">
        <f t="shared" si="2"/>
        <v>50.129717128927545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7"/>
      <c r="J31" s="537"/>
      <c r="K31" s="537"/>
      <c r="L31" s="568"/>
      <c r="M31" s="311"/>
      <c r="N31" s="732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18</v>
      </c>
      <c r="J32" s="537"/>
      <c r="K32" s="537">
        <v>16</v>
      </c>
      <c r="L32" s="574">
        <v>18</v>
      </c>
      <c r="M32" s="318"/>
      <c r="N32" s="732">
        <v>18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789020</v>
      </c>
      <c r="J33" s="311">
        <f>J8+J13+J16+J28</f>
        <v>739520</v>
      </c>
      <c r="K33" s="561">
        <f t="shared" ref="K33" si="15">K8+K13+K16+K28</f>
        <v>772134</v>
      </c>
      <c r="L33" s="568">
        <f>L8+L13+L16+L28</f>
        <v>734996</v>
      </c>
      <c r="M33" s="311">
        <f>M8+M13+M16+M28</f>
        <v>0</v>
      </c>
      <c r="N33" s="732">
        <f>N8+N13+N16+N28</f>
        <v>734996</v>
      </c>
      <c r="O33" s="714">
        <f t="shared" si="4"/>
        <v>99.38825183903073</v>
      </c>
      <c r="P33" s="719">
        <f t="shared" si="2"/>
        <v>95.190213097726556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>
        <f>I33</f>
        <v>789020</v>
      </c>
      <c r="J34" s="15">
        <f>J33</f>
        <v>739520</v>
      </c>
      <c r="K34" s="561">
        <f t="shared" ref="K34" si="16">K33</f>
        <v>772134</v>
      </c>
      <c r="L34" s="568">
        <f t="shared" ref="L34:N35" si="17">L33</f>
        <v>734996</v>
      </c>
      <c r="M34" s="311">
        <f t="shared" si="17"/>
        <v>0</v>
      </c>
      <c r="N34" s="732">
        <f t="shared" si="17"/>
        <v>734996</v>
      </c>
      <c r="O34" s="714">
        <f>IF(J34=0,"",N34/J34*100)</f>
        <v>99.38825183903073</v>
      </c>
      <c r="P34" s="719">
        <f t="shared" si="2"/>
        <v>95.190213097726556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789020</v>
      </c>
      <c r="J35" s="15">
        <f>J34</f>
        <v>739520</v>
      </c>
      <c r="K35" s="561">
        <f t="shared" ref="K35" si="18">K34</f>
        <v>772134</v>
      </c>
      <c r="L35" s="568">
        <f t="shared" si="17"/>
        <v>734996</v>
      </c>
      <c r="M35" s="311">
        <f t="shared" si="17"/>
        <v>0</v>
      </c>
      <c r="N35" s="732">
        <f t="shared" si="17"/>
        <v>734996</v>
      </c>
      <c r="O35" s="714">
        <f t="shared" si="4"/>
        <v>99.38825183903073</v>
      </c>
      <c r="P35" s="719">
        <f t="shared" si="2"/>
        <v>95.190213097726556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7" width="9.140625" style="9"/>
    <col min="18" max="18" width="9.5703125" style="9" bestFit="1" customWidth="1"/>
    <col min="19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121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122</v>
      </c>
      <c r="C7" s="7" t="s">
        <v>80</v>
      </c>
      <c r="D7" s="7" t="s">
        <v>81</v>
      </c>
      <c r="E7" s="653" t="s">
        <v>783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5369340</v>
      </c>
      <c r="J8" s="537">
        <f t="shared" ref="J8" si="1">SUM(J9:J12)</f>
        <v>5328340</v>
      </c>
      <c r="K8" s="537">
        <f>SUM(K9:K11)</f>
        <v>4879280</v>
      </c>
      <c r="L8" s="564">
        <f>SUM(L9:L12)</f>
        <v>5326285</v>
      </c>
      <c r="M8" s="233">
        <f>SUM(M9:M12)</f>
        <v>0</v>
      </c>
      <c r="N8" s="741">
        <f>SUM(N9:N12)</f>
        <v>5326285</v>
      </c>
      <c r="O8" s="714">
        <f>IF(J8=0,"",N8/J8*100)</f>
        <v>99.961432641310424</v>
      </c>
      <c r="P8" s="719">
        <f>IF(K8=0,"",N8/K8*100)</f>
        <v>109.16129019035597</v>
      </c>
      <c r="R8" s="64"/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4466930</v>
      </c>
      <c r="J9" s="538">
        <v>4451930</v>
      </c>
      <c r="K9" s="538">
        <v>4026911</v>
      </c>
      <c r="L9" s="565">
        <v>4450366</v>
      </c>
      <c r="M9" s="232">
        <v>0</v>
      </c>
      <c r="N9" s="742">
        <f>SUM(L9:M9)</f>
        <v>4450366</v>
      </c>
      <c r="O9" s="715">
        <f>IF(J9=0,"",N9/J9*100)</f>
        <v>99.964869169101945</v>
      </c>
      <c r="P9" s="720">
        <f t="shared" ref="P9:P35" si="2">IF(K9=0,"",N9/K9*100)</f>
        <v>110.51562848049039</v>
      </c>
      <c r="Q9" s="79"/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902410</v>
      </c>
      <c r="J10" s="538">
        <v>876410</v>
      </c>
      <c r="K10" s="538">
        <v>852369</v>
      </c>
      <c r="L10" s="565">
        <v>875919</v>
      </c>
      <c r="M10" s="232">
        <v>0</v>
      </c>
      <c r="N10" s="742">
        <f t="shared" ref="N10:N11" si="3">SUM(L10:M10)</f>
        <v>875919</v>
      </c>
      <c r="O10" s="715">
        <f t="shared" ref="O10:O35" si="4">IF(J10=0,"",N10/J10*100)</f>
        <v>99.943975992971318</v>
      </c>
      <c r="P10" s="720">
        <f t="shared" si="2"/>
        <v>102.76288790418235</v>
      </c>
      <c r="Q10" s="80"/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  <c r="Q12" s="80"/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694050</v>
      </c>
      <c r="J13" s="537">
        <f t="shared" si="6"/>
        <v>694050</v>
      </c>
      <c r="K13" s="537">
        <f>K14</f>
        <v>625194</v>
      </c>
      <c r="L13" s="564">
        <f>L14</f>
        <v>694026</v>
      </c>
      <c r="M13" s="233">
        <f>M14</f>
        <v>0</v>
      </c>
      <c r="N13" s="741">
        <f>N14</f>
        <v>694026</v>
      </c>
      <c r="O13" s="714">
        <f t="shared" si="4"/>
        <v>99.996542035876374</v>
      </c>
      <c r="P13" s="719">
        <f t="shared" si="2"/>
        <v>111.0097025883166</v>
      </c>
      <c r="Q13" s="81"/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694050</v>
      </c>
      <c r="J14" s="538">
        <v>694050</v>
      </c>
      <c r="K14" s="538">
        <v>625194</v>
      </c>
      <c r="L14" s="565">
        <v>694026</v>
      </c>
      <c r="M14" s="232">
        <v>0</v>
      </c>
      <c r="N14" s="742">
        <f>SUM(L14:M14)</f>
        <v>694026</v>
      </c>
      <c r="O14" s="715">
        <f t="shared" si="4"/>
        <v>99.996542035876374</v>
      </c>
      <c r="P14" s="720">
        <f t="shared" si="2"/>
        <v>111.0097025883166</v>
      </c>
      <c r="Q14" s="79"/>
    </row>
    <row r="15" spans="1:18" ht="12.95" customHeight="1">
      <c r="B15" s="10"/>
      <c r="C15" s="11"/>
      <c r="D15" s="11"/>
      <c r="E15" s="309"/>
      <c r="F15" s="328"/>
      <c r="G15" s="354"/>
      <c r="H15" s="20"/>
      <c r="I15" s="538"/>
      <c r="J15" s="538"/>
      <c r="K15" s="538"/>
      <c r="L15" s="569"/>
      <c r="M15" s="303"/>
      <c r="N15" s="743"/>
      <c r="O15" s="715" t="str">
        <f t="shared" si="4"/>
        <v/>
      </c>
      <c r="P15" s="720" t="str">
        <f t="shared" si="2"/>
        <v/>
      </c>
      <c r="Q15" s="80"/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775000</v>
      </c>
      <c r="J16" s="537">
        <f t="shared" ref="J16" si="8">SUM(J17:J26)</f>
        <v>739000</v>
      </c>
      <c r="K16" s="537">
        <f>SUM(K17:K26)</f>
        <v>697421</v>
      </c>
      <c r="L16" s="574">
        <f>SUM(L17:L26)</f>
        <v>733503</v>
      </c>
      <c r="M16" s="318">
        <f>SUM(M17:M26)</f>
        <v>0</v>
      </c>
      <c r="N16" s="732">
        <f>SUM(N17:N26)</f>
        <v>733503</v>
      </c>
      <c r="O16" s="714">
        <f t="shared" si="4"/>
        <v>99.256156968876866</v>
      </c>
      <c r="P16" s="719">
        <f t="shared" si="2"/>
        <v>105.17363256913686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5000</v>
      </c>
      <c r="J17" s="538">
        <v>5000</v>
      </c>
      <c r="K17" s="538">
        <v>13053</v>
      </c>
      <c r="L17" s="549">
        <v>4072</v>
      </c>
      <c r="M17" s="387">
        <v>0</v>
      </c>
      <c r="N17" s="742">
        <f t="shared" ref="N17:N26" si="9">SUM(L17:M17)</f>
        <v>4072</v>
      </c>
      <c r="O17" s="715">
        <f t="shared" si="4"/>
        <v>81.44</v>
      </c>
      <c r="P17" s="720">
        <f t="shared" si="2"/>
        <v>31.195893664291734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90000</v>
      </c>
      <c r="J18" s="538">
        <v>84000</v>
      </c>
      <c r="K18" s="538">
        <v>82868</v>
      </c>
      <c r="L18" s="549">
        <v>81861</v>
      </c>
      <c r="M18" s="387">
        <v>0</v>
      </c>
      <c r="N18" s="742">
        <f t="shared" si="9"/>
        <v>81861</v>
      </c>
      <c r="O18" s="715">
        <f t="shared" si="4"/>
        <v>97.453571428571422</v>
      </c>
      <c r="P18" s="720">
        <f t="shared" si="2"/>
        <v>98.784814403629866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82000</v>
      </c>
      <c r="J19" s="538">
        <v>77000</v>
      </c>
      <c r="K19" s="538">
        <v>88604</v>
      </c>
      <c r="L19" s="549">
        <v>76838</v>
      </c>
      <c r="M19" s="387">
        <v>0</v>
      </c>
      <c r="N19" s="742">
        <f t="shared" si="9"/>
        <v>76838</v>
      </c>
      <c r="O19" s="715">
        <f t="shared" si="4"/>
        <v>99.789610389610388</v>
      </c>
      <c r="P19" s="720">
        <f t="shared" si="2"/>
        <v>86.720689810843751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175000</v>
      </c>
      <c r="J20" s="538">
        <v>171000</v>
      </c>
      <c r="K20" s="538">
        <v>107158</v>
      </c>
      <c r="L20" s="549">
        <v>170215</v>
      </c>
      <c r="M20" s="387">
        <v>0</v>
      </c>
      <c r="N20" s="742">
        <f t="shared" si="9"/>
        <v>170215</v>
      </c>
      <c r="O20" s="715">
        <f t="shared" si="4"/>
        <v>99.540935672514621</v>
      </c>
      <c r="P20" s="720">
        <f t="shared" si="2"/>
        <v>158.84488325649974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108000</v>
      </c>
      <c r="J21" s="538">
        <v>103000</v>
      </c>
      <c r="K21" s="538">
        <v>107324</v>
      </c>
      <c r="L21" s="549">
        <v>102361</v>
      </c>
      <c r="M21" s="387">
        <v>0</v>
      </c>
      <c r="N21" s="742">
        <f t="shared" si="9"/>
        <v>102361</v>
      </c>
      <c r="O21" s="715">
        <f t="shared" si="4"/>
        <v>99.37961165048543</v>
      </c>
      <c r="P21" s="720">
        <f t="shared" si="2"/>
        <v>95.375684842160197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v>27000</v>
      </c>
      <c r="J22" s="538">
        <v>27000</v>
      </c>
      <c r="K22" s="538">
        <v>31000</v>
      </c>
      <c r="L22" s="549">
        <v>27000</v>
      </c>
      <c r="M22" s="387">
        <v>0</v>
      </c>
      <c r="N22" s="742">
        <f t="shared" si="9"/>
        <v>27000</v>
      </c>
      <c r="O22" s="715">
        <f t="shared" si="4"/>
        <v>100</v>
      </c>
      <c r="P22" s="720">
        <f t="shared" si="2"/>
        <v>87.096774193548384</v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106000</v>
      </c>
      <c r="J23" s="538">
        <v>99000</v>
      </c>
      <c r="K23" s="538">
        <v>93367</v>
      </c>
      <c r="L23" s="549">
        <v>98708</v>
      </c>
      <c r="M23" s="387">
        <v>0</v>
      </c>
      <c r="N23" s="742">
        <f t="shared" si="9"/>
        <v>98708</v>
      </c>
      <c r="O23" s="715">
        <f t="shared" si="4"/>
        <v>99.705050505050508</v>
      </c>
      <c r="P23" s="720">
        <f t="shared" si="2"/>
        <v>105.72043655681342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18000</v>
      </c>
      <c r="J24" s="538">
        <v>16000</v>
      </c>
      <c r="K24" s="538">
        <v>15135</v>
      </c>
      <c r="L24" s="549">
        <v>15830</v>
      </c>
      <c r="M24" s="387">
        <v>0</v>
      </c>
      <c r="N24" s="742">
        <f t="shared" si="9"/>
        <v>15830</v>
      </c>
      <c r="O24" s="715">
        <f t="shared" si="4"/>
        <v>98.9375</v>
      </c>
      <c r="P24" s="720">
        <f t="shared" si="2"/>
        <v>104.59200528576147</v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164000</v>
      </c>
      <c r="J25" s="538">
        <v>157000</v>
      </c>
      <c r="K25" s="538">
        <v>158912</v>
      </c>
      <c r="L25" s="549">
        <v>156618</v>
      </c>
      <c r="M25" s="387">
        <v>0</v>
      </c>
      <c r="N25" s="742">
        <f t="shared" si="9"/>
        <v>156618</v>
      </c>
      <c r="O25" s="715">
        <f t="shared" si="4"/>
        <v>99.756687898089169</v>
      </c>
      <c r="P25" s="720">
        <f t="shared" si="2"/>
        <v>98.556433749496577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ref="I26:J26" si="10">SUM(G26:H26)</f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  <c r="Q26" s="63"/>
    </row>
    <row r="27" spans="1:17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569"/>
      <c r="M27" s="303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75000</v>
      </c>
      <c r="J28" s="537">
        <f t="shared" ref="J28" si="12">SUM(J29:J30)</f>
        <v>75000</v>
      </c>
      <c r="K28" s="537">
        <f>SUM(K29:K30)</f>
        <v>86661</v>
      </c>
      <c r="L28" s="574">
        <f>SUM(L29:L30)</f>
        <v>74898</v>
      </c>
      <c r="M28" s="318">
        <f>SUM(M29:M30)</f>
        <v>0</v>
      </c>
      <c r="N28" s="732">
        <f>SUM(N29:N30)</f>
        <v>74898</v>
      </c>
      <c r="O28" s="714">
        <f t="shared" si="4"/>
        <v>99.864000000000004</v>
      </c>
      <c r="P28" s="810">
        <f t="shared" si="2"/>
        <v>86.426420189012347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0</v>
      </c>
      <c r="J29" s="538">
        <v>0</v>
      </c>
      <c r="K29" s="538">
        <v>0</v>
      </c>
      <c r="L29" s="569">
        <v>0</v>
      </c>
      <c r="M29" s="303">
        <v>0</v>
      </c>
      <c r="N29" s="742">
        <f t="shared" ref="N29:N30" si="13">SUM(L29:M29)</f>
        <v>0</v>
      </c>
      <c r="O29" s="715" t="str">
        <f t="shared" si="4"/>
        <v/>
      </c>
      <c r="P29" s="811" t="str">
        <f t="shared" si="2"/>
        <v/>
      </c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75000</v>
      </c>
      <c r="J30" s="538">
        <v>75000</v>
      </c>
      <c r="K30" s="538">
        <v>86661</v>
      </c>
      <c r="L30" s="569">
        <v>74898</v>
      </c>
      <c r="M30" s="303">
        <v>0</v>
      </c>
      <c r="N30" s="742">
        <f t="shared" si="13"/>
        <v>74898</v>
      </c>
      <c r="O30" s="715">
        <f t="shared" si="4"/>
        <v>99.864000000000004</v>
      </c>
      <c r="P30" s="811">
        <f t="shared" si="2"/>
        <v>86.426420189012347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7"/>
      <c r="J31" s="537"/>
      <c r="K31" s="537"/>
      <c r="L31" s="568"/>
      <c r="M31" s="311"/>
      <c r="N31" s="732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>
        <v>215</v>
      </c>
      <c r="J32" s="539"/>
      <c r="K32" s="537">
        <v>204</v>
      </c>
      <c r="L32" s="570">
        <v>214</v>
      </c>
      <c r="M32" s="320"/>
      <c r="N32" s="744">
        <v>214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6913390</v>
      </c>
      <c r="J33" s="311">
        <f>J8+J13+J16+J28</f>
        <v>6836390</v>
      </c>
      <c r="K33" s="561">
        <f t="shared" ref="K33" si="14">K8+K13+K16+K28</f>
        <v>6288556</v>
      </c>
      <c r="L33" s="568">
        <f>L8+L13+L16+L28</f>
        <v>6828712</v>
      </c>
      <c r="M33" s="311">
        <f>M8+M13+M16+M28</f>
        <v>0</v>
      </c>
      <c r="N33" s="732">
        <f>N8+N13+N16+N28</f>
        <v>6828712</v>
      </c>
      <c r="O33" s="714">
        <f t="shared" si="4"/>
        <v>99.887689262900452</v>
      </c>
      <c r="P33" s="719">
        <f t="shared" si="2"/>
        <v>108.58950767075939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</f>
        <v>6913390</v>
      </c>
      <c r="J34" s="311">
        <f>J33</f>
        <v>6836390</v>
      </c>
      <c r="K34" s="561">
        <f t="shared" ref="K34" si="15">K33</f>
        <v>6288556</v>
      </c>
      <c r="L34" s="568">
        <f t="shared" ref="L34:N35" si="16">L33</f>
        <v>6828712</v>
      </c>
      <c r="M34" s="311">
        <f t="shared" si="16"/>
        <v>0</v>
      </c>
      <c r="N34" s="732">
        <f t="shared" si="16"/>
        <v>6828712</v>
      </c>
      <c r="O34" s="714">
        <f>IF(J34=0,"",N34/J34*100)</f>
        <v>99.887689262900452</v>
      </c>
      <c r="P34" s="719">
        <f t="shared" si="2"/>
        <v>108.58950767075939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6913390</v>
      </c>
      <c r="J35" s="15">
        <f>J34</f>
        <v>6836390</v>
      </c>
      <c r="K35" s="561">
        <f t="shared" ref="K35" si="17">K34</f>
        <v>6288556</v>
      </c>
      <c r="L35" s="568">
        <f t="shared" si="16"/>
        <v>6828712</v>
      </c>
      <c r="M35" s="311">
        <f t="shared" si="16"/>
        <v>0</v>
      </c>
      <c r="N35" s="732">
        <f t="shared" si="16"/>
        <v>6828712</v>
      </c>
      <c r="O35" s="714">
        <f t="shared" si="4"/>
        <v>99.887689262900452</v>
      </c>
      <c r="P35" s="719">
        <f t="shared" si="2"/>
        <v>108.58950767075939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B42" s="55"/>
      <c r="F42" s="330"/>
      <c r="G42" s="356"/>
      <c r="N42" s="409"/>
    </row>
    <row r="43" spans="1:16" ht="12.95" customHeight="1">
      <c r="B43" s="55"/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R98"/>
  <sheetViews>
    <sheetView zoomScaleNormal="100" workbookViewId="0">
      <selection activeCell="N34" sqref="N34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712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92" t="s">
        <v>580</v>
      </c>
      <c r="M5" s="579" t="s">
        <v>581</v>
      </c>
      <c r="N5" s="75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93">
        <v>11</v>
      </c>
      <c r="M6" s="580">
        <v>12</v>
      </c>
      <c r="N6" s="75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123</v>
      </c>
      <c r="C7" s="7" t="s">
        <v>80</v>
      </c>
      <c r="D7" s="7" t="s">
        <v>81</v>
      </c>
      <c r="E7" s="653" t="s">
        <v>784</v>
      </c>
      <c r="F7" s="5"/>
      <c r="G7" s="306"/>
      <c r="H7" s="5"/>
      <c r="I7" s="578"/>
      <c r="J7" s="97"/>
      <c r="K7" s="578"/>
      <c r="L7" s="594"/>
      <c r="M7" s="581"/>
      <c r="N7" s="756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:J8" si="0">SUM(I9:I12)</f>
        <v>121370</v>
      </c>
      <c r="J8" s="537">
        <f t="shared" si="0"/>
        <v>121370</v>
      </c>
      <c r="K8" s="537">
        <f>SUM(K9:K11)</f>
        <v>98293</v>
      </c>
      <c r="L8" s="595">
        <f>SUM(L9:L12)</f>
        <v>121006</v>
      </c>
      <c r="M8" s="582">
        <f>SUM(M9:M12)</f>
        <v>0</v>
      </c>
      <c r="N8" s="757">
        <f>SUM(N9:N12)</f>
        <v>121006</v>
      </c>
      <c r="O8" s="714">
        <f>IF(J8=0,"",N8/J8*100)</f>
        <v>99.700090631951895</v>
      </c>
      <c r="P8" s="719">
        <f>IF(K8=0,"",N8/K8*100)</f>
        <v>123.10744407027967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101810</v>
      </c>
      <c r="J9" s="538">
        <v>101870</v>
      </c>
      <c r="K9" s="538">
        <v>82475</v>
      </c>
      <c r="L9" s="596">
        <v>101861</v>
      </c>
      <c r="M9" s="583">
        <v>0</v>
      </c>
      <c r="N9" s="758">
        <f>SUM(L9:M9)</f>
        <v>101861</v>
      </c>
      <c r="O9" s="715">
        <f>IF(J9=0,"",N9/J9*100)</f>
        <v>99.991165210562485</v>
      </c>
      <c r="P9" s="720">
        <f t="shared" ref="P9:P35" si="1">IF(K9=0,"",N9/K9*100)</f>
        <v>123.50530463776903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19560</v>
      </c>
      <c r="J10" s="538">
        <v>19500</v>
      </c>
      <c r="K10" s="538">
        <v>15818</v>
      </c>
      <c r="L10" s="596">
        <v>19145</v>
      </c>
      <c r="M10" s="583">
        <v>0</v>
      </c>
      <c r="N10" s="758">
        <f t="shared" ref="N10:N11" si="2">SUM(L10:M10)</f>
        <v>19145</v>
      </c>
      <c r="O10" s="715">
        <f t="shared" ref="O10:P37" si="3">IF(J10=0,"",N10/J10*100)</f>
        <v>98.179487179487182</v>
      </c>
      <c r="P10" s="720">
        <f t="shared" si="1"/>
        <v>121.0330003793147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4">SUM(G11:H11)</f>
        <v>0</v>
      </c>
      <c r="J11" s="538">
        <f t="shared" si="4"/>
        <v>0</v>
      </c>
      <c r="K11" s="538">
        <v>0</v>
      </c>
      <c r="L11" s="597">
        <v>0</v>
      </c>
      <c r="M11" s="584">
        <v>0</v>
      </c>
      <c r="N11" s="758">
        <f t="shared" si="2"/>
        <v>0</v>
      </c>
      <c r="O11" s="715" t="str">
        <f t="shared" si="3"/>
        <v/>
      </c>
      <c r="P11" s="720" t="str">
        <f t="shared" si="1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96"/>
      <c r="M12" s="583"/>
      <c r="N12" s="758"/>
      <c r="O12" s="715" t="str">
        <f t="shared" si="3"/>
        <v/>
      </c>
      <c r="P12" s="720" t="str">
        <f t="shared" si="1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5">I14</f>
        <v>11050</v>
      </c>
      <c r="J13" s="537">
        <f t="shared" si="5"/>
        <v>11050</v>
      </c>
      <c r="K13" s="537">
        <f>K14</f>
        <v>8726</v>
      </c>
      <c r="L13" s="595">
        <f>L14</f>
        <v>10923</v>
      </c>
      <c r="M13" s="582">
        <f>M14</f>
        <v>0</v>
      </c>
      <c r="N13" s="757">
        <f>N14</f>
        <v>10923</v>
      </c>
      <c r="O13" s="714">
        <f t="shared" si="3"/>
        <v>98.850678733031671</v>
      </c>
      <c r="P13" s="719">
        <f t="shared" si="1"/>
        <v>125.17763007105202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11050</v>
      </c>
      <c r="J14" s="538">
        <v>11050</v>
      </c>
      <c r="K14" s="538">
        <v>8726</v>
      </c>
      <c r="L14" s="596">
        <v>10923</v>
      </c>
      <c r="M14" s="583">
        <v>0</v>
      </c>
      <c r="N14" s="758">
        <f>SUM(L14:M14)</f>
        <v>10923</v>
      </c>
      <c r="O14" s="715">
        <f t="shared" si="3"/>
        <v>98.850678733031671</v>
      </c>
      <c r="P14" s="720">
        <f t="shared" si="1"/>
        <v>125.17763007105202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98"/>
      <c r="M15" s="585"/>
      <c r="N15" s="759"/>
      <c r="O15" s="715" t="str">
        <f t="shared" si="3"/>
        <v/>
      </c>
      <c r="P15" s="720" t="str">
        <f t="shared" si="1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:J16" si="6">SUM(I17:I28)</f>
        <v>138200</v>
      </c>
      <c r="J16" s="537">
        <f t="shared" si="6"/>
        <v>149200</v>
      </c>
      <c r="K16" s="537">
        <f>SUM(K17:K28)</f>
        <v>64750</v>
      </c>
      <c r="L16" s="599">
        <f>SUM(L17:L28)</f>
        <v>143496</v>
      </c>
      <c r="M16" s="586">
        <f>SUM(M17:M28)</f>
        <v>0</v>
      </c>
      <c r="N16" s="760">
        <f>SUM(N17:N28)</f>
        <v>143496</v>
      </c>
      <c r="O16" s="714">
        <f t="shared" si="3"/>
        <v>96.176943699731893</v>
      </c>
      <c r="P16" s="719">
        <f t="shared" si="1"/>
        <v>221.61544401544398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1700</v>
      </c>
      <c r="J17" s="538">
        <v>1700</v>
      </c>
      <c r="K17" s="538">
        <v>4458</v>
      </c>
      <c r="L17" s="600">
        <v>1131</v>
      </c>
      <c r="M17" s="587">
        <v>0</v>
      </c>
      <c r="N17" s="758">
        <f t="shared" ref="N17:N28" si="7">SUM(L17:M17)</f>
        <v>1131</v>
      </c>
      <c r="O17" s="715">
        <f t="shared" si="3"/>
        <v>66.529411764705884</v>
      </c>
      <c r="P17" s="720">
        <f t="shared" si="1"/>
        <v>25.370121130551816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8" si="8">SUM(G18:H18)</f>
        <v>0</v>
      </c>
      <c r="J18" s="538">
        <f t="shared" si="8"/>
        <v>0</v>
      </c>
      <c r="K18" s="538">
        <v>0</v>
      </c>
      <c r="L18" s="600">
        <v>0</v>
      </c>
      <c r="M18" s="587">
        <v>0</v>
      </c>
      <c r="N18" s="758">
        <f t="shared" si="7"/>
        <v>0</v>
      </c>
      <c r="O18" s="715" t="str">
        <f t="shared" si="3"/>
        <v/>
      </c>
      <c r="P18" s="720" t="str">
        <f t="shared" si="1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2800</v>
      </c>
      <c r="J19" s="538">
        <v>2800</v>
      </c>
      <c r="K19" s="538">
        <v>2418</v>
      </c>
      <c r="L19" s="600">
        <v>2457</v>
      </c>
      <c r="M19" s="587">
        <v>0</v>
      </c>
      <c r="N19" s="758">
        <f t="shared" si="7"/>
        <v>2457</v>
      </c>
      <c r="O19" s="715">
        <f t="shared" si="3"/>
        <v>87.75</v>
      </c>
      <c r="P19" s="720">
        <f t="shared" si="1"/>
        <v>101.61290322580645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3200</v>
      </c>
      <c r="J20" s="538">
        <v>3200</v>
      </c>
      <c r="K20" s="538">
        <v>2457</v>
      </c>
      <c r="L20" s="600">
        <v>3187</v>
      </c>
      <c r="M20" s="587">
        <v>0</v>
      </c>
      <c r="N20" s="758">
        <f t="shared" si="7"/>
        <v>3187</v>
      </c>
      <c r="O20" s="715">
        <f t="shared" si="3"/>
        <v>99.59375</v>
      </c>
      <c r="P20" s="720">
        <f t="shared" si="1"/>
        <v>129.71102971102971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8"/>
        <v>0</v>
      </c>
      <c r="J21" s="538">
        <f t="shared" si="8"/>
        <v>0</v>
      </c>
      <c r="K21" s="538">
        <v>0</v>
      </c>
      <c r="L21" s="600">
        <v>0</v>
      </c>
      <c r="M21" s="587">
        <v>0</v>
      </c>
      <c r="N21" s="758">
        <f t="shared" si="7"/>
        <v>0</v>
      </c>
      <c r="O21" s="715" t="str">
        <f t="shared" si="3"/>
        <v/>
      </c>
      <c r="P21" s="720" t="str">
        <f t="shared" si="1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8"/>
        <v>0</v>
      </c>
      <c r="J22" s="538">
        <f t="shared" si="8"/>
        <v>0</v>
      </c>
      <c r="K22" s="538">
        <v>0</v>
      </c>
      <c r="L22" s="600">
        <v>0</v>
      </c>
      <c r="M22" s="587">
        <v>0</v>
      </c>
      <c r="N22" s="758">
        <f t="shared" si="7"/>
        <v>0</v>
      </c>
      <c r="O22" s="715" t="str">
        <f t="shared" si="3"/>
        <v/>
      </c>
      <c r="P22" s="720" t="str">
        <f t="shared" si="1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1000</v>
      </c>
      <c r="J23" s="538">
        <v>1000</v>
      </c>
      <c r="K23" s="538">
        <v>994</v>
      </c>
      <c r="L23" s="600">
        <v>408</v>
      </c>
      <c r="M23" s="587">
        <v>0</v>
      </c>
      <c r="N23" s="758">
        <f t="shared" si="7"/>
        <v>408</v>
      </c>
      <c r="O23" s="715">
        <f t="shared" si="3"/>
        <v>40.799999999999997</v>
      </c>
      <c r="P23" s="720">
        <f t="shared" si="1"/>
        <v>41.04627766599598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8"/>
        <v>0</v>
      </c>
      <c r="J24" s="538">
        <f t="shared" si="8"/>
        <v>0</v>
      </c>
      <c r="K24" s="538">
        <v>0</v>
      </c>
      <c r="L24" s="600">
        <v>0</v>
      </c>
      <c r="M24" s="587">
        <v>0</v>
      </c>
      <c r="N24" s="758">
        <f t="shared" si="7"/>
        <v>0</v>
      </c>
      <c r="O24" s="715" t="str">
        <f t="shared" si="3"/>
        <v/>
      </c>
      <c r="P24" s="720" t="str">
        <f t="shared" si="1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22000</v>
      </c>
      <c r="J25" s="538">
        <v>24500</v>
      </c>
      <c r="K25" s="538">
        <v>54423</v>
      </c>
      <c r="L25" s="600">
        <v>23940</v>
      </c>
      <c r="M25" s="587">
        <v>0</v>
      </c>
      <c r="N25" s="758">
        <f t="shared" si="7"/>
        <v>23940</v>
      </c>
      <c r="O25" s="715">
        <f t="shared" si="3"/>
        <v>97.714285714285708</v>
      </c>
      <c r="P25" s="720">
        <f t="shared" si="1"/>
        <v>43.988754754423681</v>
      </c>
    </row>
    <row r="26" spans="1:16" s="307" customFormat="1" ht="12.95" customHeight="1">
      <c r="B26" s="308"/>
      <c r="C26" s="309"/>
      <c r="D26" s="309"/>
      <c r="E26" s="309"/>
      <c r="F26" s="328">
        <v>613900</v>
      </c>
      <c r="G26" s="357" t="s">
        <v>803</v>
      </c>
      <c r="H26" s="661" t="s">
        <v>801</v>
      </c>
      <c r="I26" s="538">
        <v>42500</v>
      </c>
      <c r="J26" s="538">
        <v>40000</v>
      </c>
      <c r="K26" s="538">
        <v>0</v>
      </c>
      <c r="L26" s="600">
        <v>36943</v>
      </c>
      <c r="M26" s="587">
        <v>0</v>
      </c>
      <c r="N26" s="758">
        <f t="shared" ref="N26" si="9">SUM(L26:M26)</f>
        <v>36943</v>
      </c>
      <c r="O26" s="715">
        <f t="shared" ref="O26" si="10">IF(J26=0,"",N26/J26*100)</f>
        <v>92.357500000000002</v>
      </c>
      <c r="P26" s="720" t="str">
        <f t="shared" si="1"/>
        <v/>
      </c>
    </row>
    <row r="27" spans="1:16" s="307" customFormat="1" ht="12.95" customHeight="1">
      <c r="B27" s="308"/>
      <c r="C27" s="309"/>
      <c r="D27" s="309"/>
      <c r="E27" s="309"/>
      <c r="F27" s="328">
        <v>613900</v>
      </c>
      <c r="G27" s="357" t="s">
        <v>821</v>
      </c>
      <c r="H27" s="661" t="s">
        <v>822</v>
      </c>
      <c r="I27" s="538">
        <v>65000</v>
      </c>
      <c r="J27" s="538">
        <v>76000</v>
      </c>
      <c r="K27" s="538">
        <v>0</v>
      </c>
      <c r="L27" s="600">
        <v>75430</v>
      </c>
      <c r="M27" s="587">
        <v>0</v>
      </c>
      <c r="N27" s="758">
        <f t="shared" ref="N27" si="11">SUM(L27:M27)</f>
        <v>75430</v>
      </c>
      <c r="O27" s="715">
        <f t="shared" ref="O27" si="12">IF(J27=0,"",N27/J27*100)</f>
        <v>99.25</v>
      </c>
      <c r="P27" s="720" t="str">
        <f t="shared" ref="P27" si="13">IF(K27=0,"",N27/K27*100)</f>
        <v/>
      </c>
    </row>
    <row r="28" spans="1:16" ht="12.95" customHeight="1">
      <c r="B28" s="10"/>
      <c r="C28" s="11"/>
      <c r="D28" s="11"/>
      <c r="E28" s="309"/>
      <c r="F28" s="328">
        <v>613900</v>
      </c>
      <c r="G28" s="354"/>
      <c r="H28" s="211" t="s">
        <v>452</v>
      </c>
      <c r="I28" s="538">
        <f t="shared" si="8"/>
        <v>0</v>
      </c>
      <c r="J28" s="538">
        <f t="shared" si="8"/>
        <v>0</v>
      </c>
      <c r="K28" s="538">
        <v>0</v>
      </c>
      <c r="L28" s="601">
        <v>0</v>
      </c>
      <c r="M28" s="588">
        <v>0</v>
      </c>
      <c r="N28" s="758">
        <f t="shared" si="7"/>
        <v>0</v>
      </c>
      <c r="O28" s="715" t="str">
        <f t="shared" si="3"/>
        <v/>
      </c>
      <c r="P28" s="720" t="str">
        <f t="shared" si="1"/>
        <v/>
      </c>
    </row>
    <row r="29" spans="1:16" s="1" customFormat="1" ht="12.95" customHeight="1">
      <c r="A29" s="304"/>
      <c r="B29" s="12"/>
      <c r="C29" s="8"/>
      <c r="D29" s="8"/>
      <c r="E29" s="652"/>
      <c r="F29" s="338"/>
      <c r="G29" s="365"/>
      <c r="H29" s="8"/>
      <c r="I29" s="538"/>
      <c r="J29" s="538"/>
      <c r="K29" s="538"/>
      <c r="L29" s="598"/>
      <c r="M29" s="585"/>
      <c r="N29" s="759"/>
      <c r="O29" s="715" t="str">
        <f t="shared" si="3"/>
        <v/>
      </c>
      <c r="P29" s="720" t="str">
        <f t="shared" si="1"/>
        <v/>
      </c>
    </row>
    <row r="30" spans="1:16" s="1" customFormat="1" ht="12.95" customHeight="1">
      <c r="A30" s="304"/>
      <c r="B30" s="12"/>
      <c r="C30" s="8"/>
      <c r="D30" s="8"/>
      <c r="E30" s="8"/>
      <c r="F30" s="327">
        <v>821000</v>
      </c>
      <c r="G30" s="353"/>
      <c r="H30" s="8" t="s">
        <v>89</v>
      </c>
      <c r="I30" s="537">
        <f t="shared" ref="I30:J30" si="14">SUM(I31:I32)</f>
        <v>5000</v>
      </c>
      <c r="J30" s="537">
        <f t="shared" si="14"/>
        <v>5000</v>
      </c>
      <c r="K30" s="537">
        <f>SUM(K31:K32)</f>
        <v>2998</v>
      </c>
      <c r="L30" s="602">
        <f>SUM(L31:L32)</f>
        <v>4906</v>
      </c>
      <c r="M30" s="589">
        <f>SUM(M31:M32)</f>
        <v>0</v>
      </c>
      <c r="N30" s="760">
        <f>SUM(N31:N32)</f>
        <v>4906</v>
      </c>
      <c r="O30" s="714">
        <f t="shared" si="3"/>
        <v>98.11999999999999</v>
      </c>
      <c r="P30" s="719">
        <f t="shared" si="1"/>
        <v>163.64242828552369</v>
      </c>
    </row>
    <row r="31" spans="1:16" ht="12.95" customHeight="1">
      <c r="B31" s="10"/>
      <c r="C31" s="11"/>
      <c r="D31" s="11"/>
      <c r="E31" s="309"/>
      <c r="F31" s="328">
        <v>821200</v>
      </c>
      <c r="G31" s="354"/>
      <c r="H31" s="11" t="s">
        <v>90</v>
      </c>
      <c r="I31" s="538">
        <f t="shared" ref="I31:J31" si="15">SUM(G31:H31)</f>
        <v>0</v>
      </c>
      <c r="J31" s="538">
        <f t="shared" si="15"/>
        <v>0</v>
      </c>
      <c r="K31" s="538">
        <v>0</v>
      </c>
      <c r="L31" s="598">
        <v>0</v>
      </c>
      <c r="M31" s="585">
        <v>0</v>
      </c>
      <c r="N31" s="758">
        <f t="shared" ref="N31:N32" si="16">SUM(L31:M31)</f>
        <v>0</v>
      </c>
      <c r="O31" s="715" t="str">
        <f t="shared" si="3"/>
        <v/>
      </c>
      <c r="P31" s="720" t="str">
        <f t="shared" si="1"/>
        <v/>
      </c>
    </row>
    <row r="32" spans="1:16" ht="12.95" customHeight="1">
      <c r="B32" s="10"/>
      <c r="C32" s="11"/>
      <c r="D32" s="11"/>
      <c r="E32" s="309"/>
      <c r="F32" s="328">
        <v>821300</v>
      </c>
      <c r="G32" s="354"/>
      <c r="H32" s="11" t="s">
        <v>91</v>
      </c>
      <c r="I32" s="538">
        <v>5000</v>
      </c>
      <c r="J32" s="538">
        <v>5000</v>
      </c>
      <c r="K32" s="538">
        <v>2998</v>
      </c>
      <c r="L32" s="598">
        <v>4906</v>
      </c>
      <c r="M32" s="585">
        <v>0</v>
      </c>
      <c r="N32" s="758">
        <f t="shared" si="16"/>
        <v>4906</v>
      </c>
      <c r="O32" s="715">
        <f t="shared" si="3"/>
        <v>98.11999999999999</v>
      </c>
      <c r="P32" s="720">
        <f t="shared" si="1"/>
        <v>163.64242828552369</v>
      </c>
    </row>
    <row r="33" spans="1:16" ht="12.95" customHeight="1">
      <c r="B33" s="10"/>
      <c r="C33" s="11"/>
      <c r="D33" s="11"/>
      <c r="E33" s="309"/>
      <c r="F33" s="328"/>
      <c r="G33" s="354"/>
      <c r="H33" s="11"/>
      <c r="I33" s="538"/>
      <c r="J33" s="538"/>
      <c r="K33" s="538"/>
      <c r="L33" s="598"/>
      <c r="M33" s="585"/>
      <c r="N33" s="759"/>
      <c r="O33" s="715" t="str">
        <f t="shared" si="3"/>
        <v/>
      </c>
      <c r="P33" s="720" t="str">
        <f t="shared" si="1"/>
        <v/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92</v>
      </c>
      <c r="I34" s="539">
        <v>5</v>
      </c>
      <c r="J34" s="539"/>
      <c r="K34" s="537">
        <v>4</v>
      </c>
      <c r="L34" s="640">
        <v>6</v>
      </c>
      <c r="M34" s="639"/>
      <c r="N34" s="761">
        <v>6</v>
      </c>
      <c r="O34" s="715"/>
      <c r="P34" s="720"/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110</v>
      </c>
      <c r="I35" s="561">
        <f>I8+I13+I16+I30</f>
        <v>275620</v>
      </c>
      <c r="J35" s="311">
        <f>J8+J13+J16+J30</f>
        <v>286620</v>
      </c>
      <c r="K35" s="561">
        <f t="shared" ref="K35" si="17">K8+K13+K16+K30</f>
        <v>174767</v>
      </c>
      <c r="L35" s="602">
        <f>L8+L13+L16+L30</f>
        <v>280331</v>
      </c>
      <c r="M35" s="589">
        <f>M8+M13+M16+M30</f>
        <v>0</v>
      </c>
      <c r="N35" s="760">
        <f>N8+N13+N16+N30</f>
        <v>280331</v>
      </c>
      <c r="O35" s="714">
        <f t="shared" si="3"/>
        <v>97.805805596259859</v>
      </c>
      <c r="P35" s="719">
        <f t="shared" si="1"/>
        <v>160.40270760498262</v>
      </c>
    </row>
    <row r="36" spans="1:16" s="1" customFormat="1" ht="12.95" customHeight="1">
      <c r="A36" s="304"/>
      <c r="B36" s="12"/>
      <c r="C36" s="8"/>
      <c r="D36" s="8"/>
      <c r="E36" s="8"/>
      <c r="F36" s="327"/>
      <c r="G36" s="353"/>
      <c r="H36" s="8" t="s">
        <v>93</v>
      </c>
      <c r="I36" s="561"/>
      <c r="J36" s="311"/>
      <c r="K36" s="561"/>
      <c r="L36" s="602"/>
      <c r="M36" s="589"/>
      <c r="N36" s="760"/>
      <c r="O36" s="715" t="str">
        <f>IF(J36=0,"",N36/J36*100)</f>
        <v/>
      </c>
      <c r="P36" s="720" t="str">
        <f>IF(K36=0,"",O36/K36*100)</f>
        <v/>
      </c>
    </row>
    <row r="37" spans="1:16" s="1" customFormat="1" ht="12.95" customHeight="1">
      <c r="A37" s="304"/>
      <c r="B37" s="12"/>
      <c r="C37" s="8"/>
      <c r="D37" s="8"/>
      <c r="E37" s="8"/>
      <c r="F37" s="327"/>
      <c r="G37" s="353"/>
      <c r="H37" s="8" t="s">
        <v>94</v>
      </c>
      <c r="I37" s="30"/>
      <c r="J37" s="30"/>
      <c r="K37" s="572"/>
      <c r="L37" s="603"/>
      <c r="M37" s="590"/>
      <c r="N37" s="759"/>
      <c r="O37" s="715" t="str">
        <f t="shared" si="3"/>
        <v/>
      </c>
      <c r="P37" s="720" t="str">
        <f t="shared" si="3"/>
        <v/>
      </c>
    </row>
    <row r="38" spans="1:16" ht="12.95" customHeight="1" thickBot="1">
      <c r="B38" s="16"/>
      <c r="C38" s="17"/>
      <c r="D38" s="17"/>
      <c r="E38" s="17"/>
      <c r="F38" s="329"/>
      <c r="G38" s="355"/>
      <c r="H38" s="17"/>
      <c r="I38" s="32"/>
      <c r="J38" s="32"/>
      <c r="K38" s="562"/>
      <c r="L38" s="604"/>
      <c r="M38" s="591"/>
      <c r="N38" s="762"/>
      <c r="O38" s="739"/>
      <c r="P38" s="371"/>
    </row>
    <row r="39" spans="1:16" ht="12.95" customHeight="1">
      <c r="F39" s="330"/>
      <c r="G39" s="356"/>
      <c r="N39" s="410"/>
    </row>
    <row r="40" spans="1:16" ht="12.95" customHeight="1">
      <c r="F40" s="330"/>
      <c r="G40" s="356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2.95" customHeight="1">
      <c r="F60" s="330"/>
      <c r="G60" s="356"/>
      <c r="N60" s="410"/>
    </row>
    <row r="61" spans="6:14" ht="12.95" customHeight="1">
      <c r="F61" s="330"/>
      <c r="G61" s="356"/>
      <c r="N61" s="410"/>
    </row>
    <row r="62" spans="6:14" ht="17.100000000000001" customHeight="1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56"/>
      <c r="N74" s="410"/>
    </row>
    <row r="75" spans="6:14" ht="14.25">
      <c r="F75" s="330"/>
      <c r="G75" s="356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 ht="14.25">
      <c r="F91" s="330"/>
      <c r="G91" s="330"/>
      <c r="N91" s="410"/>
    </row>
    <row r="92" spans="6:14" ht="14.25">
      <c r="F92" s="330"/>
      <c r="G92" s="330"/>
      <c r="N92" s="41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  <row r="97" spans="7:7">
      <c r="G97" s="330"/>
    </row>
    <row r="98" spans="7:7">
      <c r="G98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T96"/>
  <sheetViews>
    <sheetView zoomScaleNormal="100" workbookViewId="0">
      <selection activeCell="N34" sqref="N34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20" ht="13.5" thickBot="1"/>
    <row r="2" spans="1:20" s="403" customFormat="1" ht="20.100000000000001" customHeight="1" thickTop="1" thickBot="1">
      <c r="B2" s="906" t="s">
        <v>733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</row>
    <row r="3" spans="1:20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20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20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20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20" s="2" customFormat="1" ht="12.95" customHeight="1">
      <c r="A7" s="305"/>
      <c r="B7" s="6" t="s">
        <v>123</v>
      </c>
      <c r="C7" s="7" t="s">
        <v>124</v>
      </c>
      <c r="D7" s="7" t="s">
        <v>118</v>
      </c>
      <c r="E7" s="653" t="s">
        <v>785</v>
      </c>
      <c r="F7" s="5"/>
      <c r="G7" s="306"/>
      <c r="H7" s="5"/>
      <c r="I7" s="97"/>
      <c r="J7" s="97"/>
      <c r="K7" s="578"/>
      <c r="L7" s="605"/>
      <c r="M7" s="97"/>
      <c r="N7" s="763"/>
      <c r="O7" s="713"/>
      <c r="P7" s="718"/>
    </row>
    <row r="8" spans="1:20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:J8" si="0">SUM(I9:I12)</f>
        <v>1152540</v>
      </c>
      <c r="J8" s="537">
        <f t="shared" si="0"/>
        <v>1137040</v>
      </c>
      <c r="K8" s="537">
        <f>SUM(K9:K11)</f>
        <v>1134979</v>
      </c>
      <c r="L8" s="576">
        <f>SUM(L9:L12)</f>
        <v>1135433</v>
      </c>
      <c r="M8" s="245">
        <f>SUM(M9:M12)</f>
        <v>0</v>
      </c>
      <c r="N8" s="741">
        <f>SUM(N9:N12)</f>
        <v>1135433</v>
      </c>
      <c r="O8" s="714">
        <f>IF(J8=0,"",N8/J8*100)</f>
        <v>99.858668120734535</v>
      </c>
      <c r="P8" s="719">
        <f>IF(K8=0,"",N8/K8*100)</f>
        <v>100.0400007401018</v>
      </c>
    </row>
    <row r="9" spans="1:20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983060</v>
      </c>
      <c r="J9" s="538">
        <v>968560</v>
      </c>
      <c r="K9" s="538">
        <v>967498</v>
      </c>
      <c r="L9" s="606">
        <v>967050</v>
      </c>
      <c r="M9" s="247">
        <v>0</v>
      </c>
      <c r="N9" s="742">
        <f>SUM(L9:M9)</f>
        <v>967050</v>
      </c>
      <c r="O9" s="715">
        <f>IF(J9=0,"",N9/J9*100)</f>
        <v>99.844098455438996</v>
      </c>
      <c r="P9" s="720">
        <f t="shared" ref="P9:P35" si="1">IF(K9=0,"",N9/K9*100)</f>
        <v>99.953694994718333</v>
      </c>
    </row>
    <row r="10" spans="1:20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169480</v>
      </c>
      <c r="J10" s="538">
        <v>168480</v>
      </c>
      <c r="K10" s="538">
        <v>167481</v>
      </c>
      <c r="L10" s="606">
        <v>168383</v>
      </c>
      <c r="M10" s="247">
        <v>0</v>
      </c>
      <c r="N10" s="742">
        <f t="shared" ref="N10:N11" si="2">SUM(L10:M10)</f>
        <v>168383</v>
      </c>
      <c r="O10" s="715">
        <f t="shared" ref="O10:O35" si="3">IF(J10=0,"",N10/J10*100)</f>
        <v>99.942426400759729</v>
      </c>
      <c r="P10" s="720">
        <f t="shared" si="1"/>
        <v>100.53856855404493</v>
      </c>
    </row>
    <row r="11" spans="1:20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4">SUM(G11:H11)</f>
        <v>0</v>
      </c>
      <c r="J11" s="538">
        <f t="shared" si="4"/>
        <v>0</v>
      </c>
      <c r="K11" s="538">
        <v>0</v>
      </c>
      <c r="L11" s="577">
        <v>0</v>
      </c>
      <c r="M11" s="246">
        <v>0</v>
      </c>
      <c r="N11" s="742">
        <f t="shared" si="2"/>
        <v>0</v>
      </c>
      <c r="O11" s="715" t="str">
        <f t="shared" si="3"/>
        <v/>
      </c>
      <c r="P11" s="720" t="str">
        <f t="shared" si="1"/>
        <v/>
      </c>
      <c r="R11" s="62"/>
    </row>
    <row r="12" spans="1:20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06"/>
      <c r="M12" s="247"/>
      <c r="N12" s="742"/>
      <c r="O12" s="715" t="str">
        <f t="shared" si="3"/>
        <v/>
      </c>
      <c r="P12" s="720" t="str">
        <f t="shared" si="1"/>
        <v/>
      </c>
    </row>
    <row r="13" spans="1:20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5">I14</f>
        <v>105770</v>
      </c>
      <c r="J13" s="537">
        <f t="shared" si="5"/>
        <v>104770</v>
      </c>
      <c r="K13" s="537">
        <f>K14</f>
        <v>104765</v>
      </c>
      <c r="L13" s="576">
        <f>L14</f>
        <v>104675</v>
      </c>
      <c r="M13" s="245">
        <f>M14</f>
        <v>0</v>
      </c>
      <c r="N13" s="741">
        <f>N14</f>
        <v>104675</v>
      </c>
      <c r="O13" s="714">
        <f t="shared" si="3"/>
        <v>99.909325188508163</v>
      </c>
      <c r="P13" s="719">
        <f t="shared" si="1"/>
        <v>99.914093447239054</v>
      </c>
    </row>
    <row r="14" spans="1:20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105770</v>
      </c>
      <c r="J14" s="538">
        <v>104770</v>
      </c>
      <c r="K14" s="538">
        <v>104765</v>
      </c>
      <c r="L14" s="606">
        <v>104675</v>
      </c>
      <c r="M14" s="247">
        <v>0</v>
      </c>
      <c r="N14" s="742">
        <f>SUM(L14:M14)</f>
        <v>104675</v>
      </c>
      <c r="O14" s="715">
        <f t="shared" si="3"/>
        <v>99.909325188508163</v>
      </c>
      <c r="P14" s="720">
        <f t="shared" si="1"/>
        <v>99.914093447239054</v>
      </c>
    </row>
    <row r="15" spans="1:20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3"/>
        <v/>
      </c>
      <c r="P15" s="720" t="str">
        <f t="shared" si="1"/>
        <v/>
      </c>
      <c r="T15" s="63"/>
    </row>
    <row r="16" spans="1:20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6">SUM(I17:I26)</f>
        <v>232300</v>
      </c>
      <c r="J16" s="537">
        <f t="shared" ref="J16" si="7">SUM(J17:J26)</f>
        <v>232830</v>
      </c>
      <c r="K16" s="537">
        <f>SUM(K17:K26)</f>
        <v>244072</v>
      </c>
      <c r="L16" s="567">
        <f>SUM(L17:L26)</f>
        <v>232780</v>
      </c>
      <c r="M16" s="316">
        <f>SUM(M17:M26)</f>
        <v>0</v>
      </c>
      <c r="N16" s="732">
        <f>SUM(N17:N26)</f>
        <v>232780</v>
      </c>
      <c r="O16" s="714">
        <f t="shared" si="3"/>
        <v>99.978525104153249</v>
      </c>
      <c r="P16" s="719">
        <f t="shared" si="1"/>
        <v>95.373496345340712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800</v>
      </c>
      <c r="J17" s="538">
        <v>350</v>
      </c>
      <c r="K17" s="538">
        <v>3255</v>
      </c>
      <c r="L17" s="551">
        <v>347</v>
      </c>
      <c r="M17" s="386">
        <v>0</v>
      </c>
      <c r="N17" s="742">
        <f t="shared" ref="N17:N26" si="8">SUM(L17:M17)</f>
        <v>347</v>
      </c>
      <c r="O17" s="715">
        <f t="shared" si="3"/>
        <v>99.142857142857139</v>
      </c>
      <c r="P17" s="720">
        <f t="shared" si="1"/>
        <v>10.660522273425499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15000</v>
      </c>
      <c r="J18" s="538">
        <v>15450</v>
      </c>
      <c r="K18" s="538">
        <v>15560</v>
      </c>
      <c r="L18" s="551">
        <v>15446</v>
      </c>
      <c r="M18" s="386">
        <v>0</v>
      </c>
      <c r="N18" s="742">
        <f t="shared" si="8"/>
        <v>15446</v>
      </c>
      <c r="O18" s="715">
        <f t="shared" si="3"/>
        <v>99.974110032362461</v>
      </c>
      <c r="P18" s="720">
        <f t="shared" si="1"/>
        <v>99.267352185089976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76000</v>
      </c>
      <c r="J19" s="538">
        <v>72890</v>
      </c>
      <c r="K19" s="538">
        <v>83680</v>
      </c>
      <c r="L19" s="551">
        <v>72884</v>
      </c>
      <c r="M19" s="386">
        <v>0</v>
      </c>
      <c r="N19" s="742">
        <f t="shared" si="8"/>
        <v>72884</v>
      </c>
      <c r="O19" s="715">
        <f t="shared" si="3"/>
        <v>99.991768418164355</v>
      </c>
      <c r="P19" s="720">
        <f t="shared" si="1"/>
        <v>87.098470363288712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32000</v>
      </c>
      <c r="J20" s="538">
        <v>30820</v>
      </c>
      <c r="K20" s="538">
        <v>33657</v>
      </c>
      <c r="L20" s="552">
        <v>30811</v>
      </c>
      <c r="M20" s="388">
        <v>0</v>
      </c>
      <c r="N20" s="742">
        <f t="shared" si="8"/>
        <v>30811</v>
      </c>
      <c r="O20" s="715">
        <f t="shared" si="3"/>
        <v>99.970798182998053</v>
      </c>
      <c r="P20" s="720">
        <f t="shared" si="1"/>
        <v>91.544106723712744</v>
      </c>
      <c r="Q20" s="55"/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9000</v>
      </c>
      <c r="J21" s="538">
        <v>8140</v>
      </c>
      <c r="K21" s="538">
        <v>11200</v>
      </c>
      <c r="L21" s="551">
        <v>8136</v>
      </c>
      <c r="M21" s="386">
        <v>0</v>
      </c>
      <c r="N21" s="742">
        <f t="shared" si="8"/>
        <v>8136</v>
      </c>
      <c r="O21" s="715">
        <f t="shared" si="3"/>
        <v>99.95085995085995</v>
      </c>
      <c r="P21" s="720">
        <f t="shared" si="1"/>
        <v>72.642857142857139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9">SUM(G22:H22)</f>
        <v>0</v>
      </c>
      <c r="J22" s="538">
        <f t="shared" si="9"/>
        <v>0</v>
      </c>
      <c r="K22" s="538">
        <v>0</v>
      </c>
      <c r="L22" s="552">
        <v>0</v>
      </c>
      <c r="M22" s="388">
        <v>0</v>
      </c>
      <c r="N22" s="742">
        <f t="shared" si="8"/>
        <v>0</v>
      </c>
      <c r="O22" s="715" t="str">
        <f t="shared" si="3"/>
        <v/>
      </c>
      <c r="P22" s="720" t="str">
        <f t="shared" si="1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7000</v>
      </c>
      <c r="J23" s="538">
        <v>5870</v>
      </c>
      <c r="K23" s="538">
        <v>9213</v>
      </c>
      <c r="L23" s="552">
        <v>5867</v>
      </c>
      <c r="M23" s="388">
        <v>0</v>
      </c>
      <c r="N23" s="742">
        <f t="shared" si="8"/>
        <v>5867</v>
      </c>
      <c r="O23" s="715">
        <f t="shared" si="3"/>
        <v>99.948892674616701</v>
      </c>
      <c r="P23" s="720">
        <f t="shared" si="1"/>
        <v>63.681754043199824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3000</v>
      </c>
      <c r="J24" s="538">
        <v>2090</v>
      </c>
      <c r="K24" s="538">
        <v>1853</v>
      </c>
      <c r="L24" s="552">
        <v>2082</v>
      </c>
      <c r="M24" s="388">
        <v>0</v>
      </c>
      <c r="N24" s="742">
        <f t="shared" si="8"/>
        <v>2082</v>
      </c>
      <c r="O24" s="715">
        <f t="shared" si="3"/>
        <v>99.617224880382764</v>
      </c>
      <c r="P24" s="720">
        <f t="shared" si="1"/>
        <v>112.35833783054505</v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89500</v>
      </c>
      <c r="J25" s="538">
        <v>97220</v>
      </c>
      <c r="K25" s="538">
        <v>85654</v>
      </c>
      <c r="L25" s="552">
        <v>97207</v>
      </c>
      <c r="M25" s="388">
        <v>0</v>
      </c>
      <c r="N25" s="742">
        <f t="shared" si="8"/>
        <v>97207</v>
      </c>
      <c r="O25" s="715">
        <f t="shared" si="3"/>
        <v>99.986628265788937</v>
      </c>
      <c r="P25" s="720">
        <f t="shared" si="1"/>
        <v>113.48798655054055</v>
      </c>
      <c r="Q25" s="77"/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9"/>
        <v>0</v>
      </c>
      <c r="J26" s="538">
        <f t="shared" si="9"/>
        <v>0</v>
      </c>
      <c r="K26" s="538">
        <v>0</v>
      </c>
      <c r="L26" s="552">
        <v>0</v>
      </c>
      <c r="M26" s="388">
        <v>0</v>
      </c>
      <c r="N26" s="742">
        <f t="shared" si="8"/>
        <v>0</v>
      </c>
      <c r="O26" s="715" t="str">
        <f t="shared" si="3"/>
        <v/>
      </c>
      <c r="P26" s="720" t="str">
        <f t="shared" si="1"/>
        <v/>
      </c>
    </row>
    <row r="27" spans="1:17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608"/>
      <c r="M27" s="319"/>
      <c r="N27" s="743"/>
      <c r="O27" s="715" t="str">
        <f t="shared" si="3"/>
        <v/>
      </c>
      <c r="P27" s="720" t="str">
        <f t="shared" si="1"/>
        <v/>
      </c>
    </row>
    <row r="28" spans="1:17" ht="12.95" customHeight="1">
      <c r="B28" s="10"/>
      <c r="C28" s="11"/>
      <c r="D28" s="11"/>
      <c r="E28" s="309"/>
      <c r="F28" s="328"/>
      <c r="G28" s="354"/>
      <c r="H28" s="11"/>
      <c r="I28" s="537"/>
      <c r="J28" s="537"/>
      <c r="K28" s="537"/>
      <c r="L28" s="574"/>
      <c r="M28" s="318"/>
      <c r="N28" s="732"/>
      <c r="O28" s="715" t="str">
        <f t="shared" si="3"/>
        <v/>
      </c>
      <c r="P28" s="720" t="str">
        <f t="shared" si="1"/>
        <v/>
      </c>
    </row>
    <row r="29" spans="1:17" s="1" customFormat="1" ht="12.95" customHeight="1">
      <c r="A29" s="304"/>
      <c r="B29" s="12"/>
      <c r="C29" s="8"/>
      <c r="D29" s="8"/>
      <c r="E29" s="8"/>
      <c r="F29" s="327">
        <v>821000</v>
      </c>
      <c r="G29" s="353"/>
      <c r="H29" s="8" t="s">
        <v>89</v>
      </c>
      <c r="I29" s="537">
        <f t="shared" ref="I29" si="10">I30+I31</f>
        <v>5000</v>
      </c>
      <c r="J29" s="537">
        <f t="shared" ref="J29" si="11">J30+J31</f>
        <v>5000</v>
      </c>
      <c r="K29" s="537">
        <f>SUM(K30:K31)</f>
        <v>24303</v>
      </c>
      <c r="L29" s="574">
        <f>L30+L31</f>
        <v>4070</v>
      </c>
      <c r="M29" s="318">
        <f>M30+M31</f>
        <v>0</v>
      </c>
      <c r="N29" s="732">
        <f>N30+N31</f>
        <v>4070</v>
      </c>
      <c r="O29" s="714">
        <f t="shared" si="3"/>
        <v>81.399999999999991</v>
      </c>
      <c r="P29" s="719">
        <f t="shared" si="1"/>
        <v>16.746903674443484</v>
      </c>
    </row>
    <row r="30" spans="1:17" ht="12.95" customHeight="1">
      <c r="B30" s="10"/>
      <c r="C30" s="11"/>
      <c r="D30" s="11"/>
      <c r="E30" s="309"/>
      <c r="F30" s="328">
        <v>821200</v>
      </c>
      <c r="G30" s="354"/>
      <c r="H30" s="11" t="s">
        <v>90</v>
      </c>
      <c r="I30" s="538">
        <f t="shared" ref="I30:J30" si="12">SUM(G30:H30)</f>
        <v>0</v>
      </c>
      <c r="J30" s="538">
        <f t="shared" si="12"/>
        <v>0</v>
      </c>
      <c r="K30" s="538">
        <v>0</v>
      </c>
      <c r="L30" s="608">
        <v>0</v>
      </c>
      <c r="M30" s="319">
        <v>0</v>
      </c>
      <c r="N30" s="742">
        <f t="shared" ref="N30:N31" si="13">SUM(L30:M30)</f>
        <v>0</v>
      </c>
      <c r="O30" s="715" t="str">
        <f t="shared" si="3"/>
        <v/>
      </c>
      <c r="P30" s="720" t="str">
        <f t="shared" si="1"/>
        <v/>
      </c>
    </row>
    <row r="31" spans="1:17" ht="12.95" customHeight="1">
      <c r="B31" s="10"/>
      <c r="C31" s="11"/>
      <c r="D31" s="11"/>
      <c r="E31" s="309"/>
      <c r="F31" s="328">
        <v>821300</v>
      </c>
      <c r="G31" s="354"/>
      <c r="H31" s="11" t="s">
        <v>91</v>
      </c>
      <c r="I31" s="538">
        <v>5000</v>
      </c>
      <c r="J31" s="538">
        <v>5000</v>
      </c>
      <c r="K31" s="538">
        <v>24303</v>
      </c>
      <c r="L31" s="608">
        <v>4070</v>
      </c>
      <c r="M31" s="319">
        <v>0</v>
      </c>
      <c r="N31" s="742">
        <f t="shared" si="13"/>
        <v>4070</v>
      </c>
      <c r="O31" s="715">
        <f t="shared" si="3"/>
        <v>81.399999999999991</v>
      </c>
      <c r="P31" s="720">
        <f t="shared" si="1"/>
        <v>16.746903674443484</v>
      </c>
    </row>
    <row r="32" spans="1:17" ht="12.95" customHeight="1">
      <c r="B32" s="10"/>
      <c r="C32" s="11"/>
      <c r="D32" s="11"/>
      <c r="E32" s="309"/>
      <c r="F32" s="328"/>
      <c r="G32" s="354"/>
      <c r="H32" s="11"/>
      <c r="I32" s="538"/>
      <c r="J32" s="538"/>
      <c r="K32" s="538"/>
      <c r="L32" s="607"/>
      <c r="M32" s="314"/>
      <c r="N32" s="743"/>
      <c r="O32" s="715" t="str">
        <f t="shared" si="3"/>
        <v/>
      </c>
      <c r="P32" s="720" t="str">
        <f t="shared" si="1"/>
        <v/>
      </c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92</v>
      </c>
      <c r="I33" s="539">
        <v>42</v>
      </c>
      <c r="J33" s="539"/>
      <c r="K33" s="539">
        <v>42</v>
      </c>
      <c r="L33" s="570">
        <v>41</v>
      </c>
      <c r="M33" s="320"/>
      <c r="N33" s="744">
        <v>41</v>
      </c>
      <c r="O33" s="715"/>
      <c r="P33" s="720"/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110</v>
      </c>
      <c r="I34" s="561">
        <f>I8+I13+I16+I29</f>
        <v>1495610</v>
      </c>
      <c r="J34" s="311">
        <f>J8+J13+J16+J29</f>
        <v>1479640</v>
      </c>
      <c r="K34" s="561">
        <f t="shared" ref="K34" si="14">K8+K13+K16+K29</f>
        <v>1508119</v>
      </c>
      <c r="L34" s="568">
        <f>L8+L13+L16+L29</f>
        <v>1476958</v>
      </c>
      <c r="M34" s="311">
        <f>M8+M13+M16+M29</f>
        <v>0</v>
      </c>
      <c r="N34" s="732">
        <f>N8+N13+N16+N29</f>
        <v>1476958</v>
      </c>
      <c r="O34" s="714">
        <f>IF(J34=0,"",N34/J34*100)</f>
        <v>99.818739693438943</v>
      </c>
      <c r="P34" s="719">
        <f t="shared" si="1"/>
        <v>97.933783739877285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93</v>
      </c>
      <c r="I35" s="561">
        <f>I34</f>
        <v>1495610</v>
      </c>
      <c r="J35" s="311">
        <f>J34</f>
        <v>1479640</v>
      </c>
      <c r="K35" s="561">
        <f t="shared" ref="K35" si="15">K34</f>
        <v>1508119</v>
      </c>
      <c r="L35" s="568">
        <f>L34</f>
        <v>1476958</v>
      </c>
      <c r="M35" s="311">
        <f>M34</f>
        <v>0</v>
      </c>
      <c r="N35" s="732">
        <f>N34</f>
        <v>1476958</v>
      </c>
      <c r="O35" s="714">
        <f t="shared" si="3"/>
        <v>99.818739693438943</v>
      </c>
      <c r="P35" s="719">
        <f t="shared" si="1"/>
        <v>97.933783739877285</v>
      </c>
    </row>
    <row r="36" spans="1:16" s="1" customFormat="1" ht="12.95" customHeight="1">
      <c r="A36" s="304"/>
      <c r="B36" s="12"/>
      <c r="C36" s="8"/>
      <c r="D36" s="8"/>
      <c r="E36" s="8"/>
      <c r="F36" s="327"/>
      <c r="G36" s="353"/>
      <c r="H36" s="8" t="s">
        <v>94</v>
      </c>
      <c r="I36" s="30"/>
      <c r="J36" s="30"/>
      <c r="K36" s="572"/>
      <c r="L36" s="566"/>
      <c r="M36" s="302"/>
      <c r="N36" s="743"/>
      <c r="O36" s="717"/>
      <c r="P36" s="722"/>
    </row>
    <row r="37" spans="1:16" ht="12.95" customHeight="1" thickBot="1">
      <c r="B37" s="16"/>
      <c r="C37" s="17"/>
      <c r="D37" s="17"/>
      <c r="E37" s="17"/>
      <c r="F37" s="329"/>
      <c r="G37" s="355"/>
      <c r="H37" s="17"/>
      <c r="I37" s="32"/>
      <c r="J37" s="32"/>
      <c r="K37" s="562"/>
      <c r="L37" s="571"/>
      <c r="M37" s="32"/>
      <c r="N37" s="745"/>
      <c r="O37" s="739"/>
      <c r="P37" s="371"/>
    </row>
    <row r="38" spans="1:16" ht="12.95" customHeight="1"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B44" s="55"/>
      <c r="F44" s="330"/>
      <c r="G44" s="356"/>
      <c r="N44" s="410"/>
    </row>
    <row r="45" spans="1:16" ht="12.95" customHeight="1">
      <c r="B45" s="55"/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R96"/>
  <sheetViews>
    <sheetView zoomScaleNormal="100" workbookViewId="0">
      <selection activeCell="N34" sqref="N34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713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609" t="s">
        <v>580</v>
      </c>
      <c r="M5" s="610" t="s">
        <v>581</v>
      </c>
      <c r="N5" s="76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123</v>
      </c>
      <c r="C7" s="7" t="s">
        <v>125</v>
      </c>
      <c r="D7" s="7" t="s">
        <v>81</v>
      </c>
      <c r="E7" s="653" t="s">
        <v>785</v>
      </c>
      <c r="F7" s="5"/>
      <c r="G7" s="306"/>
      <c r="H7" s="5"/>
      <c r="I7" s="97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33100</v>
      </c>
      <c r="J8" s="537">
        <f t="shared" ref="J8" si="1">SUM(J9:J12)</f>
        <v>33100</v>
      </c>
      <c r="K8" s="537">
        <f>SUM(K9:K11)</f>
        <v>32791</v>
      </c>
      <c r="L8" s="564">
        <f>SUM(L9:L12)</f>
        <v>32916</v>
      </c>
      <c r="M8" s="233">
        <f>SUM(M9:M12)</f>
        <v>0</v>
      </c>
      <c r="N8" s="741">
        <f>SUM(N9:N12)</f>
        <v>32916</v>
      </c>
      <c r="O8" s="714">
        <f>IF(J8=0,"",N8/J8*100)</f>
        <v>99.444108761329304</v>
      </c>
      <c r="P8" s="719">
        <f>IF(K8=0,"",N8/K8*100)</f>
        <v>100.38120215912902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29500</v>
      </c>
      <c r="J9" s="538">
        <v>29500</v>
      </c>
      <c r="K9" s="538">
        <v>28963</v>
      </c>
      <c r="L9" s="611">
        <v>29457</v>
      </c>
      <c r="M9" s="235">
        <v>0</v>
      </c>
      <c r="N9" s="742">
        <f>SUM(L9:M9)</f>
        <v>29457</v>
      </c>
      <c r="O9" s="715">
        <f>IF(J9=0,"",N9/J9*100)</f>
        <v>99.854237288135593</v>
      </c>
      <c r="P9" s="720">
        <f t="shared" ref="P9:P33" si="2">IF(K9=0,"",N9/K9*100)</f>
        <v>101.70562441736008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3600</v>
      </c>
      <c r="J10" s="538">
        <v>3600</v>
      </c>
      <c r="K10" s="538">
        <v>3828</v>
      </c>
      <c r="L10" s="611">
        <v>3459</v>
      </c>
      <c r="M10" s="235">
        <v>0</v>
      </c>
      <c r="N10" s="742">
        <f t="shared" ref="N10:N11" si="3">SUM(L10:M10)</f>
        <v>3459</v>
      </c>
      <c r="O10" s="715">
        <f t="shared" ref="O10:P35" si="4">IF(J10=0,"",N10/J10*100)</f>
        <v>96.083333333333329</v>
      </c>
      <c r="P10" s="720">
        <f t="shared" si="2"/>
        <v>90.360501567398117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3130</v>
      </c>
      <c r="J13" s="537">
        <f t="shared" si="6"/>
        <v>3130</v>
      </c>
      <c r="K13" s="537">
        <f>K14</f>
        <v>3060</v>
      </c>
      <c r="L13" s="564">
        <f>L14</f>
        <v>3105</v>
      </c>
      <c r="M13" s="233">
        <f>M14</f>
        <v>0</v>
      </c>
      <c r="N13" s="741">
        <f>N14</f>
        <v>3105</v>
      </c>
      <c r="O13" s="714">
        <f t="shared" si="4"/>
        <v>99.201277955271564</v>
      </c>
      <c r="P13" s="719">
        <f t="shared" si="2"/>
        <v>101.47058823529412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3130</v>
      </c>
      <c r="J14" s="538">
        <v>3130</v>
      </c>
      <c r="K14" s="538">
        <v>3060</v>
      </c>
      <c r="L14" s="611">
        <v>3105</v>
      </c>
      <c r="M14" s="235">
        <v>0</v>
      </c>
      <c r="N14" s="742">
        <f>SUM(L14:M14)</f>
        <v>3105</v>
      </c>
      <c r="O14" s="715">
        <f t="shared" si="4"/>
        <v>99.201277955271564</v>
      </c>
      <c r="P14" s="720">
        <f t="shared" si="2"/>
        <v>101.47058823529412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1600</v>
      </c>
      <c r="J16" s="537">
        <f t="shared" ref="J16" si="8">SUM(J17:J26)</f>
        <v>1600</v>
      </c>
      <c r="K16" s="537">
        <f>SUM(K17:K26)</f>
        <v>1917</v>
      </c>
      <c r="L16" s="567">
        <f>SUM(L17:L26)</f>
        <v>1012</v>
      </c>
      <c r="M16" s="316">
        <f>SUM(M17:M26)</f>
        <v>0</v>
      </c>
      <c r="N16" s="732">
        <f>SUM(N17:N26)</f>
        <v>1012</v>
      </c>
      <c r="O16" s="714">
        <f t="shared" si="4"/>
        <v>63.249999999999993</v>
      </c>
      <c r="P16" s="719">
        <f t="shared" si="2"/>
        <v>52.790818988002087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</v>
      </c>
      <c r="J17" s="538">
        <v>100</v>
      </c>
      <c r="K17" s="538">
        <v>0</v>
      </c>
      <c r="L17" s="551">
        <v>0</v>
      </c>
      <c r="M17" s="386">
        <v>0</v>
      </c>
      <c r="N17" s="742">
        <f t="shared" ref="N17:N26" si="9">SUM(L17:M17)</f>
        <v>0</v>
      </c>
      <c r="O17" s="715">
        <f t="shared" si="4"/>
        <v>0</v>
      </c>
      <c r="P17" s="720" t="str">
        <f t="shared" si="2"/>
        <v/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1">
        <v>0</v>
      </c>
      <c r="M18" s="386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800</v>
      </c>
      <c r="J19" s="538">
        <v>800</v>
      </c>
      <c r="K19" s="538">
        <v>600</v>
      </c>
      <c r="L19" s="551">
        <v>633</v>
      </c>
      <c r="M19" s="386">
        <v>0</v>
      </c>
      <c r="N19" s="742">
        <f t="shared" si="9"/>
        <v>633</v>
      </c>
      <c r="O19" s="715">
        <f t="shared" si="4"/>
        <v>79.125</v>
      </c>
      <c r="P19" s="720">
        <f t="shared" si="2"/>
        <v>105.5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500</v>
      </c>
      <c r="J20" s="538">
        <v>500</v>
      </c>
      <c r="K20" s="538">
        <v>318</v>
      </c>
      <c r="L20" s="551">
        <v>285</v>
      </c>
      <c r="M20" s="386">
        <v>0</v>
      </c>
      <c r="N20" s="742">
        <f t="shared" si="9"/>
        <v>285</v>
      </c>
      <c r="O20" s="715">
        <f t="shared" si="4"/>
        <v>56.999999999999993</v>
      </c>
      <c r="P20" s="720">
        <f t="shared" si="2"/>
        <v>89.622641509433961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1">
        <v>0</v>
      </c>
      <c r="M21" s="386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f t="shared" si="10"/>
        <v>0</v>
      </c>
      <c r="J23" s="538">
        <f t="shared" si="10"/>
        <v>0</v>
      </c>
      <c r="K23" s="538">
        <v>0</v>
      </c>
      <c r="L23" s="551">
        <v>0</v>
      </c>
      <c r="M23" s="386">
        <v>0</v>
      </c>
      <c r="N23" s="742">
        <f t="shared" si="9"/>
        <v>0</v>
      </c>
      <c r="O23" s="715" t="str">
        <f t="shared" si="4"/>
        <v/>
      </c>
      <c r="P23" s="720" t="str">
        <f t="shared" si="2"/>
        <v/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1">
        <v>0</v>
      </c>
      <c r="M24" s="386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200</v>
      </c>
      <c r="J25" s="538">
        <v>200</v>
      </c>
      <c r="K25" s="538">
        <v>999</v>
      </c>
      <c r="L25" s="551">
        <v>94</v>
      </c>
      <c r="M25" s="386">
        <v>0</v>
      </c>
      <c r="N25" s="742">
        <f t="shared" si="9"/>
        <v>94</v>
      </c>
      <c r="O25" s="715">
        <f t="shared" si="4"/>
        <v>47</v>
      </c>
      <c r="P25" s="720">
        <f t="shared" si="2"/>
        <v>9.4094094094094096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1">
        <v>0</v>
      </c>
      <c r="M26" s="386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551"/>
      <c r="M27" s="386"/>
      <c r="N27" s="765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>SUM(I29:I30)</f>
        <v>0</v>
      </c>
      <c r="J28" s="537">
        <f>SUM(J29:J30)</f>
        <v>0</v>
      </c>
      <c r="K28" s="537">
        <f>SUM(K29:K30)</f>
        <v>0</v>
      </c>
      <c r="L28" s="568">
        <f t="shared" ref="L28:M28" si="11">SUM(L29:L30)</f>
        <v>0</v>
      </c>
      <c r="M28" s="311">
        <f t="shared" si="11"/>
        <v>0</v>
      </c>
      <c r="N28" s="766">
        <f>SUM(N29:N30)</f>
        <v>0</v>
      </c>
      <c r="O28" s="714" t="str">
        <f t="shared" si="4"/>
        <v/>
      </c>
      <c r="P28" s="719" t="str">
        <f t="shared" si="2"/>
        <v/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2">SUM(G29:H29)</f>
        <v>0</v>
      </c>
      <c r="J29" s="538">
        <f t="shared" si="12"/>
        <v>0</v>
      </c>
      <c r="K29" s="538">
        <v>0</v>
      </c>
      <c r="L29" s="551">
        <v>0</v>
      </c>
      <c r="M29" s="386">
        <v>0</v>
      </c>
      <c r="N29" s="742">
        <f t="shared" ref="N29:N30" si="13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0</v>
      </c>
      <c r="J30" s="538">
        <v>0</v>
      </c>
      <c r="K30" s="538">
        <v>0</v>
      </c>
      <c r="L30" s="552">
        <v>0</v>
      </c>
      <c r="M30" s="388">
        <v>0</v>
      </c>
      <c r="N30" s="742">
        <f t="shared" si="13"/>
        <v>0</v>
      </c>
      <c r="O30" s="715" t="str">
        <f t="shared" si="4"/>
        <v/>
      </c>
      <c r="P30" s="720" t="str">
        <f t="shared" si="2"/>
        <v/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1</v>
      </c>
      <c r="J32" s="537"/>
      <c r="K32" s="537">
        <v>1</v>
      </c>
      <c r="L32" s="574">
        <v>1</v>
      </c>
      <c r="M32" s="318"/>
      <c r="N32" s="732">
        <v>1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37830</v>
      </c>
      <c r="J33" s="311">
        <f>J8+J13+J16+J28</f>
        <v>37830</v>
      </c>
      <c r="K33" s="561">
        <f t="shared" ref="K33" si="14">K8+K13+K16+K28</f>
        <v>37768</v>
      </c>
      <c r="L33" s="568">
        <f>L8+L13+L16+L28</f>
        <v>37033</v>
      </c>
      <c r="M33" s="311">
        <f>M8+M13+M16+M28</f>
        <v>0</v>
      </c>
      <c r="N33" s="732">
        <f>N8+N13+N16+N28</f>
        <v>37033</v>
      </c>
      <c r="O33" s="714">
        <f t="shared" si="4"/>
        <v>97.893206449907481</v>
      </c>
      <c r="P33" s="719">
        <f t="shared" si="2"/>
        <v>98.053908070324084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4"/>
      <c r="P34" s="719"/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F40" s="330"/>
      <c r="G40" s="356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714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123</v>
      </c>
      <c r="C7" s="7" t="s">
        <v>125</v>
      </c>
      <c r="D7" s="7" t="s">
        <v>113</v>
      </c>
      <c r="E7" s="653" t="s">
        <v>785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39720</v>
      </c>
      <c r="J8" s="537">
        <f t="shared" ref="J8" si="1">SUM(J9:J12)</f>
        <v>39720</v>
      </c>
      <c r="K8" s="537">
        <f>SUM(K9:K11)</f>
        <v>38424</v>
      </c>
      <c r="L8" s="564">
        <f>SUM(L9:L12)</f>
        <v>39360</v>
      </c>
      <c r="M8" s="233">
        <f>SUM(M9:M12)</f>
        <v>0</v>
      </c>
      <c r="N8" s="741">
        <f>SUM(N9:N12)</f>
        <v>39360</v>
      </c>
      <c r="O8" s="714">
        <f>IF(J8=0,"",N8/J8*100)</f>
        <v>99.09365558912387</v>
      </c>
      <c r="P8" s="719">
        <f>IF(K8=0,"",N8/K8*100)</f>
        <v>102.43597751405372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31870</v>
      </c>
      <c r="J9" s="538">
        <v>31870</v>
      </c>
      <c r="K9" s="538">
        <v>31244</v>
      </c>
      <c r="L9" s="611">
        <v>31765</v>
      </c>
      <c r="M9" s="235">
        <v>0</v>
      </c>
      <c r="N9" s="742">
        <f>SUM(L9:M9)</f>
        <v>31765</v>
      </c>
      <c r="O9" s="715">
        <f>IF(J9=0,"",N9/J9*100)</f>
        <v>99.670536554753681</v>
      </c>
      <c r="P9" s="720">
        <f t="shared" ref="P9:P35" si="2">IF(K9=0,"",N9/K9*100)</f>
        <v>101.66752016387146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7850</v>
      </c>
      <c r="J10" s="538">
        <v>7850</v>
      </c>
      <c r="K10" s="538">
        <v>7180</v>
      </c>
      <c r="L10" s="611">
        <v>7595</v>
      </c>
      <c r="M10" s="235">
        <v>0</v>
      </c>
      <c r="N10" s="742">
        <f t="shared" ref="N10:N11" si="3">SUM(L10:M10)</f>
        <v>7595</v>
      </c>
      <c r="O10" s="715">
        <f t="shared" ref="O10:O33" si="4">IF(J10=0,"",N10/J10*100)</f>
        <v>96.751592356687894</v>
      </c>
      <c r="P10" s="720">
        <f t="shared" si="2"/>
        <v>105.77994428969359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378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3420</v>
      </c>
      <c r="J13" s="537">
        <f t="shared" si="6"/>
        <v>3420</v>
      </c>
      <c r="K13" s="537">
        <f>K14</f>
        <v>3316</v>
      </c>
      <c r="L13" s="564">
        <f>L14</f>
        <v>3358</v>
      </c>
      <c r="M13" s="233">
        <f>M14</f>
        <v>0</v>
      </c>
      <c r="N13" s="741">
        <f>N14</f>
        <v>3358</v>
      </c>
      <c r="O13" s="714">
        <f t="shared" si="4"/>
        <v>98.187134502923982</v>
      </c>
      <c r="P13" s="719">
        <f t="shared" si="2"/>
        <v>101.26658624849216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3420</v>
      </c>
      <c r="J14" s="538">
        <v>3420</v>
      </c>
      <c r="K14" s="538">
        <v>3316</v>
      </c>
      <c r="L14" s="611">
        <v>3358</v>
      </c>
      <c r="M14" s="235">
        <v>0</v>
      </c>
      <c r="N14" s="742">
        <f>SUM(L14:M14)</f>
        <v>3358</v>
      </c>
      <c r="O14" s="715">
        <f t="shared" si="4"/>
        <v>98.187134502923982</v>
      </c>
      <c r="P14" s="720">
        <f t="shared" si="2"/>
        <v>101.26658624849216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2360</v>
      </c>
      <c r="J16" s="537">
        <f t="shared" ref="J16" si="8">SUM(J17:J26)</f>
        <v>2360</v>
      </c>
      <c r="K16" s="537">
        <f>SUM(K17:K26)</f>
        <v>1599</v>
      </c>
      <c r="L16" s="567">
        <f>SUM(L17:L26)</f>
        <v>1533</v>
      </c>
      <c r="M16" s="316">
        <f>SUM(M17:M26)</f>
        <v>0</v>
      </c>
      <c r="N16" s="732">
        <f>SUM(N17:N26)</f>
        <v>1533</v>
      </c>
      <c r="O16" s="714">
        <f t="shared" si="4"/>
        <v>64.957627118644069</v>
      </c>
      <c r="P16" s="719">
        <f t="shared" si="2"/>
        <v>95.872420262664164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</v>
      </c>
      <c r="J17" s="538">
        <v>100</v>
      </c>
      <c r="K17" s="538">
        <v>25</v>
      </c>
      <c r="L17" s="551">
        <v>12</v>
      </c>
      <c r="M17" s="386">
        <v>0</v>
      </c>
      <c r="N17" s="742">
        <f t="shared" ref="N17:N26" si="9">SUM(L17:M17)</f>
        <v>12</v>
      </c>
      <c r="O17" s="715">
        <f t="shared" si="4"/>
        <v>12</v>
      </c>
      <c r="P17" s="720">
        <f t="shared" si="2"/>
        <v>48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1">
        <v>0</v>
      </c>
      <c r="M18" s="386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800</v>
      </c>
      <c r="J19" s="538">
        <v>800</v>
      </c>
      <c r="K19" s="538">
        <v>617</v>
      </c>
      <c r="L19" s="551">
        <v>621</v>
      </c>
      <c r="M19" s="386">
        <v>0</v>
      </c>
      <c r="N19" s="742">
        <f t="shared" si="9"/>
        <v>621</v>
      </c>
      <c r="O19" s="715">
        <f t="shared" si="4"/>
        <v>77.625</v>
      </c>
      <c r="P19" s="720">
        <f t="shared" si="2"/>
        <v>100.64829821717991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500</v>
      </c>
      <c r="J20" s="538">
        <v>500</v>
      </c>
      <c r="K20" s="538">
        <v>424</v>
      </c>
      <c r="L20" s="551">
        <v>471</v>
      </c>
      <c r="M20" s="386">
        <v>0</v>
      </c>
      <c r="N20" s="742">
        <f t="shared" si="9"/>
        <v>471</v>
      </c>
      <c r="O20" s="715">
        <f t="shared" si="4"/>
        <v>94.199999999999989</v>
      </c>
      <c r="P20" s="720">
        <f t="shared" si="2"/>
        <v>111.08490566037736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1">
        <v>0</v>
      </c>
      <c r="M21" s="386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500</v>
      </c>
      <c r="J23" s="538">
        <v>500</v>
      </c>
      <c r="K23" s="538">
        <v>100</v>
      </c>
      <c r="L23" s="551">
        <v>174</v>
      </c>
      <c r="M23" s="386">
        <v>0</v>
      </c>
      <c r="N23" s="742">
        <f t="shared" si="9"/>
        <v>174</v>
      </c>
      <c r="O23" s="715">
        <f t="shared" si="4"/>
        <v>34.799999999999997</v>
      </c>
      <c r="P23" s="720">
        <f t="shared" si="2"/>
        <v>174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1">
        <v>0</v>
      </c>
      <c r="M24" s="386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460</v>
      </c>
      <c r="J25" s="538">
        <v>460</v>
      </c>
      <c r="K25" s="538">
        <v>433</v>
      </c>
      <c r="L25" s="552">
        <v>255</v>
      </c>
      <c r="M25" s="388">
        <v>0</v>
      </c>
      <c r="N25" s="742">
        <f t="shared" si="9"/>
        <v>255</v>
      </c>
      <c r="O25" s="715">
        <f t="shared" si="4"/>
        <v>55.434782608695656</v>
      </c>
      <c r="P25" s="720">
        <f t="shared" si="2"/>
        <v>58.891454965357973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378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1">
        <v>0</v>
      </c>
      <c r="M26" s="386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607"/>
      <c r="M27" s="314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500</v>
      </c>
      <c r="J28" s="537">
        <f t="shared" ref="J28" si="12">SUM(J29:J30)</f>
        <v>500</v>
      </c>
      <c r="K28" s="537">
        <f>SUM(K29:K30)</f>
        <v>992</v>
      </c>
      <c r="L28" s="568">
        <f>SUM(L29:L30)</f>
        <v>0</v>
      </c>
      <c r="M28" s="311">
        <f>SUM(M29:M30)</f>
        <v>0</v>
      </c>
      <c r="N28" s="732">
        <f>SUM(N29:N30)</f>
        <v>0</v>
      </c>
      <c r="O28" s="714">
        <f t="shared" si="4"/>
        <v>0</v>
      </c>
      <c r="P28" s="719">
        <f t="shared" si="2"/>
        <v>0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607">
        <v>0</v>
      </c>
      <c r="M29" s="314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500</v>
      </c>
      <c r="J30" s="538">
        <v>500</v>
      </c>
      <c r="K30" s="538">
        <v>992</v>
      </c>
      <c r="L30" s="607">
        <v>0</v>
      </c>
      <c r="M30" s="314">
        <v>0</v>
      </c>
      <c r="N30" s="742">
        <f t="shared" si="14"/>
        <v>0</v>
      </c>
      <c r="O30" s="715">
        <f t="shared" si="4"/>
        <v>0</v>
      </c>
      <c r="P30" s="720">
        <f t="shared" si="2"/>
        <v>0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2</v>
      </c>
      <c r="J32" s="537"/>
      <c r="K32" s="537">
        <v>2</v>
      </c>
      <c r="L32" s="574">
        <v>2</v>
      </c>
      <c r="M32" s="318"/>
      <c r="N32" s="732">
        <v>2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46000</v>
      </c>
      <c r="J33" s="311">
        <f>J8+J13+J16+J28</f>
        <v>46000</v>
      </c>
      <c r="K33" s="561">
        <f t="shared" ref="K33" si="15">K8+K13+K16+K28</f>
        <v>44331</v>
      </c>
      <c r="L33" s="568">
        <f>L8+L13+L16+L28</f>
        <v>44251</v>
      </c>
      <c r="M33" s="311">
        <f>M8+M13+M16+M28</f>
        <v>0</v>
      </c>
      <c r="N33" s="732">
        <f>N8+N13+N16+N28</f>
        <v>44251</v>
      </c>
      <c r="O33" s="714">
        <f t="shared" si="4"/>
        <v>96.19782608695651</v>
      </c>
      <c r="P33" s="719">
        <f t="shared" si="2"/>
        <v>99.81953937425277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I33+'12'!I33</f>
        <v>83830</v>
      </c>
      <c r="J34" s="311">
        <f>J33+'12'!J33</f>
        <v>83830</v>
      </c>
      <c r="K34" s="561">
        <f>K33+'12'!K33</f>
        <v>82099</v>
      </c>
      <c r="L34" s="568">
        <f>L33+'12'!L33</f>
        <v>81284</v>
      </c>
      <c r="M34" s="311">
        <f>M33+'12'!M33</f>
        <v>0</v>
      </c>
      <c r="N34" s="732">
        <f>N33+'12'!N33</f>
        <v>81284</v>
      </c>
      <c r="O34" s="714">
        <f>IF(J34=0,"",N34/J34*100)</f>
        <v>96.962901109388042</v>
      </c>
      <c r="P34" s="719">
        <f t="shared" si="2"/>
        <v>99.007296069379649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/>
      <c r="J35" s="15"/>
      <c r="K35" s="561"/>
      <c r="L35" s="568"/>
      <c r="M35" s="311"/>
      <c r="N35" s="732"/>
      <c r="O35" s="714"/>
      <c r="P35" s="719" t="str">
        <f t="shared" si="2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F39" s="330"/>
      <c r="G39" s="356"/>
      <c r="N39" s="410"/>
    </row>
    <row r="40" spans="1:16" ht="12.95" customHeight="1">
      <c r="F40" s="330"/>
      <c r="G40" s="356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P33" sqref="P33"/>
    </sheetView>
  </sheetViews>
  <sheetFormatPr defaultRowHeight="12.75"/>
  <cols>
    <col min="1" max="1" width="3.28515625" style="39" customWidth="1"/>
    <col min="7" max="7" width="10.7109375" customWidth="1"/>
    <col min="8" max="8" width="0.140625" hidden="1" customWidth="1"/>
    <col min="9" max="9" width="2.7109375" hidden="1" customWidth="1"/>
    <col min="10" max="10" width="8.28515625" style="39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864" t="s">
        <v>191</v>
      </c>
      <c r="B1" s="864"/>
      <c r="C1" s="864"/>
      <c r="D1" s="864"/>
      <c r="E1" s="864"/>
      <c r="F1" s="864"/>
      <c r="G1" s="864"/>
      <c r="H1" s="864"/>
      <c r="I1" s="864"/>
    </row>
    <row r="3" spans="1:21" s="45" customFormat="1">
      <c r="A3" s="523" t="s">
        <v>206</v>
      </c>
      <c r="B3" s="861" t="s">
        <v>208</v>
      </c>
      <c r="C3" s="862"/>
      <c r="D3" s="862"/>
      <c r="E3" s="862"/>
      <c r="F3" s="862"/>
      <c r="G3" s="862"/>
      <c r="H3" s="862"/>
      <c r="I3" s="863"/>
      <c r="J3" s="523" t="s">
        <v>202</v>
      </c>
      <c r="L3" s="523" t="s">
        <v>206</v>
      </c>
      <c r="M3" s="861" t="s">
        <v>208</v>
      </c>
      <c r="N3" s="862"/>
      <c r="O3" s="862"/>
      <c r="P3" s="862"/>
      <c r="Q3" s="862"/>
      <c r="R3" s="862"/>
      <c r="S3" s="862"/>
      <c r="T3" s="863"/>
      <c r="U3" s="523" t="s">
        <v>202</v>
      </c>
    </row>
    <row r="4" spans="1:21" s="36" customFormat="1" ht="17.100000000000001" customHeight="1">
      <c r="A4" s="511" t="s">
        <v>192</v>
      </c>
      <c r="B4" s="868" t="s">
        <v>193</v>
      </c>
      <c r="C4" s="869"/>
      <c r="D4" s="869"/>
      <c r="E4" s="869"/>
      <c r="F4" s="869"/>
      <c r="G4" s="869"/>
      <c r="H4" s="869"/>
      <c r="I4" s="870"/>
      <c r="J4" s="511">
        <v>3</v>
      </c>
      <c r="K4" s="512"/>
      <c r="L4" s="641" t="s">
        <v>638</v>
      </c>
      <c r="M4" s="865" t="s">
        <v>775</v>
      </c>
      <c r="N4" s="866"/>
      <c r="O4" s="866"/>
      <c r="P4" s="866"/>
      <c r="Q4" s="866"/>
      <c r="R4" s="866"/>
      <c r="S4" s="866"/>
      <c r="T4" s="867"/>
      <c r="U4" s="642">
        <v>43</v>
      </c>
    </row>
    <row r="5" spans="1:21" s="36" customFormat="1" ht="17.100000000000001" customHeight="1">
      <c r="A5" s="513" t="s">
        <v>194</v>
      </c>
      <c r="B5" s="853" t="s">
        <v>195</v>
      </c>
      <c r="C5" s="854"/>
      <c r="D5" s="854"/>
      <c r="E5" s="854"/>
      <c r="F5" s="854"/>
      <c r="G5" s="854"/>
      <c r="H5" s="854"/>
      <c r="I5" s="855"/>
      <c r="J5" s="513">
        <v>4</v>
      </c>
      <c r="K5" s="512"/>
      <c r="L5" s="513" t="s">
        <v>639</v>
      </c>
      <c r="M5" s="853" t="s">
        <v>776</v>
      </c>
      <c r="N5" s="854"/>
      <c r="O5" s="854"/>
      <c r="P5" s="854"/>
      <c r="Q5" s="854"/>
      <c r="R5" s="854"/>
      <c r="S5" s="854"/>
      <c r="T5" s="855"/>
      <c r="U5" s="513">
        <v>44</v>
      </c>
    </row>
    <row r="6" spans="1:21" s="36" customFormat="1" ht="17.100000000000001" customHeight="1">
      <c r="A6" s="513" t="s">
        <v>196</v>
      </c>
      <c r="B6" s="853" t="s">
        <v>361</v>
      </c>
      <c r="C6" s="854"/>
      <c r="D6" s="854"/>
      <c r="E6" s="854"/>
      <c r="F6" s="854"/>
      <c r="G6" s="854"/>
      <c r="H6" s="854"/>
      <c r="I6" s="855"/>
      <c r="J6" s="513">
        <v>13</v>
      </c>
      <c r="K6" s="512"/>
      <c r="L6" s="513" t="s">
        <v>640</v>
      </c>
      <c r="M6" s="644" t="s">
        <v>777</v>
      </c>
      <c r="N6" s="627"/>
      <c r="O6" s="627"/>
      <c r="P6" s="627"/>
      <c r="Q6" s="627"/>
      <c r="R6" s="627"/>
      <c r="S6" s="627"/>
      <c r="T6" s="628"/>
      <c r="U6" s="513">
        <v>45</v>
      </c>
    </row>
    <row r="7" spans="1:21" s="36" customFormat="1" ht="17.100000000000001" customHeight="1">
      <c r="A7" s="513" t="s">
        <v>197</v>
      </c>
      <c r="B7" s="853" t="s">
        <v>198</v>
      </c>
      <c r="C7" s="854"/>
      <c r="D7" s="854"/>
      <c r="E7" s="854"/>
      <c r="F7" s="854"/>
      <c r="G7" s="854"/>
      <c r="H7" s="854"/>
      <c r="I7" s="855"/>
      <c r="J7" s="513">
        <v>16</v>
      </c>
      <c r="K7" s="512"/>
      <c r="L7" s="513" t="s">
        <v>641</v>
      </c>
      <c r="M7" s="644" t="s">
        <v>778</v>
      </c>
      <c r="N7" s="627"/>
      <c r="O7" s="627"/>
      <c r="P7" s="627"/>
      <c r="Q7" s="627"/>
      <c r="R7" s="627"/>
      <c r="S7" s="627"/>
      <c r="T7" s="628"/>
      <c r="U7" s="513">
        <v>46</v>
      </c>
    </row>
    <row r="8" spans="1:21" s="36" customFormat="1" ht="17.100000000000001" customHeight="1">
      <c r="A8" s="513" t="s">
        <v>207</v>
      </c>
      <c r="B8" s="853" t="s">
        <v>199</v>
      </c>
      <c r="C8" s="854"/>
      <c r="D8" s="854"/>
      <c r="E8" s="854"/>
      <c r="F8" s="854"/>
      <c r="G8" s="854"/>
      <c r="H8" s="854"/>
      <c r="I8" s="855"/>
      <c r="J8" s="513">
        <v>17</v>
      </c>
      <c r="K8" s="512"/>
      <c r="L8" s="513" t="s">
        <v>642</v>
      </c>
      <c r="M8" s="629" t="s">
        <v>711</v>
      </c>
      <c r="N8" s="627"/>
      <c r="O8" s="627"/>
      <c r="P8" s="627"/>
      <c r="Q8" s="627"/>
      <c r="R8" s="627"/>
      <c r="S8" s="627"/>
      <c r="T8" s="628"/>
      <c r="U8" s="513">
        <v>47</v>
      </c>
    </row>
    <row r="9" spans="1:21" s="36" customFormat="1" ht="17.100000000000001" customHeight="1">
      <c r="A9" s="513" t="s">
        <v>613</v>
      </c>
      <c r="B9" s="853" t="s">
        <v>200</v>
      </c>
      <c r="C9" s="854"/>
      <c r="D9" s="854"/>
      <c r="E9" s="854"/>
      <c r="F9" s="854"/>
      <c r="G9" s="854"/>
      <c r="H9" s="854"/>
      <c r="I9" s="855"/>
      <c r="J9" s="513">
        <v>18</v>
      </c>
      <c r="K9" s="512"/>
      <c r="L9" s="513" t="s">
        <v>643</v>
      </c>
      <c r="M9" s="629" t="s">
        <v>725</v>
      </c>
      <c r="N9" s="627"/>
      <c r="O9" s="627"/>
      <c r="P9" s="627"/>
      <c r="Q9" s="627"/>
      <c r="R9" s="627"/>
      <c r="S9" s="627"/>
      <c r="T9" s="628"/>
      <c r="U9" s="513">
        <v>48</v>
      </c>
    </row>
    <row r="10" spans="1:21" s="36" customFormat="1" ht="17.100000000000001" customHeight="1">
      <c r="A10" s="513" t="s">
        <v>614</v>
      </c>
      <c r="B10" s="853" t="s">
        <v>747</v>
      </c>
      <c r="C10" s="854"/>
      <c r="D10" s="854"/>
      <c r="E10" s="854"/>
      <c r="F10" s="854"/>
      <c r="G10" s="854"/>
      <c r="H10" s="854"/>
      <c r="I10" s="855"/>
      <c r="J10" s="513">
        <v>19</v>
      </c>
      <c r="K10" s="512"/>
      <c r="L10" s="513" t="s">
        <v>644</v>
      </c>
      <c r="M10" s="629" t="s">
        <v>723</v>
      </c>
      <c r="N10" s="627"/>
      <c r="O10" s="627"/>
      <c r="P10" s="627"/>
      <c r="Q10" s="627"/>
      <c r="R10" s="627"/>
      <c r="S10" s="627"/>
      <c r="T10" s="628"/>
      <c r="U10" s="513">
        <v>49</v>
      </c>
    </row>
    <row r="11" spans="1:21" s="36" customFormat="1" ht="17.100000000000001" customHeight="1">
      <c r="A11" s="513" t="s">
        <v>615</v>
      </c>
      <c r="B11" s="634" t="s">
        <v>702</v>
      </c>
      <c r="C11" s="635"/>
      <c r="D11" s="635"/>
      <c r="E11" s="635"/>
      <c r="F11" s="635"/>
      <c r="G11" s="635"/>
      <c r="H11" s="635"/>
      <c r="I11" s="636"/>
      <c r="J11" s="513">
        <v>20</v>
      </c>
      <c r="K11" s="512"/>
      <c r="L11" s="513" t="s">
        <v>645</v>
      </c>
      <c r="M11" s="629" t="s">
        <v>203</v>
      </c>
      <c r="N11" s="627"/>
      <c r="O11" s="627"/>
      <c r="P11" s="627"/>
      <c r="Q11" s="627"/>
      <c r="R11" s="627"/>
      <c r="S11" s="627"/>
      <c r="T11" s="628"/>
      <c r="U11" s="513">
        <v>50</v>
      </c>
    </row>
    <row r="12" spans="1:21" s="36" customFormat="1" ht="17.100000000000001" customHeight="1">
      <c r="A12" s="513" t="s">
        <v>616</v>
      </c>
      <c r="B12" s="634" t="s">
        <v>700</v>
      </c>
      <c r="C12" s="635"/>
      <c r="D12" s="635"/>
      <c r="E12" s="635"/>
      <c r="F12" s="635"/>
      <c r="G12" s="635"/>
      <c r="H12" s="635"/>
      <c r="I12" s="636"/>
      <c r="J12" s="513">
        <v>21</v>
      </c>
      <c r="K12" s="512"/>
      <c r="L12" s="513" t="s">
        <v>646</v>
      </c>
      <c r="M12" s="629" t="s">
        <v>204</v>
      </c>
      <c r="N12" s="627"/>
      <c r="O12" s="627"/>
      <c r="P12" s="627"/>
      <c r="Q12" s="627"/>
      <c r="R12" s="627"/>
      <c r="S12" s="627"/>
      <c r="T12" s="628"/>
      <c r="U12" s="513">
        <v>51</v>
      </c>
    </row>
    <row r="13" spans="1:21" s="36" customFormat="1" ht="17.100000000000001" customHeight="1">
      <c r="A13" s="513" t="s">
        <v>617</v>
      </c>
      <c r="B13" s="634" t="s">
        <v>509</v>
      </c>
      <c r="C13" s="635"/>
      <c r="D13" s="635"/>
      <c r="E13" s="635"/>
      <c r="F13" s="635"/>
      <c r="G13" s="635"/>
      <c r="H13" s="635"/>
      <c r="I13" s="636"/>
      <c r="J13" s="513">
        <v>22</v>
      </c>
      <c r="K13" s="512"/>
      <c r="L13" s="513" t="s">
        <v>647</v>
      </c>
      <c r="M13" s="629" t="s">
        <v>731</v>
      </c>
      <c r="N13" s="627"/>
      <c r="O13" s="627"/>
      <c r="P13" s="627"/>
      <c r="Q13" s="627"/>
      <c r="R13" s="627"/>
      <c r="S13" s="627"/>
      <c r="T13" s="628"/>
      <c r="U13" s="513">
        <v>52</v>
      </c>
    </row>
    <row r="14" spans="1:21" s="36" customFormat="1" ht="17.100000000000001" customHeight="1">
      <c r="A14" s="513" t="s">
        <v>618</v>
      </c>
      <c r="B14" s="853" t="s">
        <v>697</v>
      </c>
      <c r="C14" s="854"/>
      <c r="D14" s="854"/>
      <c r="E14" s="854"/>
      <c r="F14" s="854"/>
      <c r="G14" s="854"/>
      <c r="H14" s="854"/>
      <c r="I14" s="855"/>
      <c r="J14" s="513">
        <v>23</v>
      </c>
      <c r="K14" s="512"/>
      <c r="L14" s="513" t="s">
        <v>648</v>
      </c>
      <c r="M14" s="629" t="s">
        <v>205</v>
      </c>
      <c r="N14" s="627"/>
      <c r="O14" s="627"/>
      <c r="P14" s="627"/>
      <c r="Q14" s="627"/>
      <c r="R14" s="627"/>
      <c r="S14" s="627"/>
      <c r="T14" s="628"/>
      <c r="U14" s="513">
        <v>53</v>
      </c>
    </row>
    <row r="15" spans="1:21" s="36" customFormat="1" ht="17.100000000000001" customHeight="1">
      <c r="A15" s="513" t="s">
        <v>619</v>
      </c>
      <c r="B15" s="853" t="s">
        <v>698</v>
      </c>
      <c r="C15" s="854"/>
      <c r="D15" s="854"/>
      <c r="E15" s="854"/>
      <c r="F15" s="854"/>
      <c r="G15" s="854"/>
      <c r="H15" s="854"/>
      <c r="I15" s="855"/>
      <c r="J15" s="513">
        <v>24</v>
      </c>
      <c r="K15" s="512"/>
      <c r="L15" s="513" t="s">
        <v>649</v>
      </c>
      <c r="M15" s="853" t="s">
        <v>917</v>
      </c>
      <c r="N15" s="859"/>
      <c r="O15" s="859"/>
      <c r="P15" s="859"/>
      <c r="Q15" s="859"/>
      <c r="R15" s="859"/>
      <c r="S15" s="859"/>
      <c r="T15" s="860"/>
      <c r="U15" s="513">
        <v>54</v>
      </c>
    </row>
    <row r="16" spans="1:21" s="36" customFormat="1" ht="17.100000000000001" customHeight="1">
      <c r="A16" s="513" t="s">
        <v>620</v>
      </c>
      <c r="B16" s="629" t="s">
        <v>201</v>
      </c>
      <c r="C16" s="627"/>
      <c r="D16" s="627"/>
      <c r="E16" s="627"/>
      <c r="F16" s="627"/>
      <c r="G16" s="627"/>
      <c r="H16" s="627"/>
      <c r="I16" s="628"/>
      <c r="J16" s="513">
        <v>25</v>
      </c>
      <c r="K16" s="512"/>
      <c r="L16" s="513" t="s">
        <v>650</v>
      </c>
      <c r="M16" s="841" t="s">
        <v>918</v>
      </c>
      <c r="N16" s="627"/>
      <c r="O16" s="627"/>
      <c r="P16" s="627"/>
      <c r="Q16" s="627"/>
      <c r="R16" s="627"/>
      <c r="S16" s="627"/>
      <c r="T16" s="628"/>
      <c r="U16" s="513">
        <v>55</v>
      </c>
    </row>
    <row r="17" spans="1:21" s="36" customFormat="1" ht="17.100000000000001" customHeight="1">
      <c r="A17" s="513" t="s">
        <v>621</v>
      </c>
      <c r="B17" s="629" t="s">
        <v>704</v>
      </c>
      <c r="C17" s="627"/>
      <c r="D17" s="627"/>
      <c r="E17" s="627"/>
      <c r="F17" s="627"/>
      <c r="G17" s="627"/>
      <c r="H17" s="627"/>
      <c r="I17" s="628"/>
      <c r="J17" s="513">
        <v>26</v>
      </c>
      <c r="K17" s="512"/>
      <c r="L17" s="513" t="s">
        <v>651</v>
      </c>
      <c r="M17" s="841" t="s">
        <v>919</v>
      </c>
      <c r="N17" s="627"/>
      <c r="O17" s="627"/>
      <c r="P17" s="627"/>
      <c r="Q17" s="627"/>
      <c r="R17" s="627"/>
      <c r="S17" s="627"/>
      <c r="T17" s="628"/>
      <c r="U17" s="513">
        <v>58</v>
      </c>
    </row>
    <row r="18" spans="1:21" s="36" customFormat="1" ht="17.100000000000001" customHeight="1">
      <c r="A18" s="513" t="s">
        <v>622</v>
      </c>
      <c r="B18" s="629" t="s">
        <v>739</v>
      </c>
      <c r="C18" s="627"/>
      <c r="D18" s="627"/>
      <c r="E18" s="627"/>
      <c r="F18" s="627"/>
      <c r="G18" s="627"/>
      <c r="H18" s="627"/>
      <c r="I18" s="628"/>
      <c r="J18" s="513">
        <v>27</v>
      </c>
      <c r="K18" s="512"/>
      <c r="L18" s="514" t="s">
        <v>748</v>
      </c>
      <c r="M18" s="856" t="s">
        <v>817</v>
      </c>
      <c r="N18" s="857"/>
      <c r="O18" s="857"/>
      <c r="P18" s="857"/>
      <c r="Q18" s="857"/>
      <c r="R18" s="857"/>
      <c r="S18" s="857"/>
      <c r="T18" s="858"/>
      <c r="U18" s="514">
        <v>59</v>
      </c>
    </row>
    <row r="19" spans="1:21" s="36" customFormat="1" ht="17.100000000000001" customHeight="1">
      <c r="A19" s="513" t="s">
        <v>623</v>
      </c>
      <c r="B19" s="629" t="s">
        <v>727</v>
      </c>
      <c r="C19" s="627"/>
      <c r="D19" s="627"/>
      <c r="E19" s="627"/>
      <c r="F19" s="627"/>
      <c r="G19" s="627"/>
      <c r="H19" s="627"/>
      <c r="I19" s="628"/>
      <c r="J19" s="513">
        <v>28</v>
      </c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</row>
    <row r="20" spans="1:21" s="36" customFormat="1" ht="17.100000000000001" customHeight="1">
      <c r="A20" s="513" t="s">
        <v>624</v>
      </c>
      <c r="B20" s="629" t="s">
        <v>726</v>
      </c>
      <c r="C20" s="627"/>
      <c r="D20" s="627"/>
      <c r="E20" s="627"/>
      <c r="F20" s="627"/>
      <c r="G20" s="627"/>
      <c r="H20" s="627"/>
      <c r="I20" s="628"/>
      <c r="J20" s="513">
        <v>29</v>
      </c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</row>
    <row r="21" spans="1:21" s="36" customFormat="1" ht="17.100000000000001" customHeight="1">
      <c r="A21" s="513" t="s">
        <v>625</v>
      </c>
      <c r="B21" s="629" t="s">
        <v>740</v>
      </c>
      <c r="C21" s="627"/>
      <c r="D21" s="627"/>
      <c r="E21" s="627"/>
      <c r="F21" s="627"/>
      <c r="G21" s="627"/>
      <c r="H21" s="627"/>
      <c r="I21" s="628"/>
      <c r="J21" s="513">
        <v>30</v>
      </c>
      <c r="K21" s="512"/>
      <c r="L21" s="512"/>
      <c r="M21" s="645"/>
      <c r="N21" s="645"/>
      <c r="O21" s="645"/>
      <c r="P21" s="512"/>
      <c r="Q21" s="512"/>
      <c r="R21" s="512"/>
      <c r="S21" s="512"/>
      <c r="T21" s="512"/>
      <c r="U21" s="512"/>
    </row>
    <row r="22" spans="1:21" s="36" customFormat="1" ht="17.100000000000001" customHeight="1">
      <c r="A22" s="513" t="s">
        <v>626</v>
      </c>
      <c r="B22" s="629" t="s">
        <v>741</v>
      </c>
      <c r="C22" s="627"/>
      <c r="D22" s="627"/>
      <c r="E22" s="627"/>
      <c r="F22" s="627"/>
      <c r="G22" s="627"/>
      <c r="H22" s="627"/>
      <c r="I22" s="628"/>
      <c r="J22" s="513">
        <v>31</v>
      </c>
      <c r="K22" s="512"/>
      <c r="L22" s="512"/>
      <c r="M22" s="646"/>
      <c r="N22" s="645"/>
      <c r="O22" s="645"/>
      <c r="P22" s="512"/>
      <c r="Q22" s="512"/>
      <c r="R22" s="512"/>
      <c r="S22" s="512"/>
      <c r="T22" s="512"/>
      <c r="U22" s="512"/>
    </row>
    <row r="23" spans="1:21" s="36" customFormat="1" ht="17.100000000000001" customHeight="1">
      <c r="A23" s="513" t="s">
        <v>627</v>
      </c>
      <c r="B23" s="629" t="s">
        <v>706</v>
      </c>
      <c r="C23" s="627"/>
      <c r="D23" s="627"/>
      <c r="E23" s="627"/>
      <c r="F23" s="627"/>
      <c r="G23" s="627"/>
      <c r="H23" s="627"/>
      <c r="I23" s="628"/>
      <c r="J23" s="513">
        <v>32</v>
      </c>
      <c r="K23" s="512"/>
      <c r="L23" s="512"/>
      <c r="M23" s="645"/>
      <c r="N23" s="645"/>
      <c r="O23" s="645"/>
      <c r="P23" s="512"/>
      <c r="Q23" s="512"/>
      <c r="R23" s="512"/>
      <c r="S23" s="512"/>
      <c r="T23" s="512"/>
      <c r="U23" s="512"/>
    </row>
    <row r="24" spans="1:21" s="36" customFormat="1" ht="17.100000000000001" customHeight="1">
      <c r="A24" s="513" t="s">
        <v>628</v>
      </c>
      <c r="B24" s="629" t="s">
        <v>707</v>
      </c>
      <c r="C24" s="627"/>
      <c r="D24" s="627"/>
      <c r="E24" s="627"/>
      <c r="F24" s="627"/>
      <c r="G24" s="627"/>
      <c r="H24" s="627"/>
      <c r="I24" s="628"/>
      <c r="J24" s="513">
        <v>33</v>
      </c>
      <c r="K24" s="512"/>
      <c r="L24" s="512"/>
      <c r="M24" s="645"/>
      <c r="N24" s="645"/>
      <c r="O24" s="645"/>
      <c r="P24" s="512"/>
      <c r="Q24" s="512"/>
      <c r="R24" s="512"/>
      <c r="S24" s="512"/>
      <c r="T24" s="512"/>
      <c r="U24" s="512"/>
    </row>
    <row r="25" spans="1:21" s="36" customFormat="1" ht="17.100000000000001" customHeight="1">
      <c r="A25" s="513" t="s">
        <v>629</v>
      </c>
      <c r="B25" s="629" t="s">
        <v>708</v>
      </c>
      <c r="C25" s="627"/>
      <c r="D25" s="627"/>
      <c r="E25" s="627"/>
      <c r="F25" s="627"/>
      <c r="G25" s="627"/>
      <c r="H25" s="627"/>
      <c r="I25" s="628"/>
      <c r="J25" s="513">
        <v>34</v>
      </c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</row>
    <row r="26" spans="1:21" s="36" customFormat="1" ht="17.100000000000001" customHeight="1">
      <c r="A26" s="513" t="s">
        <v>630</v>
      </c>
      <c r="B26" s="629" t="s">
        <v>742</v>
      </c>
      <c r="C26" s="627"/>
      <c r="D26" s="627"/>
      <c r="E26" s="627"/>
      <c r="F26" s="627"/>
      <c r="G26" s="627"/>
      <c r="H26" s="627"/>
      <c r="I26" s="628"/>
      <c r="J26" s="513">
        <v>35</v>
      </c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</row>
    <row r="27" spans="1:21" s="36" customFormat="1" ht="17.100000000000001" customHeight="1">
      <c r="A27" s="513" t="s">
        <v>631</v>
      </c>
      <c r="B27" s="629" t="s">
        <v>710</v>
      </c>
      <c r="C27" s="627"/>
      <c r="D27" s="627"/>
      <c r="E27" s="627"/>
      <c r="F27" s="627"/>
      <c r="G27" s="627"/>
      <c r="H27" s="627"/>
      <c r="I27" s="628"/>
      <c r="J27" s="513">
        <v>36</v>
      </c>
      <c r="K27" s="512"/>
      <c r="L27" s="512"/>
      <c r="M27" s="512"/>
      <c r="N27" s="512"/>
      <c r="O27" s="512"/>
      <c r="P27" s="512"/>
      <c r="Q27" s="512"/>
      <c r="R27" s="512"/>
      <c r="S27" s="512"/>
      <c r="T27" s="512"/>
      <c r="U27" s="512"/>
    </row>
    <row r="28" spans="1:21" s="36" customFormat="1" ht="17.100000000000001" customHeight="1">
      <c r="A28" s="513" t="s">
        <v>632</v>
      </c>
      <c r="B28" s="644" t="s">
        <v>770</v>
      </c>
      <c r="C28" s="627"/>
      <c r="D28" s="627"/>
      <c r="E28" s="627"/>
      <c r="F28" s="627"/>
      <c r="G28" s="627"/>
      <c r="H28" s="627"/>
      <c r="I28" s="628"/>
      <c r="J28" s="513">
        <v>37</v>
      </c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</row>
    <row r="29" spans="1:21" s="36" customFormat="1" ht="17.100000000000001" customHeight="1">
      <c r="A29" s="513" t="s">
        <v>633</v>
      </c>
      <c r="B29" s="644" t="s">
        <v>771</v>
      </c>
      <c r="C29" s="627"/>
      <c r="D29" s="627"/>
      <c r="E29" s="627"/>
      <c r="F29" s="627"/>
      <c r="G29" s="627"/>
      <c r="H29" s="627"/>
      <c r="I29" s="628"/>
      <c r="J29" s="513">
        <v>38</v>
      </c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</row>
    <row r="30" spans="1:21" ht="17.100000000000001" customHeight="1">
      <c r="A30" s="513" t="s">
        <v>634</v>
      </c>
      <c r="B30" s="644" t="s">
        <v>772</v>
      </c>
      <c r="C30" s="627"/>
      <c r="D30" s="627"/>
      <c r="E30" s="627"/>
      <c r="F30" s="627"/>
      <c r="G30" s="627"/>
      <c r="H30" s="627"/>
      <c r="I30" s="628"/>
      <c r="J30" s="513">
        <v>39</v>
      </c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</row>
    <row r="31" spans="1:21" ht="17.100000000000001" customHeight="1">
      <c r="A31" s="513" t="s">
        <v>635</v>
      </c>
      <c r="B31" s="629" t="s">
        <v>743</v>
      </c>
      <c r="C31" s="627"/>
      <c r="D31" s="627"/>
      <c r="E31" s="627"/>
      <c r="F31" s="627"/>
      <c r="G31" s="627"/>
      <c r="H31" s="627"/>
      <c r="I31" s="628"/>
      <c r="J31" s="513">
        <v>40</v>
      </c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</row>
    <row r="32" spans="1:21" ht="17.100000000000001" customHeight="1">
      <c r="A32" s="513" t="s">
        <v>636</v>
      </c>
      <c r="B32" s="644" t="s">
        <v>773</v>
      </c>
      <c r="C32" s="627"/>
      <c r="D32" s="627"/>
      <c r="E32" s="627"/>
      <c r="F32" s="627"/>
      <c r="G32" s="627"/>
      <c r="H32" s="627"/>
      <c r="I32" s="628"/>
      <c r="J32" s="513">
        <v>41</v>
      </c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</row>
    <row r="33" spans="1:21" ht="17.100000000000001" customHeight="1">
      <c r="A33" s="514" t="s">
        <v>637</v>
      </c>
      <c r="B33" s="666" t="s">
        <v>774</v>
      </c>
      <c r="C33" s="667"/>
      <c r="D33" s="667"/>
      <c r="E33" s="667"/>
      <c r="F33" s="667"/>
      <c r="G33" s="667"/>
      <c r="H33" s="667"/>
      <c r="I33" s="668"/>
      <c r="J33" s="514">
        <v>42</v>
      </c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</row>
    <row r="34" spans="1:21" ht="17.100000000000001" customHeight="1"/>
  </sheetData>
  <mergeCells count="16">
    <mergeCell ref="B14:I14"/>
    <mergeCell ref="M18:T18"/>
    <mergeCell ref="M15:T15"/>
    <mergeCell ref="M3:T3"/>
    <mergeCell ref="A1:I1"/>
    <mergeCell ref="B5:I5"/>
    <mergeCell ref="B3:I3"/>
    <mergeCell ref="M5:T5"/>
    <mergeCell ref="M4:T4"/>
    <mergeCell ref="B8:I8"/>
    <mergeCell ref="B7:I7"/>
    <mergeCell ref="B6:I6"/>
    <mergeCell ref="B10:I10"/>
    <mergeCell ref="B4:I4"/>
    <mergeCell ref="B9:I9"/>
    <mergeCell ref="B15:I15"/>
  </mergeCells>
  <phoneticPr fontId="0" type="noConversion"/>
  <pageMargins left="0.67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R96"/>
  <sheetViews>
    <sheetView zoomScaleNormal="100" workbookViewId="0">
      <selection activeCell="O28" sqref="O28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734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123</v>
      </c>
      <c r="C7" s="7" t="s">
        <v>168</v>
      </c>
      <c r="D7" s="7" t="s">
        <v>81</v>
      </c>
      <c r="E7" s="653" t="s">
        <v>785</v>
      </c>
      <c r="F7" s="5"/>
      <c r="G7" s="306"/>
      <c r="H7" s="5"/>
      <c r="I7" s="97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76910</v>
      </c>
      <c r="J8" s="537">
        <f t="shared" ref="J8" si="1">SUM(J9:J12)</f>
        <v>76910</v>
      </c>
      <c r="K8" s="537">
        <f>SUM(K9:K11)</f>
        <v>80059</v>
      </c>
      <c r="L8" s="564">
        <f>SUM(L9:L12)</f>
        <v>76478</v>
      </c>
      <c r="M8" s="233">
        <f>SUM(M9:M12)</f>
        <v>0</v>
      </c>
      <c r="N8" s="741">
        <f>SUM(N9:N12)</f>
        <v>76478</v>
      </c>
      <c r="O8" s="714">
        <f>IF(J8=0,"",N8/J8*100)</f>
        <v>99.438304511767001</v>
      </c>
      <c r="P8" s="719">
        <f>IF(K8=0,"",N8/K8*100)</f>
        <v>95.527048801508883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68230</v>
      </c>
      <c r="J9" s="538">
        <v>68230</v>
      </c>
      <c r="K9" s="538">
        <v>67692</v>
      </c>
      <c r="L9" s="611">
        <v>68088</v>
      </c>
      <c r="M9" s="235">
        <v>0</v>
      </c>
      <c r="N9" s="742">
        <f>SUM(L9:M9)</f>
        <v>68088</v>
      </c>
      <c r="O9" s="715">
        <f>IF(J9=0,"",N9/J9*100)</f>
        <v>99.791880404514146</v>
      </c>
      <c r="P9" s="720">
        <f t="shared" ref="P9:P35" si="2">IF(K9=0,"",N9/K9*100)</f>
        <v>100.585002659103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8680</v>
      </c>
      <c r="J10" s="538">
        <v>8680</v>
      </c>
      <c r="K10" s="538">
        <v>12367</v>
      </c>
      <c r="L10" s="611">
        <v>8390</v>
      </c>
      <c r="M10" s="235">
        <v>0</v>
      </c>
      <c r="N10" s="742">
        <f t="shared" ref="N10:N11" si="3">SUM(L10:M10)</f>
        <v>8390</v>
      </c>
      <c r="O10" s="715">
        <f t="shared" ref="O10:O35" si="4">IF(J10=0,"",N10/J10*100)</f>
        <v>96.658986175115203</v>
      </c>
      <c r="P10" s="720">
        <f t="shared" si="2"/>
        <v>67.841837147246707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7270</v>
      </c>
      <c r="J13" s="537">
        <f t="shared" si="6"/>
        <v>7270</v>
      </c>
      <c r="K13" s="537">
        <f>K14</f>
        <v>7329</v>
      </c>
      <c r="L13" s="564">
        <f>L14</f>
        <v>7181</v>
      </c>
      <c r="M13" s="233">
        <f>M14</f>
        <v>0</v>
      </c>
      <c r="N13" s="741">
        <f>N14</f>
        <v>7181</v>
      </c>
      <c r="O13" s="714">
        <f t="shared" si="4"/>
        <v>98.7757909215956</v>
      </c>
      <c r="P13" s="719">
        <f t="shared" si="2"/>
        <v>97.980624914722341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7270</v>
      </c>
      <c r="J14" s="538">
        <v>7270</v>
      </c>
      <c r="K14" s="538">
        <v>7329</v>
      </c>
      <c r="L14" s="611">
        <v>7181</v>
      </c>
      <c r="M14" s="235">
        <v>0</v>
      </c>
      <c r="N14" s="742">
        <f>SUM(L14:M14)</f>
        <v>7181</v>
      </c>
      <c r="O14" s="715">
        <f t="shared" si="4"/>
        <v>98.7757909215956</v>
      </c>
      <c r="P14" s="720">
        <f t="shared" si="2"/>
        <v>97.980624914722341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3170</v>
      </c>
      <c r="J16" s="537">
        <f t="shared" ref="J16" si="8">SUM(J17:J26)</f>
        <v>3170</v>
      </c>
      <c r="K16" s="537">
        <f>SUM(K17:K26)</f>
        <v>3218</v>
      </c>
      <c r="L16" s="567">
        <f>SUM(L17:L26)</f>
        <v>2355</v>
      </c>
      <c r="M16" s="316">
        <f>SUM(M17:M26)</f>
        <v>0</v>
      </c>
      <c r="N16" s="732">
        <f>SUM(N17:N26)</f>
        <v>2355</v>
      </c>
      <c r="O16" s="714">
        <f t="shared" si="4"/>
        <v>74.290220820189276</v>
      </c>
      <c r="P16" s="719">
        <f t="shared" si="2"/>
        <v>73.18210068365444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200</v>
      </c>
      <c r="J17" s="538">
        <v>200</v>
      </c>
      <c r="K17" s="538">
        <v>988</v>
      </c>
      <c r="L17" s="551">
        <v>123</v>
      </c>
      <c r="M17" s="386">
        <v>0</v>
      </c>
      <c r="N17" s="742">
        <f t="shared" ref="N17:N26" si="9">SUM(L17:M17)</f>
        <v>123</v>
      </c>
      <c r="O17" s="715">
        <f t="shared" si="4"/>
        <v>61.5</v>
      </c>
      <c r="P17" s="720">
        <f t="shared" si="2"/>
        <v>12.449392712550607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1">
        <v>0</v>
      </c>
      <c r="M18" s="386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1300</v>
      </c>
      <c r="J19" s="538">
        <v>1300</v>
      </c>
      <c r="K19" s="538">
        <v>1392</v>
      </c>
      <c r="L19" s="551">
        <v>1189</v>
      </c>
      <c r="M19" s="386">
        <v>0</v>
      </c>
      <c r="N19" s="742">
        <f t="shared" si="9"/>
        <v>1189</v>
      </c>
      <c r="O19" s="715">
        <f t="shared" si="4"/>
        <v>91.461538461538467</v>
      </c>
      <c r="P19" s="720">
        <f t="shared" si="2"/>
        <v>85.416666666666657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600</v>
      </c>
      <c r="J20" s="538">
        <v>600</v>
      </c>
      <c r="K20" s="538">
        <v>433</v>
      </c>
      <c r="L20" s="551">
        <v>241</v>
      </c>
      <c r="M20" s="386">
        <v>0</v>
      </c>
      <c r="N20" s="742">
        <f t="shared" si="9"/>
        <v>241</v>
      </c>
      <c r="O20" s="715">
        <f t="shared" si="4"/>
        <v>40.166666666666664</v>
      </c>
      <c r="P20" s="720">
        <f t="shared" si="2"/>
        <v>55.658198614318707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1">
        <v>0</v>
      </c>
      <c r="M21" s="386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200</v>
      </c>
      <c r="J23" s="538">
        <v>200</v>
      </c>
      <c r="K23" s="538">
        <v>47</v>
      </c>
      <c r="L23" s="551">
        <v>111</v>
      </c>
      <c r="M23" s="386">
        <v>0</v>
      </c>
      <c r="N23" s="742">
        <f t="shared" si="9"/>
        <v>111</v>
      </c>
      <c r="O23" s="715">
        <f t="shared" si="4"/>
        <v>55.500000000000007</v>
      </c>
      <c r="P23" s="720">
        <f t="shared" si="2"/>
        <v>236.17021276595747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1">
        <v>0</v>
      </c>
      <c r="M24" s="386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870</v>
      </c>
      <c r="J25" s="538">
        <v>870</v>
      </c>
      <c r="K25" s="538">
        <v>358</v>
      </c>
      <c r="L25" s="552">
        <v>691</v>
      </c>
      <c r="M25" s="388">
        <v>0</v>
      </c>
      <c r="N25" s="742">
        <f t="shared" si="9"/>
        <v>691</v>
      </c>
      <c r="O25" s="715">
        <f t="shared" si="4"/>
        <v>79.425287356321832</v>
      </c>
      <c r="P25" s="720">
        <f t="shared" si="2"/>
        <v>193.0167597765363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652"/>
      <c r="F27" s="338"/>
      <c r="G27" s="365"/>
      <c r="H27" s="8"/>
      <c r="I27" s="538"/>
      <c r="J27" s="538"/>
      <c r="K27" s="538"/>
      <c r="L27" s="607"/>
      <c r="M27" s="314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I29+I30</f>
        <v>500</v>
      </c>
      <c r="J28" s="537">
        <f t="shared" ref="J28" si="12">J29+J30</f>
        <v>500</v>
      </c>
      <c r="K28" s="537">
        <f>SUM(K29:K30)</f>
        <v>0</v>
      </c>
      <c r="L28" s="568">
        <f>L29+L30</f>
        <v>0</v>
      </c>
      <c r="M28" s="311">
        <f>M29+M30</f>
        <v>0</v>
      </c>
      <c r="N28" s="732">
        <f>N29+N30</f>
        <v>0</v>
      </c>
      <c r="O28" s="714">
        <f t="shared" si="4"/>
        <v>0</v>
      </c>
      <c r="P28" s="720" t="str">
        <f t="shared" si="2"/>
        <v/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607">
        <v>0</v>
      </c>
      <c r="M29" s="314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500</v>
      </c>
      <c r="J30" s="538">
        <v>500</v>
      </c>
      <c r="K30" s="538">
        <v>0</v>
      </c>
      <c r="L30" s="608">
        <v>0</v>
      </c>
      <c r="M30" s="319">
        <v>0</v>
      </c>
      <c r="N30" s="742">
        <f t="shared" si="14"/>
        <v>0</v>
      </c>
      <c r="O30" s="715">
        <f t="shared" si="4"/>
        <v>0</v>
      </c>
      <c r="P30" s="720" t="str">
        <f t="shared" si="2"/>
        <v/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3</v>
      </c>
      <c r="J32" s="537"/>
      <c r="K32" s="537">
        <v>3</v>
      </c>
      <c r="L32" s="568">
        <v>3</v>
      </c>
      <c r="M32" s="311"/>
      <c r="N32" s="732">
        <v>3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87850</v>
      </c>
      <c r="J33" s="311">
        <f>J8+J13+J16+J28</f>
        <v>87850</v>
      </c>
      <c r="K33" s="561">
        <f t="shared" ref="K33" si="15">K8+K13+K16+K28</f>
        <v>90606</v>
      </c>
      <c r="L33" s="568">
        <f>L8+L13+L16+L28</f>
        <v>86014</v>
      </c>
      <c r="M33" s="311">
        <f>M8+M13+M16+M28</f>
        <v>0</v>
      </c>
      <c r="N33" s="732">
        <f>N8+N13+N16+N28</f>
        <v>86014</v>
      </c>
      <c r="O33" s="714">
        <f t="shared" si="4"/>
        <v>97.910073989755261</v>
      </c>
      <c r="P33" s="719">
        <f t="shared" si="2"/>
        <v>94.931902964483584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>
        <f>I33</f>
        <v>87850</v>
      </c>
      <c r="J34" s="15">
        <f>J33</f>
        <v>87850</v>
      </c>
      <c r="K34" s="561">
        <f t="shared" ref="K34" si="16">K33</f>
        <v>90606</v>
      </c>
      <c r="L34" s="568">
        <f>L33</f>
        <v>86014</v>
      </c>
      <c r="M34" s="311">
        <f>M33</f>
        <v>0</v>
      </c>
      <c r="N34" s="732">
        <f>N33</f>
        <v>86014</v>
      </c>
      <c r="O34" s="714">
        <f>IF(J34=0,"",N34/J34*100)</f>
        <v>97.910073989755261</v>
      </c>
      <c r="P34" s="719">
        <f t="shared" si="2"/>
        <v>94.931902964483584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I34+'13'!I34+'12'!I34+'11'!I35+'10'!I35</f>
        <v>1942910</v>
      </c>
      <c r="J35" s="15">
        <f>J34+'13'!J34+'12'!J34+'11'!J35+'10'!J35</f>
        <v>1937940</v>
      </c>
      <c r="K35" s="561">
        <f>K34+'13'!K34+'12'!K34+'11'!K35+'10'!K35</f>
        <v>1855591</v>
      </c>
      <c r="L35" s="568">
        <f>L34+'13'!L34+'12'!L34+'11'!L35+'10'!L35</f>
        <v>1924587</v>
      </c>
      <c r="M35" s="311">
        <f>M34+'13'!M34+'12'!M34+'11'!M35+'10'!M35</f>
        <v>0</v>
      </c>
      <c r="N35" s="732">
        <f>N34+'13'!N34+'12'!N34+'11'!N35+'10'!N35</f>
        <v>1924587</v>
      </c>
      <c r="O35" s="714">
        <f t="shared" si="4"/>
        <v>99.310969379856957</v>
      </c>
      <c r="P35" s="719">
        <f t="shared" si="2"/>
        <v>103.71827627963275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F40" s="330"/>
      <c r="G40" s="356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S100"/>
  <sheetViews>
    <sheetView zoomScaleNormal="100" workbookViewId="0">
      <selection activeCell="M27" sqref="M27"/>
    </sheetView>
  </sheetViews>
  <sheetFormatPr defaultRowHeight="12.75"/>
  <cols>
    <col min="1" max="1" width="7.5703125" style="307" customWidth="1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9" ht="13.5" thickBot="1"/>
    <row r="2" spans="1:19" s="403" customFormat="1" ht="20.100000000000001" customHeight="1" thickTop="1" thickBot="1">
      <c r="B2" s="906" t="s">
        <v>715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631"/>
    </row>
    <row r="3" spans="1:19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9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9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  <c r="S5" s="81"/>
    </row>
    <row r="6" spans="1:19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9" s="2" customFormat="1" ht="12.95" customHeight="1">
      <c r="A7" s="305"/>
      <c r="B7" s="6" t="s">
        <v>126</v>
      </c>
      <c r="C7" s="7" t="s">
        <v>80</v>
      </c>
      <c r="D7" s="7" t="s">
        <v>81</v>
      </c>
      <c r="E7" s="653" t="s">
        <v>786</v>
      </c>
      <c r="F7" s="5"/>
      <c r="G7" s="306"/>
      <c r="H7" s="5"/>
      <c r="I7" s="97"/>
      <c r="J7" s="97"/>
      <c r="K7" s="578"/>
      <c r="L7" s="605"/>
      <c r="M7" s="97"/>
      <c r="N7" s="763"/>
      <c r="O7" s="713"/>
      <c r="P7" s="718"/>
    </row>
    <row r="8" spans="1:19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224110</v>
      </c>
      <c r="J8" s="537">
        <f t="shared" ref="J8" si="1">SUM(J9:J11)</f>
        <v>223110</v>
      </c>
      <c r="K8" s="537">
        <f>SUM(K9:K11)</f>
        <v>215605</v>
      </c>
      <c r="L8" s="564">
        <f>SUM(L9:L11)</f>
        <v>222606</v>
      </c>
      <c r="M8" s="233">
        <f>SUM(M9:M11)</f>
        <v>0</v>
      </c>
      <c r="N8" s="741">
        <f>SUM(N9:N11)</f>
        <v>222606</v>
      </c>
      <c r="O8" s="714">
        <f>IF(J8=0,"",N8/J8*100)</f>
        <v>99.774102460669624</v>
      </c>
      <c r="P8" s="719">
        <f>IF(K8=0,"",N8/K8*100)</f>
        <v>103.24714176387376</v>
      </c>
    </row>
    <row r="9" spans="1:19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184420</v>
      </c>
      <c r="J9" s="538">
        <v>184420</v>
      </c>
      <c r="K9" s="538">
        <v>178671</v>
      </c>
      <c r="L9" s="611">
        <v>183993</v>
      </c>
      <c r="M9" s="235">
        <v>0</v>
      </c>
      <c r="N9" s="742">
        <f>SUM(L9:M9)</f>
        <v>183993</v>
      </c>
      <c r="O9" s="715">
        <f>IF(J9=0,"",N9/J9*100)</f>
        <v>99.76846329031558</v>
      </c>
      <c r="P9" s="720">
        <f t="shared" ref="P9:P43" si="2">IF(K9=0,"",N9/K9*100)</f>
        <v>102.97865909968603</v>
      </c>
    </row>
    <row r="10" spans="1:19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39690</v>
      </c>
      <c r="J10" s="538">
        <v>38690</v>
      </c>
      <c r="K10" s="538">
        <v>36934</v>
      </c>
      <c r="L10" s="611">
        <v>38613</v>
      </c>
      <c r="M10" s="235">
        <v>0</v>
      </c>
      <c r="N10" s="742">
        <f t="shared" ref="N10:N11" si="3">SUM(L10:M10)</f>
        <v>38613</v>
      </c>
      <c r="O10" s="715">
        <f t="shared" ref="O10:O39" si="4">IF(J10=0,"",N10/J10*100)</f>
        <v>99.800982165934343</v>
      </c>
      <c r="P10" s="720">
        <f t="shared" si="2"/>
        <v>104.54594682406454</v>
      </c>
    </row>
    <row r="11" spans="1:19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9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9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19580</v>
      </c>
      <c r="J13" s="537">
        <f t="shared" si="6"/>
        <v>19580</v>
      </c>
      <c r="K13" s="537">
        <f>K14</f>
        <v>19148</v>
      </c>
      <c r="L13" s="564">
        <f>L14</f>
        <v>19418</v>
      </c>
      <c r="M13" s="233">
        <f>M14</f>
        <v>0</v>
      </c>
      <c r="N13" s="741">
        <f>N14</f>
        <v>19418</v>
      </c>
      <c r="O13" s="714">
        <f t="shared" si="4"/>
        <v>99.1726251276813</v>
      </c>
      <c r="P13" s="719">
        <f t="shared" si="2"/>
        <v>101.41006893670357</v>
      </c>
    </row>
    <row r="14" spans="1:19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19580</v>
      </c>
      <c r="J14" s="538">
        <v>19580</v>
      </c>
      <c r="K14" s="538">
        <v>19148</v>
      </c>
      <c r="L14" s="611">
        <v>19418</v>
      </c>
      <c r="M14" s="235">
        <v>0</v>
      </c>
      <c r="N14" s="742">
        <f>SUM(L14:M14)</f>
        <v>19418</v>
      </c>
      <c r="O14" s="715">
        <f t="shared" si="4"/>
        <v>99.1726251276813</v>
      </c>
      <c r="P14" s="720">
        <f t="shared" si="2"/>
        <v>101.41006893670357</v>
      </c>
    </row>
    <row r="15" spans="1:19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4"/>
        <v/>
      </c>
      <c r="P15" s="720" t="str">
        <f t="shared" si="2"/>
        <v/>
      </c>
    </row>
    <row r="16" spans="1:19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SUM(I17:I27)</f>
        <v>70850</v>
      </c>
      <c r="J16" s="537">
        <f t="shared" ref="J16" si="8">SUM(J17:J27)</f>
        <v>70850</v>
      </c>
      <c r="K16" s="537">
        <f>SUM(K17:K27)</f>
        <v>35253</v>
      </c>
      <c r="L16" s="567">
        <f>SUM(L17:L27)</f>
        <v>18127</v>
      </c>
      <c r="M16" s="316">
        <f>SUM(M17:M27)</f>
        <v>7523</v>
      </c>
      <c r="N16" s="732">
        <f>SUM(N17:N27)</f>
        <v>25650</v>
      </c>
      <c r="O16" s="714">
        <f t="shared" si="4"/>
        <v>36.20324629498942</v>
      </c>
      <c r="P16" s="719">
        <f t="shared" si="2"/>
        <v>72.759765126372216</v>
      </c>
    </row>
    <row r="17" spans="1:18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1500</v>
      </c>
      <c r="J17" s="538">
        <v>1500</v>
      </c>
      <c r="K17" s="538">
        <v>2592</v>
      </c>
      <c r="L17" s="551">
        <v>676</v>
      </c>
      <c r="M17" s="386">
        <v>0</v>
      </c>
      <c r="N17" s="742">
        <f t="shared" ref="N17:N27" si="9">SUM(L17:M17)</f>
        <v>676</v>
      </c>
      <c r="O17" s="715">
        <f t="shared" si="4"/>
        <v>45.066666666666663</v>
      </c>
      <c r="P17" s="720">
        <f t="shared" si="2"/>
        <v>26.080246913580247</v>
      </c>
    </row>
    <row r="18" spans="1:18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1">
        <v>0</v>
      </c>
      <c r="M18" s="386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8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3250</v>
      </c>
      <c r="J19" s="538">
        <v>3250</v>
      </c>
      <c r="K19" s="538">
        <v>2794</v>
      </c>
      <c r="L19" s="551">
        <v>3018</v>
      </c>
      <c r="M19" s="386">
        <v>0</v>
      </c>
      <c r="N19" s="742">
        <f t="shared" si="9"/>
        <v>3018</v>
      </c>
      <c r="O19" s="715">
        <f t="shared" si="4"/>
        <v>92.861538461538458</v>
      </c>
      <c r="P19" s="720">
        <f t="shared" si="2"/>
        <v>108.01717967072297</v>
      </c>
    </row>
    <row r="20" spans="1:18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100</v>
      </c>
      <c r="J20" s="538">
        <v>100</v>
      </c>
      <c r="K20" s="538">
        <v>199</v>
      </c>
      <c r="L20" s="551">
        <v>99</v>
      </c>
      <c r="M20" s="386">
        <v>0</v>
      </c>
      <c r="N20" s="742">
        <f t="shared" si="9"/>
        <v>99</v>
      </c>
      <c r="O20" s="715">
        <f t="shared" si="4"/>
        <v>99</v>
      </c>
      <c r="P20" s="720">
        <f t="shared" si="2"/>
        <v>49.748743718592962</v>
      </c>
    </row>
    <row r="21" spans="1:18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1">
        <v>0</v>
      </c>
      <c r="M21" s="386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8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8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1000</v>
      </c>
      <c r="J23" s="538">
        <v>1000</v>
      </c>
      <c r="K23" s="538">
        <v>414</v>
      </c>
      <c r="L23" s="551">
        <v>995</v>
      </c>
      <c r="M23" s="386">
        <v>0</v>
      </c>
      <c r="N23" s="742">
        <f t="shared" si="9"/>
        <v>995</v>
      </c>
      <c r="O23" s="715">
        <f t="shared" si="4"/>
        <v>99.5</v>
      </c>
      <c r="P23" s="720">
        <f t="shared" si="2"/>
        <v>240.33816425120773</v>
      </c>
    </row>
    <row r="24" spans="1:18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1">
        <v>0</v>
      </c>
      <c r="M24" s="386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  <c r="R24" s="55"/>
    </row>
    <row r="25" spans="1:18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15000</v>
      </c>
      <c r="J25" s="538">
        <v>15000</v>
      </c>
      <c r="K25" s="538">
        <v>29254</v>
      </c>
      <c r="L25" s="552">
        <v>13339</v>
      </c>
      <c r="M25" s="388">
        <v>0</v>
      </c>
      <c r="N25" s="742">
        <f t="shared" si="9"/>
        <v>13339</v>
      </c>
      <c r="O25" s="715">
        <f t="shared" si="4"/>
        <v>88.926666666666662</v>
      </c>
      <c r="P25" s="720">
        <f t="shared" si="2"/>
        <v>45.597183291173856</v>
      </c>
      <c r="R25" s="55"/>
    </row>
    <row r="26" spans="1:18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1">
        <v>0</v>
      </c>
      <c r="M26" s="386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8" ht="12.95" customHeight="1">
      <c r="B27" s="10"/>
      <c r="C27" s="11"/>
      <c r="D27" s="11"/>
      <c r="E27" s="309"/>
      <c r="F27" s="328">
        <v>613900</v>
      </c>
      <c r="G27" s="354" t="s">
        <v>548</v>
      </c>
      <c r="H27" s="20" t="s">
        <v>461</v>
      </c>
      <c r="I27" s="538">
        <v>50000</v>
      </c>
      <c r="J27" s="538">
        <v>50000</v>
      </c>
      <c r="K27" s="538">
        <v>0</v>
      </c>
      <c r="L27" s="552">
        <v>0</v>
      </c>
      <c r="M27" s="388">
        <v>7523</v>
      </c>
      <c r="N27" s="742">
        <f t="shared" si="9"/>
        <v>7523</v>
      </c>
      <c r="O27" s="715">
        <f t="shared" si="4"/>
        <v>15.046000000000001</v>
      </c>
      <c r="P27" s="720" t="str">
        <f t="shared" si="2"/>
        <v/>
      </c>
    </row>
    <row r="28" spans="1:18" ht="12.95" customHeight="1">
      <c r="B28" s="10"/>
      <c r="C28" s="11"/>
      <c r="D28" s="11"/>
      <c r="E28" s="309"/>
      <c r="F28" s="328"/>
      <c r="G28" s="354"/>
      <c r="H28" s="11"/>
      <c r="I28" s="537"/>
      <c r="J28" s="537"/>
      <c r="K28" s="537"/>
      <c r="L28" s="568"/>
      <c r="M28" s="311"/>
      <c r="N28" s="732"/>
      <c r="O28" s="715" t="str">
        <f t="shared" si="4"/>
        <v/>
      </c>
      <c r="P28" s="720" t="str">
        <f t="shared" si="2"/>
        <v/>
      </c>
    </row>
    <row r="29" spans="1:18" s="1" customFormat="1" ht="12.95" customHeight="1">
      <c r="A29" s="304"/>
      <c r="B29" s="12"/>
      <c r="C29" s="8"/>
      <c r="D29" s="8"/>
      <c r="E29" s="8"/>
      <c r="F29" s="327">
        <v>614000</v>
      </c>
      <c r="G29" s="353"/>
      <c r="H29" s="8" t="s">
        <v>173</v>
      </c>
      <c r="I29" s="537">
        <f t="shared" ref="I29" si="11">SUM(I30:I31)</f>
        <v>1670000</v>
      </c>
      <c r="J29" s="537">
        <f t="shared" ref="J29" si="12">SUM(J30:J31)</f>
        <v>1670000</v>
      </c>
      <c r="K29" s="537">
        <f>SUM(K30:K31)</f>
        <v>1148185</v>
      </c>
      <c r="L29" s="568">
        <f t="shared" ref="L29:N29" si="13">SUM(L30:L31)</f>
        <v>1002625</v>
      </c>
      <c r="M29" s="311">
        <f t="shared" si="13"/>
        <v>654823</v>
      </c>
      <c r="N29" s="732">
        <f t="shared" si="13"/>
        <v>1657448</v>
      </c>
      <c r="O29" s="714">
        <f t="shared" si="4"/>
        <v>99.248383233532934</v>
      </c>
      <c r="P29" s="719">
        <f t="shared" si="2"/>
        <v>144.35374090412259</v>
      </c>
    </row>
    <row r="30" spans="1:18" s="304" customFormat="1" ht="12.95" customHeight="1">
      <c r="B30" s="310"/>
      <c r="C30" s="8"/>
      <c r="D30" s="52"/>
      <c r="E30" s="52"/>
      <c r="F30" s="333">
        <v>614100</v>
      </c>
      <c r="G30" s="359" t="s">
        <v>688</v>
      </c>
      <c r="H30" s="83" t="s">
        <v>186</v>
      </c>
      <c r="I30" s="538">
        <v>0</v>
      </c>
      <c r="J30" s="538">
        <v>0</v>
      </c>
      <c r="K30" s="538">
        <v>0</v>
      </c>
      <c r="L30" s="608">
        <v>0</v>
      </c>
      <c r="M30" s="319">
        <v>0</v>
      </c>
      <c r="N30" s="742">
        <f>SUM(L30:M30)</f>
        <v>0</v>
      </c>
      <c r="O30" s="715" t="str">
        <f t="shared" ref="O30" si="14">IF(J30=0,"",N30/J30*100)</f>
        <v/>
      </c>
      <c r="P30" s="720" t="str">
        <f t="shared" si="2"/>
        <v/>
      </c>
    </row>
    <row r="31" spans="1:18" s="1" customFormat="1" ht="12.95" customHeight="1">
      <c r="A31" s="304"/>
      <c r="B31" s="12"/>
      <c r="C31" s="8"/>
      <c r="D31" s="52"/>
      <c r="E31" s="52"/>
      <c r="F31" s="333">
        <v>614500</v>
      </c>
      <c r="G31" s="359" t="s">
        <v>549</v>
      </c>
      <c r="H31" s="83" t="s">
        <v>525</v>
      </c>
      <c r="I31" s="538">
        <v>1670000</v>
      </c>
      <c r="J31" s="538">
        <v>1670000</v>
      </c>
      <c r="K31" s="538">
        <v>1148185</v>
      </c>
      <c r="L31" s="608">
        <f>1657448-654823</f>
        <v>1002625</v>
      </c>
      <c r="M31" s="319">
        <v>654823</v>
      </c>
      <c r="N31" s="742">
        <f>SUM(L31:M31)</f>
        <v>1657448</v>
      </c>
      <c r="O31" s="715">
        <f t="shared" si="4"/>
        <v>99.248383233532934</v>
      </c>
      <c r="P31" s="720">
        <f t="shared" si="2"/>
        <v>144.35374090412259</v>
      </c>
    </row>
    <row r="32" spans="1:18" s="307" customFormat="1" ht="12.95" customHeight="1">
      <c r="B32" s="308"/>
      <c r="C32" s="309"/>
      <c r="D32" s="309"/>
      <c r="E32" s="309"/>
      <c r="F32" s="328"/>
      <c r="G32" s="354"/>
      <c r="H32" s="309"/>
      <c r="I32" s="537"/>
      <c r="J32" s="537"/>
      <c r="K32" s="537"/>
      <c r="L32" s="568"/>
      <c r="M32" s="311"/>
      <c r="N32" s="732"/>
      <c r="O32" s="715" t="str">
        <f t="shared" ref="O32:O34" si="15">IF(J32=0,"",N32/J32*100)</f>
        <v/>
      </c>
      <c r="P32" s="720" t="str">
        <f t="shared" si="2"/>
        <v/>
      </c>
    </row>
    <row r="33" spans="1:16" s="304" customFormat="1" ht="12.95" customHeight="1">
      <c r="B33" s="310"/>
      <c r="C33" s="8"/>
      <c r="D33" s="8"/>
      <c r="E33" s="8"/>
      <c r="F33" s="327">
        <v>615000</v>
      </c>
      <c r="G33" s="353"/>
      <c r="H33" s="8" t="s">
        <v>88</v>
      </c>
      <c r="I33" s="537">
        <f t="shared" ref="I33:N33" si="16">I34</f>
        <v>418000</v>
      </c>
      <c r="J33" s="537">
        <f t="shared" si="16"/>
        <v>418000</v>
      </c>
      <c r="K33" s="537">
        <f>K34</f>
        <v>0</v>
      </c>
      <c r="L33" s="568">
        <f t="shared" si="16"/>
        <v>417715</v>
      </c>
      <c r="M33" s="311">
        <f t="shared" si="16"/>
        <v>0</v>
      </c>
      <c r="N33" s="732">
        <f t="shared" si="16"/>
        <v>417715</v>
      </c>
      <c r="O33" s="714">
        <f t="shared" si="15"/>
        <v>99.931818181818173</v>
      </c>
      <c r="P33" s="719" t="str">
        <f t="shared" si="2"/>
        <v/>
      </c>
    </row>
    <row r="34" spans="1:16" s="304" customFormat="1" ht="12.95" customHeight="1">
      <c r="B34" s="310"/>
      <c r="C34" s="8"/>
      <c r="D34" s="52"/>
      <c r="E34" s="52"/>
      <c r="F34" s="333">
        <v>615500</v>
      </c>
      <c r="G34" s="359" t="s">
        <v>689</v>
      </c>
      <c r="H34" s="83" t="s">
        <v>744</v>
      </c>
      <c r="I34" s="538">
        <v>418000</v>
      </c>
      <c r="J34" s="538">
        <v>418000</v>
      </c>
      <c r="K34" s="538">
        <v>0</v>
      </c>
      <c r="L34" s="608">
        <v>417715</v>
      </c>
      <c r="M34" s="319">
        <v>0</v>
      </c>
      <c r="N34" s="742">
        <f>SUM(L34:M34)</f>
        <v>417715</v>
      </c>
      <c r="O34" s="715">
        <f t="shared" si="15"/>
        <v>99.931818181818173</v>
      </c>
      <c r="P34" s="720" t="str">
        <f t="shared" si="2"/>
        <v/>
      </c>
    </row>
    <row r="35" spans="1:16" ht="12.95" customHeight="1">
      <c r="B35" s="10"/>
      <c r="C35" s="11"/>
      <c r="D35" s="11"/>
      <c r="E35" s="309"/>
      <c r="F35" s="328"/>
      <c r="G35" s="354"/>
      <c r="H35" s="20"/>
      <c r="I35" s="538"/>
      <c r="J35" s="538"/>
      <c r="K35" s="538"/>
      <c r="L35" s="608"/>
      <c r="M35" s="319"/>
      <c r="N35" s="743"/>
      <c r="O35" s="715" t="str">
        <f t="shared" si="4"/>
        <v/>
      </c>
      <c r="P35" s="720" t="str">
        <f t="shared" si="2"/>
        <v/>
      </c>
    </row>
    <row r="36" spans="1:16" ht="12.95" customHeight="1">
      <c r="B36" s="12"/>
      <c r="C36" s="8"/>
      <c r="D36" s="8"/>
      <c r="E36" s="8"/>
      <c r="F36" s="327">
        <v>821000</v>
      </c>
      <c r="G36" s="353"/>
      <c r="H36" s="8" t="s">
        <v>89</v>
      </c>
      <c r="I36" s="537">
        <f t="shared" ref="I36" si="17">SUM(I37:I38)</f>
        <v>2000</v>
      </c>
      <c r="J36" s="537">
        <f t="shared" ref="J36" si="18">SUM(J37:J38)</f>
        <v>2000</v>
      </c>
      <c r="K36" s="537">
        <f>SUM(K37:K38)</f>
        <v>860</v>
      </c>
      <c r="L36" s="574">
        <f>SUM(L37:L38)</f>
        <v>1898</v>
      </c>
      <c r="M36" s="318">
        <f>SUM(M37:M38)</f>
        <v>0</v>
      </c>
      <c r="N36" s="732">
        <f>SUM(N37:N38)</f>
        <v>1898</v>
      </c>
      <c r="O36" s="714">
        <f t="shared" si="4"/>
        <v>94.899999999999991</v>
      </c>
      <c r="P36" s="719">
        <f t="shared" si="2"/>
        <v>220.69767441860466</v>
      </c>
    </row>
    <row r="37" spans="1:16" ht="12.95" customHeight="1">
      <c r="B37" s="10"/>
      <c r="C37" s="11"/>
      <c r="D37" s="11"/>
      <c r="E37" s="309"/>
      <c r="F37" s="328">
        <v>821200</v>
      </c>
      <c r="G37" s="354"/>
      <c r="H37" s="11" t="s">
        <v>90</v>
      </c>
      <c r="I37" s="538">
        <v>0</v>
      </c>
      <c r="J37" s="538">
        <v>0</v>
      </c>
      <c r="K37" s="538">
        <v>0</v>
      </c>
      <c r="L37" s="608">
        <v>0</v>
      </c>
      <c r="M37" s="319">
        <v>0</v>
      </c>
      <c r="N37" s="742">
        <f t="shared" ref="N37:N38" si="19">SUM(L37:M37)</f>
        <v>0</v>
      </c>
      <c r="O37" s="737" t="str">
        <f t="shared" si="4"/>
        <v/>
      </c>
      <c r="P37" s="369" t="str">
        <f t="shared" si="2"/>
        <v/>
      </c>
    </row>
    <row r="38" spans="1:16" ht="12.95" customHeight="1">
      <c r="B38" s="10"/>
      <c r="C38" s="11"/>
      <c r="D38" s="11"/>
      <c r="E38" s="309"/>
      <c r="F38" s="328">
        <v>821300</v>
      </c>
      <c r="G38" s="354"/>
      <c r="H38" s="11" t="s">
        <v>91</v>
      </c>
      <c r="I38" s="538">
        <v>2000</v>
      </c>
      <c r="J38" s="538">
        <v>2000</v>
      </c>
      <c r="K38" s="538">
        <v>860</v>
      </c>
      <c r="L38" s="608">
        <v>1898</v>
      </c>
      <c r="M38" s="319">
        <v>0</v>
      </c>
      <c r="N38" s="742">
        <f t="shared" si="19"/>
        <v>1898</v>
      </c>
      <c r="O38" s="737">
        <f>IF(J38=0,"",N38/J38*100)</f>
        <v>94.899999999999991</v>
      </c>
      <c r="P38" s="369">
        <f t="shared" si="2"/>
        <v>220.69767441860466</v>
      </c>
    </row>
    <row r="39" spans="1:16" ht="12.95" customHeight="1">
      <c r="B39" s="10"/>
      <c r="C39" s="11"/>
      <c r="D39" s="11"/>
      <c r="E39" s="309"/>
      <c r="F39" s="328"/>
      <c r="G39" s="354"/>
      <c r="H39" s="11"/>
      <c r="I39" s="538"/>
      <c r="J39" s="538"/>
      <c r="K39" s="538"/>
      <c r="L39" s="607"/>
      <c r="M39" s="314"/>
      <c r="N39" s="743"/>
      <c r="O39" s="737" t="str">
        <f t="shared" si="4"/>
        <v/>
      </c>
      <c r="P39" s="369" t="str">
        <f t="shared" si="2"/>
        <v/>
      </c>
    </row>
    <row r="40" spans="1:16" ht="12.95" customHeight="1">
      <c r="B40" s="12"/>
      <c r="C40" s="8"/>
      <c r="D40" s="8"/>
      <c r="E40" s="8"/>
      <c r="F40" s="327"/>
      <c r="G40" s="353"/>
      <c r="H40" s="8" t="s">
        <v>92</v>
      </c>
      <c r="I40" s="539">
        <v>9</v>
      </c>
      <c r="J40" s="539"/>
      <c r="K40" s="537">
        <v>7</v>
      </c>
      <c r="L40" s="570">
        <v>9</v>
      </c>
      <c r="M40" s="318"/>
      <c r="N40" s="744">
        <v>9</v>
      </c>
      <c r="O40" s="737"/>
      <c r="P40" s="369"/>
    </row>
    <row r="41" spans="1:16" ht="12.95" customHeight="1">
      <c r="B41" s="12"/>
      <c r="C41" s="8"/>
      <c r="D41" s="8"/>
      <c r="E41" s="8"/>
      <c r="F41" s="327"/>
      <c r="G41" s="353"/>
      <c r="H41" s="8" t="s">
        <v>110</v>
      </c>
      <c r="I41" s="15">
        <f t="shared" ref="I41:N41" si="20">I8+I13+I16+I29+I33+I36</f>
        <v>2404540</v>
      </c>
      <c r="J41" s="15">
        <f t="shared" si="20"/>
        <v>2403540</v>
      </c>
      <c r="K41" s="561">
        <f t="shared" si="20"/>
        <v>1419051</v>
      </c>
      <c r="L41" s="568">
        <f t="shared" si="20"/>
        <v>1682389</v>
      </c>
      <c r="M41" s="311">
        <f t="shared" si="20"/>
        <v>662346</v>
      </c>
      <c r="N41" s="732">
        <f t="shared" si="20"/>
        <v>2344735</v>
      </c>
      <c r="O41" s="736">
        <f>IF(J41=0,"",N41/J41*100)</f>
        <v>97.553400401075081</v>
      </c>
      <c r="P41" s="368">
        <f t="shared" si="2"/>
        <v>165.23260968069508</v>
      </c>
    </row>
    <row r="42" spans="1:16" ht="12.95" customHeight="1">
      <c r="B42" s="12"/>
      <c r="C42" s="8"/>
      <c r="D42" s="8"/>
      <c r="E42" s="8"/>
      <c r="F42" s="327"/>
      <c r="G42" s="353"/>
      <c r="H42" s="8" t="s">
        <v>93</v>
      </c>
      <c r="I42" s="15">
        <f>I41</f>
        <v>2404540</v>
      </c>
      <c r="J42" s="15">
        <f>J41</f>
        <v>2403540</v>
      </c>
      <c r="K42" s="561">
        <f t="shared" ref="K42" si="21">K41</f>
        <v>1419051</v>
      </c>
      <c r="L42" s="568">
        <f t="shared" ref="L42:N43" si="22">L41</f>
        <v>1682389</v>
      </c>
      <c r="M42" s="311">
        <f t="shared" si="22"/>
        <v>662346</v>
      </c>
      <c r="N42" s="732">
        <f t="shared" si="22"/>
        <v>2344735</v>
      </c>
      <c r="O42" s="736">
        <f t="shared" ref="O42:O43" si="23">IF(J42=0,"",N42/J42*100)</f>
        <v>97.553400401075081</v>
      </c>
      <c r="P42" s="368">
        <f t="shared" si="2"/>
        <v>165.23260968069508</v>
      </c>
    </row>
    <row r="43" spans="1:16" s="1" customFormat="1" ht="12.95" customHeight="1">
      <c r="A43" s="304"/>
      <c r="B43" s="12"/>
      <c r="C43" s="8"/>
      <c r="D43" s="8"/>
      <c r="E43" s="8"/>
      <c r="F43" s="327"/>
      <c r="G43" s="353"/>
      <c r="H43" s="8" t="s">
        <v>94</v>
      </c>
      <c r="I43" s="15">
        <f>I42</f>
        <v>2404540</v>
      </c>
      <c r="J43" s="15">
        <f>J42</f>
        <v>2403540</v>
      </c>
      <c r="K43" s="561">
        <f t="shared" ref="K43" si="24">K42</f>
        <v>1419051</v>
      </c>
      <c r="L43" s="568">
        <f t="shared" si="22"/>
        <v>1682389</v>
      </c>
      <c r="M43" s="311">
        <f t="shared" si="22"/>
        <v>662346</v>
      </c>
      <c r="N43" s="732">
        <f t="shared" si="22"/>
        <v>2344735</v>
      </c>
      <c r="O43" s="736">
        <f t="shared" si="23"/>
        <v>97.553400401075081</v>
      </c>
      <c r="P43" s="368">
        <f t="shared" si="2"/>
        <v>165.23260968069508</v>
      </c>
    </row>
    <row r="44" spans="1:16" s="1" customFormat="1" ht="12.95" customHeight="1" thickBot="1">
      <c r="A44" s="304"/>
      <c r="B44" s="16"/>
      <c r="C44" s="17"/>
      <c r="D44" s="17"/>
      <c r="E44" s="17"/>
      <c r="F44" s="329"/>
      <c r="G44" s="355"/>
      <c r="H44" s="17"/>
      <c r="I44" s="32"/>
      <c r="J44" s="32"/>
      <c r="K44" s="562"/>
      <c r="L44" s="571"/>
      <c r="M44" s="32"/>
      <c r="N44" s="745"/>
      <c r="O44" s="739"/>
      <c r="P44" s="371"/>
    </row>
    <row r="45" spans="1:16" s="1" customFormat="1" ht="12.95" customHeight="1">
      <c r="A45" s="304"/>
      <c r="B45" s="9"/>
      <c r="C45" s="9"/>
      <c r="D45" s="9"/>
      <c r="E45" s="307"/>
      <c r="F45" s="330"/>
      <c r="G45" s="356"/>
      <c r="H45" s="55"/>
      <c r="I45" s="63"/>
      <c r="J45" s="63"/>
      <c r="K45" s="63"/>
      <c r="L45" s="63"/>
      <c r="M45" s="63"/>
      <c r="N45" s="410"/>
      <c r="O45" s="372"/>
      <c r="P45" s="372"/>
    </row>
    <row r="46" spans="1:16" s="1" customFormat="1" ht="12.95" customHeight="1">
      <c r="A46" s="304"/>
      <c r="B46" s="55"/>
      <c r="C46" s="9"/>
      <c r="D46" s="9"/>
      <c r="E46" s="307"/>
      <c r="F46" s="330"/>
      <c r="G46" s="356"/>
      <c r="H46" s="9"/>
      <c r="I46" s="63"/>
      <c r="J46" s="63"/>
      <c r="K46" s="63"/>
      <c r="L46" s="63"/>
      <c r="M46" s="63"/>
      <c r="N46" s="410"/>
      <c r="O46" s="372"/>
      <c r="P46" s="372"/>
    </row>
    <row r="47" spans="1:16" ht="12.95" customHeight="1">
      <c r="B47" s="55"/>
      <c r="F47" s="330"/>
      <c r="G47" s="356"/>
      <c r="N47" s="410"/>
    </row>
    <row r="48" spans="1:16" ht="12.95" customHeight="1">
      <c r="B48" s="55"/>
      <c r="F48" s="330"/>
      <c r="G48" s="356"/>
      <c r="N48" s="410"/>
    </row>
    <row r="49" spans="2:14" ht="12.95" customHeight="1">
      <c r="B49" s="55"/>
      <c r="F49" s="330"/>
      <c r="G49" s="356"/>
      <c r="N49" s="410"/>
    </row>
    <row r="50" spans="2:14" ht="12.95" customHeight="1">
      <c r="F50" s="330"/>
      <c r="G50" s="356"/>
      <c r="N50" s="410"/>
    </row>
    <row r="51" spans="2:14" ht="12.95" customHeight="1">
      <c r="F51" s="330"/>
      <c r="G51" s="356"/>
      <c r="N51" s="410"/>
    </row>
    <row r="52" spans="2:14" ht="12.95" customHeight="1">
      <c r="F52" s="330"/>
      <c r="G52" s="356"/>
      <c r="N52" s="410"/>
    </row>
    <row r="53" spans="2:14" ht="12.95" customHeight="1">
      <c r="F53" s="330"/>
      <c r="G53" s="356"/>
      <c r="N53" s="410"/>
    </row>
    <row r="54" spans="2:14" ht="12.95" customHeight="1">
      <c r="F54" s="330"/>
      <c r="G54" s="356"/>
      <c r="N54" s="410"/>
    </row>
    <row r="55" spans="2:14" ht="12.95" customHeight="1">
      <c r="F55" s="330"/>
      <c r="G55" s="356"/>
      <c r="N55" s="410"/>
    </row>
    <row r="56" spans="2:14" ht="12.95" customHeight="1">
      <c r="F56" s="330"/>
      <c r="G56" s="356"/>
      <c r="N56" s="410"/>
    </row>
    <row r="57" spans="2:14" ht="12.95" customHeight="1">
      <c r="F57" s="330"/>
      <c r="G57" s="356"/>
      <c r="N57" s="410"/>
    </row>
    <row r="58" spans="2:14" ht="12.95" customHeight="1">
      <c r="F58" s="330"/>
      <c r="G58" s="356"/>
      <c r="N58" s="410"/>
    </row>
    <row r="59" spans="2:14" ht="12.95" customHeight="1">
      <c r="F59" s="330"/>
      <c r="G59" s="356"/>
      <c r="N59" s="410"/>
    </row>
    <row r="60" spans="2:14" ht="12.95" customHeight="1">
      <c r="F60" s="330"/>
      <c r="G60" s="356"/>
      <c r="N60" s="410"/>
    </row>
    <row r="61" spans="2:14" ht="12.95" customHeight="1">
      <c r="F61" s="330"/>
      <c r="G61" s="356"/>
      <c r="N61" s="410"/>
    </row>
    <row r="62" spans="2:14" ht="12.95" customHeight="1">
      <c r="F62" s="330"/>
      <c r="G62" s="356"/>
      <c r="N62" s="410"/>
    </row>
    <row r="63" spans="2:14" ht="12.95" customHeight="1">
      <c r="F63" s="330"/>
      <c r="G63" s="356"/>
      <c r="N63" s="410"/>
    </row>
    <row r="64" spans="2:14" ht="17.100000000000001" customHeight="1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56"/>
      <c r="N74" s="410"/>
    </row>
    <row r="75" spans="6:14" ht="14.25">
      <c r="F75" s="330"/>
      <c r="G75" s="356"/>
      <c r="N75" s="410"/>
    </row>
    <row r="76" spans="6:14" ht="14.25">
      <c r="F76" s="330"/>
      <c r="G76" s="356"/>
      <c r="N76" s="410"/>
    </row>
    <row r="77" spans="6:14" ht="14.25">
      <c r="F77" s="330"/>
      <c r="G77" s="356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 ht="14.25">
      <c r="F91" s="330"/>
      <c r="G91" s="330"/>
      <c r="N91" s="410"/>
    </row>
    <row r="92" spans="6:14" ht="14.25">
      <c r="F92" s="330"/>
      <c r="G92" s="330"/>
      <c r="N92" s="410"/>
    </row>
    <row r="93" spans="6:14" ht="14.25">
      <c r="F93" s="330"/>
      <c r="G93" s="330"/>
      <c r="N93" s="410"/>
    </row>
    <row r="94" spans="6:14" ht="14.25">
      <c r="F94" s="330"/>
      <c r="G94" s="330"/>
      <c r="N94" s="410"/>
    </row>
    <row r="95" spans="6:14">
      <c r="G95" s="330"/>
    </row>
    <row r="96" spans="6:14">
      <c r="G96" s="330"/>
    </row>
    <row r="97" spans="7:7">
      <c r="G97" s="330"/>
    </row>
    <row r="98" spans="7:7">
      <c r="G98" s="330"/>
    </row>
    <row r="99" spans="7:7">
      <c r="G99" s="330"/>
    </row>
    <row r="100" spans="7:7">
      <c r="G100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22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T100"/>
  <sheetViews>
    <sheetView topLeftCell="A13" zoomScaleNormal="100" workbookViewId="0">
      <selection activeCell="N54" sqref="N54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7" width="11" style="9" bestFit="1" customWidth="1"/>
    <col min="18" max="16384" width="9.140625" style="9"/>
  </cols>
  <sheetData>
    <row r="1" spans="1:20" ht="13.5" thickBot="1"/>
    <row r="2" spans="1:20" s="109" customFormat="1" ht="20.100000000000001" customHeight="1" thickTop="1" thickBot="1">
      <c r="B2" s="906" t="s">
        <v>716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20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394"/>
      <c r="M3" s="394"/>
      <c r="N3" s="394"/>
      <c r="O3" s="366"/>
      <c r="P3" s="366"/>
      <c r="Q3" s="395"/>
    </row>
    <row r="4" spans="1:20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20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20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20" s="2" customFormat="1" ht="12.95" customHeight="1">
      <c r="A7" s="305"/>
      <c r="B7" s="6" t="s">
        <v>127</v>
      </c>
      <c r="C7" s="7" t="s">
        <v>80</v>
      </c>
      <c r="D7" s="7" t="s">
        <v>81</v>
      </c>
      <c r="E7" s="653" t="s">
        <v>787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20" s="2" customFormat="1" ht="12.95" customHeight="1">
      <c r="A8" s="305"/>
      <c r="B8" s="6"/>
      <c r="C8" s="7"/>
      <c r="D8" s="7"/>
      <c r="E8" s="7"/>
      <c r="F8" s="327">
        <v>600000</v>
      </c>
      <c r="G8" s="353"/>
      <c r="H8" s="21" t="s">
        <v>116</v>
      </c>
      <c r="I8" s="539">
        <f t="shared" ref="I8:J8" si="0">I9</f>
        <v>12000</v>
      </c>
      <c r="J8" s="539">
        <f t="shared" si="0"/>
        <v>12000</v>
      </c>
      <c r="K8" s="539">
        <f>K9</f>
        <v>15000</v>
      </c>
      <c r="L8" s="612">
        <f>L9</f>
        <v>12000</v>
      </c>
      <c r="M8" s="301">
        <f>M9</f>
        <v>0</v>
      </c>
      <c r="N8" s="744">
        <f>N9</f>
        <v>12000</v>
      </c>
      <c r="O8" s="714">
        <f>IF(J8=0,"",N8/J8*100)</f>
        <v>100</v>
      </c>
      <c r="P8" s="719">
        <f>IF(K8=0,"",N8/K8*100)</f>
        <v>80</v>
      </c>
    </row>
    <row r="9" spans="1:20" s="2" customFormat="1" ht="12.95" customHeight="1">
      <c r="A9" s="305"/>
      <c r="B9" s="6"/>
      <c r="C9" s="7"/>
      <c r="D9" s="7"/>
      <c r="E9" s="7"/>
      <c r="F9" s="328">
        <v>600000</v>
      </c>
      <c r="G9" s="354"/>
      <c r="H9" s="40" t="s">
        <v>106</v>
      </c>
      <c r="I9" s="538">
        <v>12000</v>
      </c>
      <c r="J9" s="538">
        <v>12000</v>
      </c>
      <c r="K9" s="538">
        <v>15000</v>
      </c>
      <c r="L9" s="569">
        <v>12000</v>
      </c>
      <c r="M9" s="303">
        <v>0</v>
      </c>
      <c r="N9" s="743">
        <f>SUM(L9:M9)</f>
        <v>12000</v>
      </c>
      <c r="O9" s="715">
        <f>IF(J9=0,"",N9/J9*100)</f>
        <v>100</v>
      </c>
      <c r="P9" s="720">
        <f t="shared" ref="P9:P56" si="1">IF(K9=0,"",N9/K9*100)</f>
        <v>80</v>
      </c>
    </row>
    <row r="10" spans="1:20" s="2" customFormat="1" ht="6.75" customHeight="1">
      <c r="A10" s="305"/>
      <c r="B10" s="6"/>
      <c r="C10" s="7"/>
      <c r="D10" s="7"/>
      <c r="E10" s="7"/>
      <c r="F10" s="327"/>
      <c r="G10" s="353"/>
      <c r="H10" s="5"/>
      <c r="I10" s="538"/>
      <c r="J10" s="538"/>
      <c r="K10" s="538"/>
      <c r="L10" s="569"/>
      <c r="M10" s="303"/>
      <c r="N10" s="743"/>
      <c r="O10" s="715" t="str">
        <f t="shared" ref="O10:O33" si="2">IF(J10=0,"",N10/J10*100)</f>
        <v/>
      </c>
      <c r="P10" s="720" t="str">
        <f t="shared" si="1"/>
        <v/>
      </c>
    </row>
    <row r="11" spans="1:20" s="1" customFormat="1" ht="12.95" customHeight="1">
      <c r="A11" s="304"/>
      <c r="B11" s="12"/>
      <c r="C11" s="8"/>
      <c r="D11" s="8"/>
      <c r="E11" s="8"/>
      <c r="F11" s="327">
        <v>611000</v>
      </c>
      <c r="G11" s="353"/>
      <c r="H11" s="8" t="s">
        <v>146</v>
      </c>
      <c r="I11" s="537">
        <f t="shared" ref="I11" si="3">SUM(I12:I14)</f>
        <v>374980</v>
      </c>
      <c r="J11" s="537">
        <f t="shared" ref="J11" si="4">SUM(J12:J14)</f>
        <v>375190</v>
      </c>
      <c r="K11" s="537">
        <f>SUM(K12:K14)</f>
        <v>368100</v>
      </c>
      <c r="L11" s="564">
        <f>SUM(L12:L14)</f>
        <v>375103</v>
      </c>
      <c r="M11" s="233">
        <f>SUM(M12:M14)</f>
        <v>0</v>
      </c>
      <c r="N11" s="741">
        <f>SUM(N12:N14)</f>
        <v>375103</v>
      </c>
      <c r="O11" s="714">
        <f t="shared" si="2"/>
        <v>99.976811748713985</v>
      </c>
      <c r="P11" s="719">
        <f t="shared" si="1"/>
        <v>101.9024721543059</v>
      </c>
    </row>
    <row r="12" spans="1:20" ht="12.95" customHeight="1">
      <c r="B12" s="10"/>
      <c r="C12" s="11"/>
      <c r="D12" s="11"/>
      <c r="E12" s="309"/>
      <c r="F12" s="328">
        <v>611100</v>
      </c>
      <c r="G12" s="354"/>
      <c r="H12" s="20" t="s">
        <v>169</v>
      </c>
      <c r="I12" s="538">
        <v>310480</v>
      </c>
      <c r="J12" s="538">
        <v>309180</v>
      </c>
      <c r="K12" s="538">
        <v>299458</v>
      </c>
      <c r="L12" s="611">
        <v>309173</v>
      </c>
      <c r="M12" s="235">
        <v>0</v>
      </c>
      <c r="N12" s="743">
        <f t="shared" ref="N12:N14" si="5">SUM(L12:M12)</f>
        <v>309173</v>
      </c>
      <c r="O12" s="715">
        <f t="shared" si="2"/>
        <v>99.997735946697716</v>
      </c>
      <c r="P12" s="720">
        <f t="shared" si="1"/>
        <v>103.24419451141729</v>
      </c>
    </row>
    <row r="13" spans="1:20" ht="12.95" customHeight="1">
      <c r="B13" s="10"/>
      <c r="C13" s="11"/>
      <c r="D13" s="11"/>
      <c r="E13" s="309"/>
      <c r="F13" s="328">
        <v>611200</v>
      </c>
      <c r="G13" s="354"/>
      <c r="H13" s="11" t="s">
        <v>170</v>
      </c>
      <c r="I13" s="538">
        <v>64500</v>
      </c>
      <c r="J13" s="538">
        <v>66010</v>
      </c>
      <c r="K13" s="538">
        <v>68642</v>
      </c>
      <c r="L13" s="565">
        <v>65930</v>
      </c>
      <c r="M13" s="232">
        <v>0</v>
      </c>
      <c r="N13" s="743">
        <f t="shared" si="5"/>
        <v>65930</v>
      </c>
      <c r="O13" s="715">
        <f t="shared" si="2"/>
        <v>99.878806241478571</v>
      </c>
      <c r="P13" s="720">
        <f t="shared" si="1"/>
        <v>96.04906616940066</v>
      </c>
      <c r="T13" s="626" t="s">
        <v>151</v>
      </c>
    </row>
    <row r="14" spans="1:20" ht="12.95" customHeight="1">
      <c r="B14" s="10"/>
      <c r="C14" s="11"/>
      <c r="D14" s="11"/>
      <c r="E14" s="309"/>
      <c r="F14" s="328">
        <v>611200</v>
      </c>
      <c r="G14" s="354"/>
      <c r="H14" s="211" t="s">
        <v>451</v>
      </c>
      <c r="I14" s="538">
        <f t="shared" ref="I14:J14" si="6">SUM(G14:H14)</f>
        <v>0</v>
      </c>
      <c r="J14" s="538">
        <f t="shared" si="6"/>
        <v>0</v>
      </c>
      <c r="K14" s="538">
        <v>0</v>
      </c>
      <c r="L14" s="565">
        <v>0</v>
      </c>
      <c r="M14" s="232">
        <v>0</v>
      </c>
      <c r="N14" s="743">
        <f t="shared" si="5"/>
        <v>0</v>
      </c>
      <c r="O14" s="715" t="str">
        <f t="shared" si="2"/>
        <v/>
      </c>
      <c r="P14" s="720" t="str">
        <f t="shared" si="1"/>
        <v/>
      </c>
      <c r="R14" s="62"/>
    </row>
    <row r="15" spans="1:20" ht="7.5" customHeight="1">
      <c r="B15" s="10"/>
      <c r="C15" s="11"/>
      <c r="D15" s="11"/>
      <c r="E15" s="309"/>
      <c r="F15" s="328"/>
      <c r="G15" s="354"/>
      <c r="H15" s="20"/>
      <c r="I15" s="538"/>
      <c r="J15" s="538"/>
      <c r="K15" s="538"/>
      <c r="L15" s="565"/>
      <c r="M15" s="232"/>
      <c r="N15" s="742"/>
      <c r="O15" s="715" t="str">
        <f t="shared" si="2"/>
        <v/>
      </c>
      <c r="P15" s="720" t="str">
        <f t="shared" si="1"/>
        <v/>
      </c>
    </row>
    <row r="16" spans="1:20" s="1" customFormat="1" ht="12.95" customHeight="1">
      <c r="A16" s="304"/>
      <c r="B16" s="12"/>
      <c r="C16" s="8"/>
      <c r="D16" s="8"/>
      <c r="E16" s="8"/>
      <c r="F16" s="327">
        <v>612000</v>
      </c>
      <c r="G16" s="353"/>
      <c r="H16" s="8" t="s">
        <v>145</v>
      </c>
      <c r="I16" s="537">
        <f t="shared" ref="I16" si="7">I17+I18</f>
        <v>32970</v>
      </c>
      <c r="J16" s="537">
        <f t="shared" ref="J16" si="8">J17+J18</f>
        <v>32760</v>
      </c>
      <c r="K16" s="537">
        <f>K17</f>
        <v>32258</v>
      </c>
      <c r="L16" s="564">
        <f>L17+L18</f>
        <v>32759</v>
      </c>
      <c r="M16" s="233">
        <f>M17+M18</f>
        <v>0</v>
      </c>
      <c r="N16" s="741">
        <f>N17+N18</f>
        <v>32759</v>
      </c>
      <c r="O16" s="714">
        <f t="shared" si="2"/>
        <v>99.996947496947499</v>
      </c>
      <c r="P16" s="719">
        <f t="shared" si="1"/>
        <v>101.55310310620622</v>
      </c>
    </row>
    <row r="17" spans="1:16" ht="12.95" customHeight="1">
      <c r="B17" s="10"/>
      <c r="C17" s="11"/>
      <c r="D17" s="11"/>
      <c r="E17" s="309"/>
      <c r="F17" s="328">
        <v>612100</v>
      </c>
      <c r="G17" s="354"/>
      <c r="H17" s="13" t="s">
        <v>82</v>
      </c>
      <c r="I17" s="538">
        <v>32970</v>
      </c>
      <c r="J17" s="538">
        <v>32760</v>
      </c>
      <c r="K17" s="538">
        <v>32258</v>
      </c>
      <c r="L17" s="565">
        <v>32759</v>
      </c>
      <c r="M17" s="232">
        <v>0</v>
      </c>
      <c r="N17" s="743">
        <f>SUM(L17:M17)</f>
        <v>32759</v>
      </c>
      <c r="O17" s="715">
        <f t="shared" si="2"/>
        <v>99.996947496947499</v>
      </c>
      <c r="P17" s="720">
        <f t="shared" si="1"/>
        <v>101.55310310620622</v>
      </c>
    </row>
    <row r="18" spans="1:16" ht="12.95" customHeight="1">
      <c r="B18" s="10"/>
      <c r="C18" s="11"/>
      <c r="D18" s="11"/>
      <c r="E18" s="309"/>
      <c r="F18" s="328"/>
      <c r="G18" s="354"/>
      <c r="H18" s="11"/>
      <c r="I18" s="538"/>
      <c r="J18" s="538"/>
      <c r="K18" s="538"/>
      <c r="L18" s="566"/>
      <c r="M18" s="302"/>
      <c r="N18" s="743"/>
      <c r="O18" s="715" t="str">
        <f t="shared" si="2"/>
        <v/>
      </c>
      <c r="P18" s="720" t="str">
        <f t="shared" si="1"/>
        <v/>
      </c>
    </row>
    <row r="19" spans="1:16" s="1" customFormat="1" ht="12.95" customHeight="1">
      <c r="A19" s="304"/>
      <c r="B19" s="12"/>
      <c r="C19" s="8"/>
      <c r="D19" s="8"/>
      <c r="E19" s="8"/>
      <c r="F19" s="327">
        <v>613000</v>
      </c>
      <c r="G19" s="353"/>
      <c r="H19" s="8" t="s">
        <v>147</v>
      </c>
      <c r="I19" s="537">
        <f t="shared" ref="I19" si="9">SUM(I20:I30)</f>
        <v>102000</v>
      </c>
      <c r="J19" s="537">
        <f t="shared" ref="J19" si="10">SUM(J20:J30)</f>
        <v>102000</v>
      </c>
      <c r="K19" s="537">
        <f>SUM(K20:K30)</f>
        <v>94015</v>
      </c>
      <c r="L19" s="567">
        <f>SUM(L20:L30)</f>
        <v>96906</v>
      </c>
      <c r="M19" s="316">
        <f>SUM(M20:M30)</f>
        <v>0</v>
      </c>
      <c r="N19" s="732">
        <f>SUM(N20:N30)</f>
        <v>96906</v>
      </c>
      <c r="O19" s="714">
        <f t="shared" si="2"/>
        <v>95.005882352941171</v>
      </c>
      <c r="P19" s="719">
        <f t="shared" si="1"/>
        <v>103.07504121682712</v>
      </c>
    </row>
    <row r="20" spans="1:16" ht="12.95" customHeight="1">
      <c r="B20" s="10"/>
      <c r="C20" s="11"/>
      <c r="D20" s="11"/>
      <c r="E20" s="309"/>
      <c r="F20" s="328">
        <v>613100</v>
      </c>
      <c r="G20" s="354"/>
      <c r="H20" s="11" t="s">
        <v>83</v>
      </c>
      <c r="I20" s="538">
        <v>1500</v>
      </c>
      <c r="J20" s="538">
        <v>770</v>
      </c>
      <c r="K20" s="538">
        <v>2311</v>
      </c>
      <c r="L20" s="566">
        <v>688</v>
      </c>
      <c r="M20" s="302">
        <v>0</v>
      </c>
      <c r="N20" s="743">
        <f t="shared" ref="N20:N30" si="11">SUM(L20:M20)</f>
        <v>688</v>
      </c>
      <c r="O20" s="715">
        <f t="shared" si="2"/>
        <v>89.350649350649348</v>
      </c>
      <c r="P20" s="720">
        <f t="shared" si="1"/>
        <v>29.77066205106015</v>
      </c>
    </row>
    <row r="21" spans="1:16" ht="12.95" customHeight="1">
      <c r="B21" s="10"/>
      <c r="C21" s="11"/>
      <c r="D21" s="11"/>
      <c r="E21" s="309"/>
      <c r="F21" s="328">
        <v>613200</v>
      </c>
      <c r="G21" s="354"/>
      <c r="H21" s="11" t="s">
        <v>84</v>
      </c>
      <c r="I21" s="538">
        <f t="shared" ref="I21:J30" si="12">SUM(G21:H21)</f>
        <v>0</v>
      </c>
      <c r="J21" s="538">
        <f t="shared" si="12"/>
        <v>0</v>
      </c>
      <c r="K21" s="538">
        <v>0</v>
      </c>
      <c r="L21" s="566">
        <v>0</v>
      </c>
      <c r="M21" s="302">
        <v>0</v>
      </c>
      <c r="N21" s="743">
        <f t="shared" si="11"/>
        <v>0</v>
      </c>
      <c r="O21" s="715" t="str">
        <f t="shared" si="2"/>
        <v/>
      </c>
      <c r="P21" s="720" t="str">
        <f t="shared" si="1"/>
        <v/>
      </c>
    </row>
    <row r="22" spans="1:16" ht="12.95" customHeight="1">
      <c r="B22" s="10"/>
      <c r="C22" s="11"/>
      <c r="D22" s="11"/>
      <c r="E22" s="309"/>
      <c r="F22" s="328">
        <v>613300</v>
      </c>
      <c r="G22" s="354"/>
      <c r="H22" s="20" t="s">
        <v>171</v>
      </c>
      <c r="I22" s="538">
        <v>7600</v>
      </c>
      <c r="J22" s="538">
        <v>7600</v>
      </c>
      <c r="K22" s="538">
        <v>7348</v>
      </c>
      <c r="L22" s="566">
        <v>7387</v>
      </c>
      <c r="M22" s="302">
        <v>0</v>
      </c>
      <c r="N22" s="743">
        <f t="shared" si="11"/>
        <v>7387</v>
      </c>
      <c r="O22" s="715">
        <f t="shared" si="2"/>
        <v>97.19736842105263</v>
      </c>
      <c r="P22" s="720">
        <f t="shared" si="1"/>
        <v>100.53075666848122</v>
      </c>
    </row>
    <row r="23" spans="1:16" ht="12.95" customHeight="1">
      <c r="B23" s="10"/>
      <c r="C23" s="11"/>
      <c r="D23" s="11"/>
      <c r="E23" s="309"/>
      <c r="F23" s="328">
        <v>613400</v>
      </c>
      <c r="G23" s="354"/>
      <c r="H23" s="11" t="s">
        <v>148</v>
      </c>
      <c r="I23" s="538">
        <v>3000</v>
      </c>
      <c r="J23" s="538">
        <v>3000</v>
      </c>
      <c r="K23" s="538">
        <v>2340</v>
      </c>
      <c r="L23" s="566">
        <v>2948</v>
      </c>
      <c r="M23" s="302">
        <v>0</v>
      </c>
      <c r="N23" s="743">
        <f t="shared" si="11"/>
        <v>2948</v>
      </c>
      <c r="O23" s="715">
        <f t="shared" si="2"/>
        <v>98.266666666666666</v>
      </c>
      <c r="P23" s="720">
        <f t="shared" si="1"/>
        <v>125.98290598290598</v>
      </c>
    </row>
    <row r="24" spans="1:16" ht="12.95" customHeight="1">
      <c r="B24" s="10"/>
      <c r="C24" s="11"/>
      <c r="D24" s="11"/>
      <c r="E24" s="309"/>
      <c r="F24" s="328">
        <v>613500</v>
      </c>
      <c r="G24" s="354"/>
      <c r="H24" s="11" t="s">
        <v>85</v>
      </c>
      <c r="I24" s="538">
        <f t="shared" si="12"/>
        <v>0</v>
      </c>
      <c r="J24" s="538">
        <f t="shared" si="12"/>
        <v>0</v>
      </c>
      <c r="K24" s="538">
        <v>0</v>
      </c>
      <c r="L24" s="569">
        <v>0</v>
      </c>
      <c r="M24" s="303">
        <v>0</v>
      </c>
      <c r="N24" s="743">
        <f t="shared" si="11"/>
        <v>0</v>
      </c>
      <c r="O24" s="715" t="str">
        <f t="shared" si="2"/>
        <v/>
      </c>
      <c r="P24" s="720" t="str">
        <f t="shared" si="1"/>
        <v/>
      </c>
    </row>
    <row r="25" spans="1:16" ht="12.95" customHeight="1">
      <c r="B25" s="10"/>
      <c r="C25" s="11"/>
      <c r="D25" s="11"/>
      <c r="E25" s="309"/>
      <c r="F25" s="328">
        <v>613600</v>
      </c>
      <c r="G25" s="354"/>
      <c r="H25" s="20" t="s">
        <v>172</v>
      </c>
      <c r="I25" s="538">
        <f t="shared" si="12"/>
        <v>0</v>
      </c>
      <c r="J25" s="538">
        <f t="shared" si="12"/>
        <v>0</v>
      </c>
      <c r="K25" s="538">
        <v>0</v>
      </c>
      <c r="L25" s="569">
        <v>0</v>
      </c>
      <c r="M25" s="303">
        <v>0</v>
      </c>
      <c r="N25" s="743">
        <f t="shared" si="11"/>
        <v>0</v>
      </c>
      <c r="O25" s="715" t="str">
        <f t="shared" si="2"/>
        <v/>
      </c>
      <c r="P25" s="720" t="str">
        <f t="shared" si="1"/>
        <v/>
      </c>
    </row>
    <row r="26" spans="1:16" ht="12.95" customHeight="1">
      <c r="B26" s="10"/>
      <c r="C26" s="11"/>
      <c r="D26" s="11"/>
      <c r="E26" s="309"/>
      <c r="F26" s="328">
        <v>613700</v>
      </c>
      <c r="G26" s="354"/>
      <c r="H26" s="11" t="s">
        <v>86</v>
      </c>
      <c r="I26" s="538">
        <v>1500</v>
      </c>
      <c r="J26" s="538">
        <v>1200</v>
      </c>
      <c r="K26" s="538">
        <v>1626</v>
      </c>
      <c r="L26" s="608">
        <v>626</v>
      </c>
      <c r="M26" s="319">
        <v>0</v>
      </c>
      <c r="N26" s="743">
        <f t="shared" si="11"/>
        <v>626</v>
      </c>
      <c r="O26" s="715">
        <f t="shared" si="2"/>
        <v>52.166666666666664</v>
      </c>
      <c r="P26" s="720">
        <f t="shared" si="1"/>
        <v>38.499384993849937</v>
      </c>
    </row>
    <row r="27" spans="1:16" ht="12.95" customHeight="1">
      <c r="B27" s="10"/>
      <c r="C27" s="11"/>
      <c r="D27" s="11"/>
      <c r="E27" s="309"/>
      <c r="F27" s="328">
        <v>613800</v>
      </c>
      <c r="G27" s="354"/>
      <c r="H27" s="11" t="s">
        <v>149</v>
      </c>
      <c r="I27" s="538">
        <v>9600</v>
      </c>
      <c r="J27" s="538">
        <v>10230</v>
      </c>
      <c r="K27" s="538">
        <v>5669</v>
      </c>
      <c r="L27" s="569">
        <v>10222</v>
      </c>
      <c r="M27" s="303">
        <v>0</v>
      </c>
      <c r="N27" s="743">
        <f t="shared" si="11"/>
        <v>10222</v>
      </c>
      <c r="O27" s="715">
        <f t="shared" si="2"/>
        <v>99.921798631476051</v>
      </c>
      <c r="P27" s="720">
        <f t="shared" si="1"/>
        <v>180.31398835773504</v>
      </c>
    </row>
    <row r="28" spans="1:16" ht="12.95" customHeight="1">
      <c r="B28" s="10"/>
      <c r="C28" s="11"/>
      <c r="D28" s="11"/>
      <c r="E28" s="309"/>
      <c r="F28" s="328">
        <v>613900</v>
      </c>
      <c r="G28" s="354"/>
      <c r="H28" s="11" t="s">
        <v>150</v>
      </c>
      <c r="I28" s="538">
        <v>13800</v>
      </c>
      <c r="J28" s="538">
        <v>14200</v>
      </c>
      <c r="K28" s="538">
        <v>11260</v>
      </c>
      <c r="L28" s="613">
        <v>14019</v>
      </c>
      <c r="M28" s="300">
        <v>0</v>
      </c>
      <c r="N28" s="743">
        <f t="shared" si="11"/>
        <v>14019</v>
      </c>
      <c r="O28" s="715">
        <f t="shared" si="2"/>
        <v>98.725352112676063</v>
      </c>
      <c r="P28" s="720">
        <f t="shared" si="1"/>
        <v>124.50266429840143</v>
      </c>
    </row>
    <row r="29" spans="1:16" ht="12.95" customHeight="1">
      <c r="B29" s="10"/>
      <c r="C29" s="11"/>
      <c r="D29" s="11"/>
      <c r="E29" s="649"/>
      <c r="F29" s="334">
        <v>613900</v>
      </c>
      <c r="G29" s="360" t="s">
        <v>550</v>
      </c>
      <c r="H29" s="20" t="s">
        <v>455</v>
      </c>
      <c r="I29" s="538">
        <v>65000</v>
      </c>
      <c r="J29" s="538">
        <v>65000</v>
      </c>
      <c r="K29" s="538">
        <v>63461</v>
      </c>
      <c r="L29" s="569">
        <v>61016</v>
      </c>
      <c r="M29" s="303">
        <v>0</v>
      </c>
      <c r="N29" s="743">
        <f t="shared" si="11"/>
        <v>61016</v>
      </c>
      <c r="O29" s="715">
        <f t="shared" si="2"/>
        <v>93.870769230769241</v>
      </c>
      <c r="P29" s="720">
        <f t="shared" si="1"/>
        <v>96.147240037188197</v>
      </c>
    </row>
    <row r="30" spans="1:16" ht="12.95" customHeight="1">
      <c r="B30" s="10"/>
      <c r="C30" s="11"/>
      <c r="D30" s="11"/>
      <c r="E30" s="309"/>
      <c r="F30" s="328">
        <v>613900</v>
      </c>
      <c r="G30" s="354"/>
      <c r="H30" s="211" t="s">
        <v>452</v>
      </c>
      <c r="I30" s="538">
        <f t="shared" si="12"/>
        <v>0</v>
      </c>
      <c r="J30" s="538">
        <f t="shared" si="12"/>
        <v>0</v>
      </c>
      <c r="K30" s="538">
        <v>0</v>
      </c>
      <c r="L30" s="569">
        <v>0</v>
      </c>
      <c r="M30" s="303">
        <v>0</v>
      </c>
      <c r="N30" s="743">
        <f t="shared" si="11"/>
        <v>0</v>
      </c>
      <c r="O30" s="715" t="str">
        <f t="shared" si="2"/>
        <v/>
      </c>
      <c r="P30" s="720" t="str">
        <f t="shared" si="1"/>
        <v/>
      </c>
    </row>
    <row r="31" spans="1:16" ht="6" customHeight="1">
      <c r="B31" s="10"/>
      <c r="C31" s="11"/>
      <c r="D31" s="11"/>
      <c r="E31" s="649"/>
      <c r="F31" s="334"/>
      <c r="G31" s="360"/>
      <c r="H31" s="11"/>
      <c r="I31" s="538"/>
      <c r="J31" s="538"/>
      <c r="K31" s="538"/>
      <c r="L31" s="569"/>
      <c r="M31" s="303"/>
      <c r="N31" s="743"/>
      <c r="O31" s="715" t="str">
        <f t="shared" si="2"/>
        <v/>
      </c>
      <c r="P31" s="720" t="str">
        <f t="shared" si="1"/>
        <v/>
      </c>
    </row>
    <row r="32" spans="1:16" s="1" customFormat="1" ht="12.95" customHeight="1">
      <c r="A32" s="304"/>
      <c r="B32" s="12"/>
      <c r="C32" s="8"/>
      <c r="D32" s="25"/>
      <c r="E32" s="25"/>
      <c r="F32" s="327">
        <v>614000</v>
      </c>
      <c r="G32" s="353"/>
      <c r="H32" s="8" t="s">
        <v>173</v>
      </c>
      <c r="I32" s="537">
        <f t="shared" ref="I32" si="13">SUM(I33:I35)</f>
        <v>489000</v>
      </c>
      <c r="J32" s="537">
        <f t="shared" ref="J32" si="14">SUM(J33:J35)</f>
        <v>489000</v>
      </c>
      <c r="K32" s="537">
        <f>SUM(K33:K35)</f>
        <v>336894</v>
      </c>
      <c r="L32" s="574">
        <f>SUM(L33:L35)</f>
        <v>484554</v>
      </c>
      <c r="M32" s="318">
        <f>SUM(M33:M35)</f>
        <v>0</v>
      </c>
      <c r="N32" s="732">
        <f>SUM(N33:N35)</f>
        <v>484554</v>
      </c>
      <c r="O32" s="714">
        <f t="shared" si="2"/>
        <v>99.090797546012269</v>
      </c>
      <c r="P32" s="719">
        <f t="shared" si="1"/>
        <v>143.8298099699015</v>
      </c>
    </row>
    <row r="33" spans="1:18" ht="12.95" customHeight="1">
      <c r="B33" s="10"/>
      <c r="C33" s="11"/>
      <c r="D33" s="24"/>
      <c r="E33" s="24"/>
      <c r="F33" s="328">
        <v>614100</v>
      </c>
      <c r="G33" s="351" t="s">
        <v>551</v>
      </c>
      <c r="H33" s="41" t="s">
        <v>211</v>
      </c>
      <c r="I33" s="538">
        <v>350000</v>
      </c>
      <c r="J33" s="538">
        <v>350000</v>
      </c>
      <c r="K33" s="538">
        <v>230000</v>
      </c>
      <c r="L33" s="569">
        <v>350000</v>
      </c>
      <c r="M33" s="303">
        <v>0</v>
      </c>
      <c r="N33" s="743">
        <f t="shared" ref="N33:N35" si="15">SUM(L33:M33)</f>
        <v>350000</v>
      </c>
      <c r="O33" s="715">
        <f t="shared" si="2"/>
        <v>100</v>
      </c>
      <c r="P33" s="720">
        <f t="shared" si="1"/>
        <v>152.17391304347828</v>
      </c>
      <c r="Q33" s="77"/>
      <c r="R33" s="55"/>
    </row>
    <row r="34" spans="1:18" ht="12.95" customHeight="1">
      <c r="B34" s="10"/>
      <c r="C34" s="11"/>
      <c r="D34" s="24"/>
      <c r="E34" s="24"/>
      <c r="F34" s="376">
        <v>614800</v>
      </c>
      <c r="G34" s="362" t="s">
        <v>552</v>
      </c>
      <c r="H34" s="41" t="s">
        <v>108</v>
      </c>
      <c r="I34" s="538">
        <v>94000</v>
      </c>
      <c r="J34" s="538">
        <v>94000</v>
      </c>
      <c r="K34" s="538">
        <v>66603</v>
      </c>
      <c r="L34" s="569">
        <v>92156</v>
      </c>
      <c r="M34" s="303">
        <v>0</v>
      </c>
      <c r="N34" s="743">
        <f t="shared" si="15"/>
        <v>92156</v>
      </c>
      <c r="O34" s="737">
        <f>IF(J34=0,"",N34/J34*100)</f>
        <v>98.038297872340436</v>
      </c>
      <c r="P34" s="369">
        <f t="shared" si="1"/>
        <v>138.3661396633785</v>
      </c>
      <c r="Q34" s="55"/>
    </row>
    <row r="35" spans="1:18" ht="24.75" customHeight="1">
      <c r="B35" s="10"/>
      <c r="C35" s="11"/>
      <c r="D35" s="24"/>
      <c r="E35" s="24"/>
      <c r="F35" s="376">
        <v>614800</v>
      </c>
      <c r="G35" s="362" t="s">
        <v>553</v>
      </c>
      <c r="H35" s="278" t="s">
        <v>504</v>
      </c>
      <c r="I35" s="538">
        <v>45000</v>
      </c>
      <c r="J35" s="538">
        <v>45000</v>
      </c>
      <c r="K35" s="538">
        <v>40291</v>
      </c>
      <c r="L35" s="569">
        <v>42398</v>
      </c>
      <c r="M35" s="303">
        <v>0</v>
      </c>
      <c r="N35" s="743">
        <f t="shared" si="15"/>
        <v>42398</v>
      </c>
      <c r="O35" s="737">
        <f t="shared" ref="O35:O56" si="16">IF(J35=0,"",N35/J35*100)</f>
        <v>94.217777777777783</v>
      </c>
      <c r="P35" s="369">
        <f t="shared" si="1"/>
        <v>105.22945570971186</v>
      </c>
      <c r="Q35" s="55"/>
    </row>
    <row r="36" spans="1:18" ht="6" customHeight="1">
      <c r="B36" s="10"/>
      <c r="C36" s="11"/>
      <c r="D36" s="24"/>
      <c r="E36" s="650"/>
      <c r="F36" s="377"/>
      <c r="G36" s="363"/>
      <c r="H36" s="41"/>
      <c r="I36" s="538"/>
      <c r="J36" s="538"/>
      <c r="K36" s="538"/>
      <c r="L36" s="569"/>
      <c r="M36" s="303"/>
      <c r="N36" s="743"/>
      <c r="O36" s="737" t="str">
        <f t="shared" si="16"/>
        <v/>
      </c>
      <c r="P36" s="369" t="str">
        <f t="shared" si="1"/>
        <v/>
      </c>
    </row>
    <row r="37" spans="1:18" ht="12.95" customHeight="1">
      <c r="B37" s="10"/>
      <c r="C37" s="11"/>
      <c r="D37" s="11"/>
      <c r="E37" s="651"/>
      <c r="F37" s="337">
        <v>616000</v>
      </c>
      <c r="G37" s="364"/>
      <c r="H37" s="26" t="s">
        <v>176</v>
      </c>
      <c r="I37" s="537">
        <f t="shared" ref="I37:J37" si="17">SUM(I38:I41)</f>
        <v>41720</v>
      </c>
      <c r="J37" s="537">
        <f t="shared" si="17"/>
        <v>41720</v>
      </c>
      <c r="K37" s="537">
        <f t="shared" ref="K37:N37" si="18">SUM(K38:K41)</f>
        <v>49205</v>
      </c>
      <c r="L37" s="614">
        <f t="shared" si="18"/>
        <v>41694</v>
      </c>
      <c r="M37" s="297">
        <f t="shared" si="18"/>
        <v>0</v>
      </c>
      <c r="N37" s="732">
        <f t="shared" si="18"/>
        <v>41694</v>
      </c>
      <c r="O37" s="736">
        <f t="shared" si="16"/>
        <v>99.937679769894544</v>
      </c>
      <c r="P37" s="368">
        <f t="shared" si="1"/>
        <v>84.735291128950308</v>
      </c>
    </row>
    <row r="38" spans="1:18" s="307" customFormat="1" ht="12.95" customHeight="1">
      <c r="B38" s="308"/>
      <c r="C38" s="309"/>
      <c r="D38" s="309"/>
      <c r="E38" s="542"/>
      <c r="F38" s="335">
        <v>616200</v>
      </c>
      <c r="G38" s="351" t="s">
        <v>554</v>
      </c>
      <c r="H38" s="44" t="s">
        <v>824</v>
      </c>
      <c r="I38" s="538">
        <v>18810</v>
      </c>
      <c r="J38" s="538">
        <v>18810</v>
      </c>
      <c r="K38" s="538">
        <v>0</v>
      </c>
      <c r="L38" s="569">
        <v>18801</v>
      </c>
      <c r="M38" s="303">
        <v>0</v>
      </c>
      <c r="N38" s="743">
        <f t="shared" ref="N38:N39" si="19">SUM(L38:M38)</f>
        <v>18801</v>
      </c>
      <c r="O38" s="737">
        <f t="shared" ref="O38:O39" si="20">IF(J38=0,"",N38/J38*100)</f>
        <v>99.952153110047846</v>
      </c>
      <c r="P38" s="369" t="str">
        <f t="shared" ref="P38:P39" si="21">IF(K38=0,"",N38/K38*100)</f>
        <v/>
      </c>
    </row>
    <row r="39" spans="1:18" s="307" customFormat="1" ht="12.95" customHeight="1">
      <c r="B39" s="308"/>
      <c r="C39" s="309"/>
      <c r="D39" s="309"/>
      <c r="E39" s="542"/>
      <c r="F39" s="335">
        <v>616200</v>
      </c>
      <c r="G39" s="351" t="s">
        <v>555</v>
      </c>
      <c r="H39" s="44" t="s">
        <v>825</v>
      </c>
      <c r="I39" s="538">
        <v>22910</v>
      </c>
      <c r="J39" s="538">
        <v>22910</v>
      </c>
      <c r="K39" s="538">
        <v>0</v>
      </c>
      <c r="L39" s="569">
        <v>22893</v>
      </c>
      <c r="M39" s="303">
        <v>0</v>
      </c>
      <c r="N39" s="743">
        <f t="shared" si="19"/>
        <v>22893</v>
      </c>
      <c r="O39" s="737">
        <f t="shared" si="20"/>
        <v>99.9257965953732</v>
      </c>
      <c r="P39" s="369" t="str">
        <f t="shared" si="21"/>
        <v/>
      </c>
    </row>
    <row r="40" spans="1:18" ht="12.95" customHeight="1">
      <c r="B40" s="10"/>
      <c r="C40" s="11"/>
      <c r="D40" s="11"/>
      <c r="E40" s="542"/>
      <c r="F40" s="335">
        <v>616300</v>
      </c>
      <c r="G40" s="351" t="s">
        <v>554</v>
      </c>
      <c r="H40" s="44" t="s">
        <v>181</v>
      </c>
      <c r="I40" s="538">
        <v>0</v>
      </c>
      <c r="J40" s="538">
        <v>0</v>
      </c>
      <c r="K40" s="538">
        <v>21130</v>
      </c>
      <c r="L40" s="569">
        <v>0</v>
      </c>
      <c r="M40" s="303">
        <v>0</v>
      </c>
      <c r="N40" s="743">
        <f t="shared" ref="N40:N41" si="22">SUM(L40:M40)</f>
        <v>0</v>
      </c>
      <c r="O40" s="737" t="str">
        <f t="shared" si="16"/>
        <v/>
      </c>
      <c r="P40" s="369">
        <f t="shared" si="1"/>
        <v>0</v>
      </c>
    </row>
    <row r="41" spans="1:18" ht="12.95" customHeight="1">
      <c r="B41" s="10"/>
      <c r="C41" s="11"/>
      <c r="D41" s="11"/>
      <c r="E41" s="542"/>
      <c r="F41" s="335">
        <v>616300</v>
      </c>
      <c r="G41" s="351" t="s">
        <v>555</v>
      </c>
      <c r="H41" s="44" t="s">
        <v>185</v>
      </c>
      <c r="I41" s="538">
        <v>0</v>
      </c>
      <c r="J41" s="538">
        <v>0</v>
      </c>
      <c r="K41" s="538">
        <v>28075</v>
      </c>
      <c r="L41" s="569">
        <v>0</v>
      </c>
      <c r="M41" s="303">
        <v>0</v>
      </c>
      <c r="N41" s="743">
        <f t="shared" si="22"/>
        <v>0</v>
      </c>
      <c r="O41" s="737" t="str">
        <f t="shared" si="16"/>
        <v/>
      </c>
      <c r="P41" s="369">
        <f t="shared" si="1"/>
        <v>0</v>
      </c>
    </row>
    <row r="42" spans="1:18" ht="6" customHeight="1">
      <c r="B42" s="10"/>
      <c r="C42" s="11"/>
      <c r="D42" s="11"/>
      <c r="E42" s="309"/>
      <c r="F42" s="328"/>
      <c r="G42" s="354"/>
      <c r="H42" s="11"/>
      <c r="I42" s="537"/>
      <c r="J42" s="537"/>
      <c r="K42" s="537"/>
      <c r="L42" s="574"/>
      <c r="M42" s="318"/>
      <c r="N42" s="732"/>
      <c r="O42" s="737" t="str">
        <f t="shared" si="16"/>
        <v/>
      </c>
      <c r="P42" s="369" t="str">
        <f t="shared" si="1"/>
        <v/>
      </c>
    </row>
    <row r="43" spans="1:18" ht="12.95" customHeight="1">
      <c r="B43" s="12"/>
      <c r="C43" s="8"/>
      <c r="D43" s="8"/>
      <c r="E43" s="8"/>
      <c r="F43" s="327">
        <v>821000</v>
      </c>
      <c r="G43" s="353"/>
      <c r="H43" s="8" t="s">
        <v>89</v>
      </c>
      <c r="I43" s="537">
        <f t="shared" ref="I43" si="23">SUM(I44:I45)</f>
        <v>1000</v>
      </c>
      <c r="J43" s="537">
        <f t="shared" ref="J43" si="24">SUM(J44:J45)</f>
        <v>1000</v>
      </c>
      <c r="K43" s="537">
        <f>SUM(K44:K45)</f>
        <v>1378</v>
      </c>
      <c r="L43" s="574">
        <f>SUM(L44:L45)</f>
        <v>799</v>
      </c>
      <c r="M43" s="318">
        <f>SUM(M44:M45)</f>
        <v>0</v>
      </c>
      <c r="N43" s="732">
        <f>SUM(N44:N45)</f>
        <v>799</v>
      </c>
      <c r="O43" s="736">
        <f t="shared" si="16"/>
        <v>79.900000000000006</v>
      </c>
      <c r="P43" s="368">
        <f t="shared" si="1"/>
        <v>57.982583454281567</v>
      </c>
    </row>
    <row r="44" spans="1:18" ht="12.95" customHeight="1">
      <c r="B44" s="10"/>
      <c r="C44" s="11"/>
      <c r="D44" s="11"/>
      <c r="E44" s="309"/>
      <c r="F44" s="328">
        <v>821200</v>
      </c>
      <c r="G44" s="354"/>
      <c r="H44" s="11" t="s">
        <v>90</v>
      </c>
      <c r="I44" s="538">
        <v>0</v>
      </c>
      <c r="J44" s="538">
        <v>0</v>
      </c>
      <c r="K44" s="538">
        <v>0</v>
      </c>
      <c r="L44" s="608">
        <v>0</v>
      </c>
      <c r="M44" s="319">
        <v>0</v>
      </c>
      <c r="N44" s="743">
        <f t="shared" ref="N44:N45" si="25">SUM(L44:M44)</f>
        <v>0</v>
      </c>
      <c r="O44" s="737" t="str">
        <f t="shared" si="16"/>
        <v/>
      </c>
      <c r="P44" s="369" t="str">
        <f t="shared" si="1"/>
        <v/>
      </c>
    </row>
    <row r="45" spans="1:18" s="1" customFormat="1" ht="12.95" customHeight="1">
      <c r="A45" s="304"/>
      <c r="B45" s="10"/>
      <c r="C45" s="11"/>
      <c r="D45" s="11"/>
      <c r="E45" s="309"/>
      <c r="F45" s="328">
        <v>821300</v>
      </c>
      <c r="G45" s="354"/>
      <c r="H45" s="11" t="s">
        <v>91</v>
      </c>
      <c r="I45" s="538">
        <v>1000</v>
      </c>
      <c r="J45" s="538">
        <v>1000</v>
      </c>
      <c r="K45" s="538">
        <v>1378</v>
      </c>
      <c r="L45" s="608">
        <v>799</v>
      </c>
      <c r="M45" s="319">
        <v>0</v>
      </c>
      <c r="N45" s="743">
        <f t="shared" si="25"/>
        <v>799</v>
      </c>
      <c r="O45" s="737">
        <f t="shared" si="16"/>
        <v>79.900000000000006</v>
      </c>
      <c r="P45" s="369">
        <f t="shared" si="1"/>
        <v>57.982583454281567</v>
      </c>
    </row>
    <row r="46" spans="1:18" ht="5.25" customHeight="1">
      <c r="B46" s="10"/>
      <c r="C46" s="11"/>
      <c r="D46" s="11"/>
      <c r="E46" s="309"/>
      <c r="F46" s="328"/>
      <c r="G46" s="354"/>
      <c r="H46" s="11"/>
      <c r="I46" s="538"/>
      <c r="J46" s="538"/>
      <c r="K46" s="538"/>
      <c r="L46" s="569"/>
      <c r="M46" s="303"/>
      <c r="N46" s="743"/>
      <c r="O46" s="737" t="str">
        <f t="shared" si="16"/>
        <v/>
      </c>
      <c r="P46" s="369" t="str">
        <f t="shared" si="1"/>
        <v/>
      </c>
    </row>
    <row r="47" spans="1:18" ht="12.95" customHeight="1">
      <c r="B47" s="12"/>
      <c r="C47" s="8"/>
      <c r="D47" s="8"/>
      <c r="E47" s="8"/>
      <c r="F47" s="327">
        <v>823000</v>
      </c>
      <c r="G47" s="353"/>
      <c r="H47" s="8" t="s">
        <v>182</v>
      </c>
      <c r="I47" s="537">
        <f t="shared" ref="I47:J47" si="26">SUM(I48:I51)</f>
        <v>515000</v>
      </c>
      <c r="J47" s="537">
        <f t="shared" si="26"/>
        <v>515000</v>
      </c>
      <c r="K47" s="537">
        <f t="shared" ref="K47:N47" si="27">SUM(K48:K51)</f>
        <v>519698</v>
      </c>
      <c r="L47" s="574">
        <f t="shared" si="27"/>
        <v>514991</v>
      </c>
      <c r="M47" s="318">
        <f t="shared" si="27"/>
        <v>0</v>
      </c>
      <c r="N47" s="732">
        <f t="shared" si="27"/>
        <v>514991</v>
      </c>
      <c r="O47" s="736">
        <f t="shared" si="16"/>
        <v>99.998252427184468</v>
      </c>
      <c r="P47" s="368">
        <f t="shared" si="1"/>
        <v>99.094281678975094</v>
      </c>
    </row>
    <row r="48" spans="1:18" s="307" customFormat="1" ht="12.95" customHeight="1">
      <c r="B48" s="308"/>
      <c r="C48" s="309"/>
      <c r="D48" s="309"/>
      <c r="E48" s="309"/>
      <c r="F48" s="328">
        <v>823200</v>
      </c>
      <c r="G48" s="354" t="s">
        <v>554</v>
      </c>
      <c r="H48" s="378" t="s">
        <v>826</v>
      </c>
      <c r="I48" s="538">
        <v>84710</v>
      </c>
      <c r="J48" s="538">
        <v>84710</v>
      </c>
      <c r="K48" s="538">
        <v>0</v>
      </c>
      <c r="L48" s="608">
        <v>84708</v>
      </c>
      <c r="M48" s="319">
        <v>0</v>
      </c>
      <c r="N48" s="743">
        <f t="shared" ref="N48:N49" si="28">SUM(L48:M48)</f>
        <v>84708</v>
      </c>
      <c r="O48" s="737">
        <f t="shared" ref="O48:O49" si="29">IF(J48=0,"",N48/J48*100)</f>
        <v>99.997639003659543</v>
      </c>
      <c r="P48" s="369" t="str">
        <f t="shared" ref="P48:P49" si="30">IF(K48=0,"",N48/K48*100)</f>
        <v/>
      </c>
    </row>
    <row r="49" spans="1:16" s="307" customFormat="1" ht="12.95" customHeight="1">
      <c r="B49" s="308"/>
      <c r="C49" s="309"/>
      <c r="D49" s="309"/>
      <c r="E49" s="309"/>
      <c r="F49" s="328">
        <v>823200</v>
      </c>
      <c r="G49" s="354" t="s">
        <v>555</v>
      </c>
      <c r="H49" s="378" t="s">
        <v>827</v>
      </c>
      <c r="I49" s="538">
        <v>430290</v>
      </c>
      <c r="J49" s="538">
        <v>430290</v>
      </c>
      <c r="K49" s="538">
        <v>0</v>
      </c>
      <c r="L49" s="608">
        <v>430283</v>
      </c>
      <c r="M49" s="319">
        <v>0</v>
      </c>
      <c r="N49" s="743">
        <f t="shared" si="28"/>
        <v>430283</v>
      </c>
      <c r="O49" s="737">
        <f t="shared" si="29"/>
        <v>99.998373190174078</v>
      </c>
      <c r="P49" s="369" t="str">
        <f t="shared" si="30"/>
        <v/>
      </c>
    </row>
    <row r="50" spans="1:16" ht="12.95" customHeight="1">
      <c r="B50" s="10"/>
      <c r="C50" s="11"/>
      <c r="D50" s="11"/>
      <c r="E50" s="309"/>
      <c r="F50" s="328">
        <v>823300</v>
      </c>
      <c r="G50" s="354" t="s">
        <v>554</v>
      </c>
      <c r="H50" s="378" t="s">
        <v>828</v>
      </c>
      <c r="I50" s="538">
        <v>0</v>
      </c>
      <c r="J50" s="538">
        <v>0</v>
      </c>
      <c r="K50" s="538">
        <v>89415</v>
      </c>
      <c r="L50" s="608">
        <v>0</v>
      </c>
      <c r="M50" s="319">
        <v>0</v>
      </c>
      <c r="N50" s="743">
        <f t="shared" ref="N50:N51" si="31">SUM(L50:M50)</f>
        <v>0</v>
      </c>
      <c r="O50" s="737" t="str">
        <f t="shared" si="16"/>
        <v/>
      </c>
      <c r="P50" s="369">
        <f t="shared" si="1"/>
        <v>0</v>
      </c>
    </row>
    <row r="51" spans="1:16" ht="12.95" customHeight="1">
      <c r="B51" s="10"/>
      <c r="C51" s="11"/>
      <c r="D51" s="11"/>
      <c r="E51" s="309"/>
      <c r="F51" s="328">
        <v>823300</v>
      </c>
      <c r="G51" s="354" t="s">
        <v>555</v>
      </c>
      <c r="H51" s="378" t="s">
        <v>829</v>
      </c>
      <c r="I51" s="538">
        <v>0</v>
      </c>
      <c r="J51" s="538">
        <v>0</v>
      </c>
      <c r="K51" s="538">
        <v>430283</v>
      </c>
      <c r="L51" s="608">
        <v>0</v>
      </c>
      <c r="M51" s="319">
        <v>0</v>
      </c>
      <c r="N51" s="743">
        <f t="shared" si="31"/>
        <v>0</v>
      </c>
      <c r="O51" s="737" t="str">
        <f t="shared" si="16"/>
        <v/>
      </c>
      <c r="P51" s="369">
        <f t="shared" si="1"/>
        <v>0</v>
      </c>
    </row>
    <row r="52" spans="1:16" ht="6" customHeight="1">
      <c r="B52" s="10"/>
      <c r="C52" s="11"/>
      <c r="D52" s="11"/>
      <c r="E52" s="309"/>
      <c r="F52" s="328"/>
      <c r="G52" s="354"/>
      <c r="H52" s="11"/>
      <c r="I52" s="556"/>
      <c r="J52" s="556"/>
      <c r="K52" s="556"/>
      <c r="L52" s="308"/>
      <c r="M52" s="309"/>
      <c r="N52" s="734"/>
      <c r="O52" s="737" t="str">
        <f t="shared" si="16"/>
        <v/>
      </c>
      <c r="P52" s="369" t="str">
        <f t="shared" si="1"/>
        <v/>
      </c>
    </row>
    <row r="53" spans="1:16" ht="12.95" customHeight="1">
      <c r="B53" s="12"/>
      <c r="C53" s="8"/>
      <c r="D53" s="8"/>
      <c r="E53" s="8"/>
      <c r="F53" s="327"/>
      <c r="G53" s="353"/>
      <c r="H53" s="8" t="s">
        <v>92</v>
      </c>
      <c r="I53" s="768">
        <v>15</v>
      </c>
      <c r="J53" s="768"/>
      <c r="K53" s="557">
        <v>14</v>
      </c>
      <c r="L53" s="637">
        <v>15</v>
      </c>
      <c r="M53" s="638"/>
      <c r="N53" s="767">
        <v>15</v>
      </c>
      <c r="O53" s="737"/>
      <c r="P53" s="369"/>
    </row>
    <row r="54" spans="1:16" ht="12.95" customHeight="1">
      <c r="B54" s="12"/>
      <c r="C54" s="8"/>
      <c r="D54" s="8"/>
      <c r="E54" s="8"/>
      <c r="F54" s="327"/>
      <c r="G54" s="353"/>
      <c r="H54" s="8" t="s">
        <v>110</v>
      </c>
      <c r="I54" s="561">
        <f t="shared" ref="I54:N54" si="32">I8+I11+I16+I19+I32+I37+I43+I47</f>
        <v>1568670</v>
      </c>
      <c r="J54" s="311">
        <f t="shared" si="32"/>
        <v>1568670</v>
      </c>
      <c r="K54" s="561">
        <f t="shared" si="32"/>
        <v>1416548</v>
      </c>
      <c r="L54" s="568">
        <f t="shared" si="32"/>
        <v>1558806</v>
      </c>
      <c r="M54" s="311">
        <f t="shared" si="32"/>
        <v>0</v>
      </c>
      <c r="N54" s="732">
        <f t="shared" si="32"/>
        <v>1558806</v>
      </c>
      <c r="O54" s="736">
        <f>IF(J54=0,"",N54/J54*100)</f>
        <v>99.371187056551094</v>
      </c>
      <c r="P54" s="368">
        <f t="shared" si="1"/>
        <v>110.04258239043084</v>
      </c>
    </row>
    <row r="55" spans="1:16" s="1" customFormat="1" ht="12.95" customHeight="1">
      <c r="A55" s="304"/>
      <c r="B55" s="12"/>
      <c r="C55" s="8"/>
      <c r="D55" s="8"/>
      <c r="E55" s="8"/>
      <c r="F55" s="327"/>
      <c r="G55" s="353"/>
      <c r="H55" s="8" t="s">
        <v>93</v>
      </c>
      <c r="I55" s="561">
        <f>I54</f>
        <v>1568670</v>
      </c>
      <c r="J55" s="311">
        <f>J54</f>
        <v>1568670</v>
      </c>
      <c r="K55" s="561">
        <f t="shared" ref="K55" si="33">K54</f>
        <v>1416548</v>
      </c>
      <c r="L55" s="568">
        <f t="shared" ref="L55:N56" si="34">L54</f>
        <v>1558806</v>
      </c>
      <c r="M55" s="311">
        <f t="shared" si="34"/>
        <v>0</v>
      </c>
      <c r="N55" s="732">
        <f t="shared" si="34"/>
        <v>1558806</v>
      </c>
      <c r="O55" s="736">
        <f t="shared" si="16"/>
        <v>99.371187056551094</v>
      </c>
      <c r="P55" s="368">
        <f t="shared" si="1"/>
        <v>110.04258239043084</v>
      </c>
    </row>
    <row r="56" spans="1:16" s="1" customFormat="1" ht="12.95" customHeight="1">
      <c r="A56" s="304"/>
      <c r="B56" s="12"/>
      <c r="C56" s="8"/>
      <c r="D56" s="8"/>
      <c r="E56" s="8"/>
      <c r="F56" s="327"/>
      <c r="G56" s="353"/>
      <c r="H56" s="8" t="s">
        <v>94</v>
      </c>
      <c r="I56" s="561">
        <f>I55</f>
        <v>1568670</v>
      </c>
      <c r="J56" s="311">
        <f>J55</f>
        <v>1568670</v>
      </c>
      <c r="K56" s="561">
        <f t="shared" ref="K56" si="35">K55</f>
        <v>1416548</v>
      </c>
      <c r="L56" s="568">
        <f t="shared" si="34"/>
        <v>1558806</v>
      </c>
      <c r="M56" s="311">
        <f t="shared" si="34"/>
        <v>0</v>
      </c>
      <c r="N56" s="732">
        <f t="shared" si="34"/>
        <v>1558806</v>
      </c>
      <c r="O56" s="736">
        <f t="shared" si="16"/>
        <v>99.371187056551094</v>
      </c>
      <c r="P56" s="368">
        <f t="shared" si="1"/>
        <v>110.04258239043084</v>
      </c>
    </row>
    <row r="57" spans="1:16" s="1" customFormat="1" ht="12.95" customHeight="1" thickBot="1">
      <c r="A57" s="304"/>
      <c r="B57" s="16"/>
      <c r="C57" s="17"/>
      <c r="D57" s="17"/>
      <c r="E57" s="17"/>
      <c r="F57" s="329"/>
      <c r="G57" s="355"/>
      <c r="H57" s="17"/>
      <c r="I57" s="17"/>
      <c r="J57" s="17"/>
      <c r="K57" s="27"/>
      <c r="L57" s="16"/>
      <c r="M57" s="17"/>
      <c r="N57" s="735"/>
      <c r="O57" s="739"/>
      <c r="P57" s="371"/>
    </row>
    <row r="58" spans="1:16" s="1" customFormat="1" ht="12.95" customHeight="1">
      <c r="A58" s="304"/>
      <c r="B58" s="9"/>
      <c r="C58" s="9"/>
      <c r="D58" s="9"/>
      <c r="E58" s="307"/>
      <c r="F58" s="330"/>
      <c r="G58" s="356"/>
      <c r="H58" s="9"/>
      <c r="I58" s="9"/>
      <c r="J58" s="9"/>
      <c r="K58" s="9"/>
      <c r="L58" s="307"/>
      <c r="M58" s="307"/>
      <c r="N58" s="409"/>
      <c r="O58" s="372"/>
      <c r="P58" s="372"/>
    </row>
    <row r="59" spans="1:16" ht="12.95" customHeight="1">
      <c r="F59" s="330"/>
      <c r="G59" s="356"/>
      <c r="J59" s="63"/>
      <c r="L59" s="63"/>
      <c r="N59" s="410"/>
    </row>
    <row r="60" spans="1:16" ht="12.95" customHeight="1">
      <c r="F60" s="330"/>
      <c r="G60" s="356"/>
      <c r="N60" s="409"/>
    </row>
    <row r="61" spans="1:16" ht="12.95" customHeight="1">
      <c r="F61" s="330"/>
      <c r="G61" s="356"/>
      <c r="N61" s="409"/>
    </row>
    <row r="62" spans="1:16" ht="12.95" customHeight="1">
      <c r="F62" s="330"/>
      <c r="G62" s="356"/>
      <c r="N62" s="409"/>
    </row>
    <row r="63" spans="1:16" ht="12.95" customHeight="1">
      <c r="F63" s="330"/>
      <c r="G63" s="356"/>
      <c r="N63" s="409"/>
    </row>
    <row r="64" spans="1:16" ht="17.100000000000001" customHeight="1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56"/>
      <c r="N74" s="409"/>
    </row>
    <row r="75" spans="6:14" ht="14.25">
      <c r="F75" s="330"/>
      <c r="G75" s="356"/>
      <c r="N75" s="409"/>
    </row>
    <row r="76" spans="6:14" ht="14.25">
      <c r="F76" s="330"/>
      <c r="G76" s="356"/>
      <c r="N76" s="409"/>
    </row>
    <row r="77" spans="6:14" ht="14.25">
      <c r="F77" s="330"/>
      <c r="G77" s="356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 ht="14.25">
      <c r="F91" s="330"/>
      <c r="G91" s="330"/>
      <c r="N91" s="409"/>
    </row>
    <row r="92" spans="6:14" ht="14.25">
      <c r="F92" s="330"/>
      <c r="G92" s="330"/>
      <c r="N92" s="409"/>
    </row>
    <row r="93" spans="6:14" ht="14.25">
      <c r="F93" s="330"/>
      <c r="G93" s="330"/>
      <c r="N93" s="409"/>
    </row>
    <row r="94" spans="6:14" ht="14.25">
      <c r="F94" s="330"/>
      <c r="G94" s="330"/>
      <c r="N94" s="409"/>
    </row>
    <row r="95" spans="6:14">
      <c r="G95" s="330"/>
    </row>
    <row r="96" spans="6:14">
      <c r="G96" s="330"/>
    </row>
    <row r="97" spans="7:7">
      <c r="G97" s="330"/>
    </row>
    <row r="98" spans="7:7">
      <c r="G98" s="330"/>
    </row>
    <row r="99" spans="7:7">
      <c r="G99" s="330"/>
    </row>
    <row r="100" spans="7:7">
      <c r="G100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R95"/>
  <sheetViews>
    <sheetView zoomScaleNormal="100" zoomScaleSheetLayoutView="130" workbookViewId="0">
      <selection activeCell="S23" sqref="S2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717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128</v>
      </c>
      <c r="C7" s="7" t="s">
        <v>80</v>
      </c>
      <c r="D7" s="7" t="s">
        <v>81</v>
      </c>
      <c r="E7" s="653" t="s">
        <v>788</v>
      </c>
      <c r="F7" s="5"/>
      <c r="G7" s="306"/>
      <c r="H7" s="5"/>
      <c r="I7" s="5"/>
      <c r="J7" s="5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255090</v>
      </c>
      <c r="J8" s="537">
        <f t="shared" ref="J8" si="1">SUM(J9:J12)</f>
        <v>252090</v>
      </c>
      <c r="K8" s="537">
        <f>SUM(K9:K11)</f>
        <v>257996</v>
      </c>
      <c r="L8" s="564">
        <f>SUM(L9:L12)</f>
        <v>250596</v>
      </c>
      <c r="M8" s="233">
        <f>SUM(M9:M12)</f>
        <v>0</v>
      </c>
      <c r="N8" s="741">
        <f>SUM(N9:N12)</f>
        <v>250596</v>
      </c>
      <c r="O8" s="714">
        <f>IF(J8=0,"",N8/J8*100)</f>
        <v>99.407354516244197</v>
      </c>
      <c r="P8" s="719">
        <f>IF(K8=0,"",N8/K8*100)</f>
        <v>97.131738476565531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219330</v>
      </c>
      <c r="J9" s="538">
        <v>217830</v>
      </c>
      <c r="K9" s="538">
        <v>216353</v>
      </c>
      <c r="L9" s="565">
        <v>216390</v>
      </c>
      <c r="M9" s="232">
        <v>0</v>
      </c>
      <c r="N9" s="742">
        <f>SUM(L9:M9)</f>
        <v>216390</v>
      </c>
      <c r="O9" s="715">
        <f>IF(J9=0,"",N9/J9*100)</f>
        <v>99.338934031125191</v>
      </c>
      <c r="P9" s="720">
        <f t="shared" ref="P9:P40" si="2">IF(K9=0,"",N9/K9*100)</f>
        <v>100.01710168104903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35760</v>
      </c>
      <c r="J10" s="538">
        <v>34260</v>
      </c>
      <c r="K10" s="538">
        <v>41643</v>
      </c>
      <c r="L10" s="565">
        <v>34206</v>
      </c>
      <c r="M10" s="232">
        <v>0</v>
      </c>
      <c r="N10" s="742">
        <f t="shared" ref="N10:N11" si="3">SUM(L10:M10)</f>
        <v>34206</v>
      </c>
      <c r="O10" s="715">
        <f t="shared" ref="O10:O40" si="4">IF(J10=0,"",N10/J10*100)</f>
        <v>99.842381786339757</v>
      </c>
      <c r="P10" s="720">
        <f t="shared" si="2"/>
        <v>82.141056119876083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23480</v>
      </c>
      <c r="J13" s="537">
        <f t="shared" si="6"/>
        <v>23480</v>
      </c>
      <c r="K13" s="537">
        <f>K14</f>
        <v>23220</v>
      </c>
      <c r="L13" s="564">
        <f>L14</f>
        <v>23236</v>
      </c>
      <c r="M13" s="233">
        <f>M14</f>
        <v>0</v>
      </c>
      <c r="N13" s="741">
        <f>N14</f>
        <v>23236</v>
      </c>
      <c r="O13" s="714">
        <f t="shared" si="4"/>
        <v>98.960817717206126</v>
      </c>
      <c r="P13" s="719">
        <f t="shared" si="2"/>
        <v>100.06890611541775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23480</v>
      </c>
      <c r="J14" s="538">
        <v>23480</v>
      </c>
      <c r="K14" s="538">
        <v>23220</v>
      </c>
      <c r="L14" s="565">
        <v>23236</v>
      </c>
      <c r="M14" s="232">
        <v>0</v>
      </c>
      <c r="N14" s="742">
        <f>SUM(L14:M14)</f>
        <v>23236</v>
      </c>
      <c r="O14" s="715">
        <f t="shared" si="4"/>
        <v>98.960817717206126</v>
      </c>
      <c r="P14" s="720">
        <f t="shared" si="2"/>
        <v>100.06890611541775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6"/>
      <c r="M15" s="302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57600</v>
      </c>
      <c r="J16" s="537">
        <f t="shared" ref="J16" si="8">SUM(J17:J26)</f>
        <v>58020</v>
      </c>
      <c r="K16" s="537">
        <f>SUM(K17:K26)</f>
        <v>73220</v>
      </c>
      <c r="L16" s="567">
        <f>SUM(L17:L26)</f>
        <v>57924</v>
      </c>
      <c r="M16" s="316">
        <f>SUM(M17:M26)</f>
        <v>0</v>
      </c>
      <c r="N16" s="732">
        <f>SUM(N17:N26)</f>
        <v>57924</v>
      </c>
      <c r="O16" s="714">
        <f t="shared" si="4"/>
        <v>99.83453981385729</v>
      </c>
      <c r="P16" s="719">
        <f t="shared" si="2"/>
        <v>79.109532914504229</v>
      </c>
      <c r="R16" s="64"/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690</v>
      </c>
      <c r="K17" s="538">
        <v>2675</v>
      </c>
      <c r="L17" s="550">
        <v>686</v>
      </c>
      <c r="M17" s="385">
        <v>0</v>
      </c>
      <c r="N17" s="742">
        <f t="shared" ref="N17:N26" si="9">SUM(L17:M17)</f>
        <v>686</v>
      </c>
      <c r="O17" s="715">
        <f t="shared" si="4"/>
        <v>99.420289855072468</v>
      </c>
      <c r="P17" s="720">
        <f t="shared" si="2"/>
        <v>25.644859813084114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0">
        <v>0</v>
      </c>
      <c r="M18" s="385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16000</v>
      </c>
      <c r="J19" s="538">
        <v>16200</v>
      </c>
      <c r="K19" s="538">
        <v>15675</v>
      </c>
      <c r="L19" s="550">
        <v>16192</v>
      </c>
      <c r="M19" s="385">
        <v>0</v>
      </c>
      <c r="N19" s="742">
        <f t="shared" si="9"/>
        <v>16192</v>
      </c>
      <c r="O19" s="715">
        <f t="shared" si="4"/>
        <v>99.950617283950621</v>
      </c>
      <c r="P19" s="720">
        <f t="shared" si="2"/>
        <v>103.2982456140351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300</v>
      </c>
      <c r="J20" s="538">
        <v>250</v>
      </c>
      <c r="K20" s="538">
        <v>361</v>
      </c>
      <c r="L20" s="549">
        <v>246</v>
      </c>
      <c r="M20" s="387">
        <v>0</v>
      </c>
      <c r="N20" s="742">
        <f t="shared" si="9"/>
        <v>246</v>
      </c>
      <c r="O20" s="715">
        <f t="shared" si="4"/>
        <v>98.4</v>
      </c>
      <c r="P20" s="720">
        <f t="shared" si="2"/>
        <v>68.144044321329645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49">
        <v>0</v>
      </c>
      <c r="M21" s="387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49">
        <v>0</v>
      </c>
      <c r="M22" s="387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300</v>
      </c>
      <c r="J23" s="538">
        <v>210</v>
      </c>
      <c r="K23" s="538">
        <v>177</v>
      </c>
      <c r="L23" s="549">
        <v>206</v>
      </c>
      <c r="M23" s="387">
        <v>0</v>
      </c>
      <c r="N23" s="742">
        <f t="shared" si="9"/>
        <v>206</v>
      </c>
      <c r="O23" s="715">
        <f t="shared" si="4"/>
        <v>98.095238095238088</v>
      </c>
      <c r="P23" s="720">
        <f t="shared" si="2"/>
        <v>116.38418079096044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49">
        <v>0</v>
      </c>
      <c r="M24" s="387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40000</v>
      </c>
      <c r="J25" s="538">
        <v>40670</v>
      </c>
      <c r="K25" s="538">
        <v>54332</v>
      </c>
      <c r="L25" s="552">
        <v>40594</v>
      </c>
      <c r="M25" s="388">
        <v>0</v>
      </c>
      <c r="N25" s="742">
        <f t="shared" si="9"/>
        <v>40594</v>
      </c>
      <c r="O25" s="715">
        <f t="shared" si="4"/>
        <v>99.813130071305636</v>
      </c>
      <c r="P25" s="720">
        <f t="shared" si="2"/>
        <v>74.714716925568723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49">
        <v>0</v>
      </c>
      <c r="M26" s="387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ht="12.95" customHeight="1">
      <c r="B27" s="10"/>
      <c r="C27" s="11"/>
      <c r="D27" s="11"/>
      <c r="E27" s="309"/>
      <c r="F27" s="328"/>
      <c r="G27" s="354"/>
      <c r="H27" s="11"/>
      <c r="I27" s="537"/>
      <c r="J27" s="537"/>
      <c r="K27" s="537"/>
      <c r="L27" s="574"/>
      <c r="M27" s="318"/>
      <c r="N27" s="732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614000</v>
      </c>
      <c r="G28" s="353"/>
      <c r="H28" s="8" t="s">
        <v>173</v>
      </c>
      <c r="I28" s="537">
        <f t="shared" ref="I28" si="11">SUM(I29:I31)</f>
        <v>4680000</v>
      </c>
      <c r="J28" s="537">
        <f t="shared" ref="J28" si="12">SUM(J29:J31)</f>
        <v>4745000</v>
      </c>
      <c r="K28" s="537">
        <f>SUM(K29:K31)</f>
        <v>4549027</v>
      </c>
      <c r="L28" s="574">
        <f t="shared" ref="L28:M28" si="13">SUM(L29:L31)</f>
        <v>4249265</v>
      </c>
      <c r="M28" s="318">
        <f t="shared" si="13"/>
        <v>492319</v>
      </c>
      <c r="N28" s="732">
        <f t="shared" ref="N28" si="14">SUM(N29:N31)</f>
        <v>4741584</v>
      </c>
      <c r="O28" s="714">
        <f t="shared" si="4"/>
        <v>99.928008429926237</v>
      </c>
      <c r="P28" s="719">
        <f t="shared" si="2"/>
        <v>104.23292717321748</v>
      </c>
    </row>
    <row r="29" spans="1:16" ht="12.95" customHeight="1">
      <c r="B29" s="10"/>
      <c r="C29" s="11"/>
      <c r="D29" s="24"/>
      <c r="E29" s="24"/>
      <c r="F29" s="328">
        <v>614100</v>
      </c>
      <c r="G29" s="354" t="s">
        <v>556</v>
      </c>
      <c r="H29" s="524" t="s">
        <v>658</v>
      </c>
      <c r="I29" s="538">
        <v>1275000</v>
      </c>
      <c r="J29" s="538">
        <v>1380000</v>
      </c>
      <c r="K29" s="538">
        <v>1044000</v>
      </c>
      <c r="L29" s="608">
        <f>1380000-250000</f>
        <v>1130000</v>
      </c>
      <c r="M29" s="319">
        <v>250000</v>
      </c>
      <c r="N29" s="742">
        <f t="shared" ref="N29:N31" si="15">SUM(L29:M29)</f>
        <v>1380000</v>
      </c>
      <c r="O29" s="715">
        <f t="shared" si="4"/>
        <v>100</v>
      </c>
      <c r="P29" s="720">
        <f t="shared" si="2"/>
        <v>132.18390804597701</v>
      </c>
    </row>
    <row r="30" spans="1:16" s="307" customFormat="1" ht="12.95" customHeight="1">
      <c r="B30" s="308"/>
      <c r="C30" s="309"/>
      <c r="D30" s="309"/>
      <c r="E30" s="309"/>
      <c r="F30" s="328">
        <v>614200</v>
      </c>
      <c r="G30" s="357" t="s">
        <v>664</v>
      </c>
      <c r="H30" s="313" t="s">
        <v>575</v>
      </c>
      <c r="I30" s="538">
        <v>60000</v>
      </c>
      <c r="J30" s="538">
        <v>60000</v>
      </c>
      <c r="K30" s="538">
        <v>60000</v>
      </c>
      <c r="L30" s="608">
        <v>60000</v>
      </c>
      <c r="M30" s="319">
        <v>0</v>
      </c>
      <c r="N30" s="742">
        <f t="shared" si="15"/>
        <v>60000</v>
      </c>
      <c r="O30" s="715">
        <f t="shared" si="4"/>
        <v>100</v>
      </c>
      <c r="P30" s="720">
        <f t="shared" si="2"/>
        <v>100</v>
      </c>
    </row>
    <row r="31" spans="1:16" s="307" customFormat="1" ht="12.95" customHeight="1">
      <c r="B31" s="308"/>
      <c r="C31" s="309"/>
      <c r="D31" s="309"/>
      <c r="E31" s="309"/>
      <c r="F31" s="328">
        <v>614200</v>
      </c>
      <c r="G31" s="357" t="s">
        <v>665</v>
      </c>
      <c r="H31" s="313" t="s">
        <v>576</v>
      </c>
      <c r="I31" s="538">
        <v>3345000</v>
      </c>
      <c r="J31" s="538">
        <v>3305000</v>
      </c>
      <c r="K31" s="538">
        <v>3445027</v>
      </c>
      <c r="L31" s="608">
        <f>3301584-242319</f>
        <v>3059265</v>
      </c>
      <c r="M31" s="319">
        <v>242319</v>
      </c>
      <c r="N31" s="742">
        <f t="shared" si="15"/>
        <v>3301584</v>
      </c>
      <c r="O31" s="715">
        <f t="shared" si="4"/>
        <v>99.896641452344937</v>
      </c>
      <c r="P31" s="720">
        <f t="shared" si="2"/>
        <v>95.836230020838727</v>
      </c>
    </row>
    <row r="32" spans="1:16" ht="12.95" customHeight="1">
      <c r="B32" s="10"/>
      <c r="C32" s="11"/>
      <c r="D32" s="11"/>
      <c r="E32" s="309"/>
      <c r="F32" s="328"/>
      <c r="G32" s="354"/>
      <c r="H32" s="11"/>
      <c r="I32" s="538"/>
      <c r="J32" s="538"/>
      <c r="K32" s="538"/>
      <c r="L32" s="569"/>
      <c r="M32" s="303"/>
      <c r="N32" s="743"/>
      <c r="O32" s="715" t="str">
        <f t="shared" si="4"/>
        <v/>
      </c>
      <c r="P32" s="720" t="str">
        <f t="shared" si="2"/>
        <v/>
      </c>
    </row>
    <row r="33" spans="1:17" ht="12.95" customHeight="1">
      <c r="B33" s="12"/>
      <c r="C33" s="8"/>
      <c r="D33" s="8"/>
      <c r="E33" s="8"/>
      <c r="F33" s="327">
        <v>821000</v>
      </c>
      <c r="G33" s="353"/>
      <c r="H33" s="8" t="s">
        <v>89</v>
      </c>
      <c r="I33" s="537">
        <f t="shared" ref="I33" si="16">I34+I35</f>
        <v>1500</v>
      </c>
      <c r="J33" s="537">
        <f t="shared" ref="J33" si="17">J34+J35</f>
        <v>1500</v>
      </c>
      <c r="K33" s="537">
        <f>SUM(K34:K35)</f>
        <v>1449</v>
      </c>
      <c r="L33" s="574">
        <f>L34+L35</f>
        <v>1456</v>
      </c>
      <c r="M33" s="318">
        <f>M34+M35</f>
        <v>0</v>
      </c>
      <c r="N33" s="732">
        <f>N34+N35</f>
        <v>1456</v>
      </c>
      <c r="O33" s="714">
        <f t="shared" si="4"/>
        <v>97.066666666666663</v>
      </c>
      <c r="P33" s="719">
        <f t="shared" si="2"/>
        <v>100.48309178743962</v>
      </c>
    </row>
    <row r="34" spans="1:17" s="1" customFormat="1" ht="12.95" customHeight="1">
      <c r="A34" s="304"/>
      <c r="B34" s="10"/>
      <c r="C34" s="11"/>
      <c r="D34" s="11"/>
      <c r="E34" s="309"/>
      <c r="F34" s="328">
        <v>821200</v>
      </c>
      <c r="G34" s="354"/>
      <c r="H34" s="11" t="s">
        <v>90</v>
      </c>
      <c r="I34" s="538">
        <v>0</v>
      </c>
      <c r="J34" s="538">
        <v>0</v>
      </c>
      <c r="K34" s="538">
        <v>0</v>
      </c>
      <c r="L34" s="569">
        <v>0</v>
      </c>
      <c r="M34" s="303">
        <v>0</v>
      </c>
      <c r="N34" s="742">
        <f t="shared" ref="N34:N35" si="18">SUM(L34:M34)</f>
        <v>0</v>
      </c>
      <c r="O34" s="715" t="str">
        <f t="shared" si="4"/>
        <v/>
      </c>
      <c r="P34" s="720" t="str">
        <f t="shared" si="2"/>
        <v/>
      </c>
      <c r="Q34" s="1" t="s">
        <v>151</v>
      </c>
    </row>
    <row r="35" spans="1:17" ht="12.95" customHeight="1">
      <c r="B35" s="10"/>
      <c r="C35" s="11"/>
      <c r="D35" s="11"/>
      <c r="E35" s="309"/>
      <c r="F35" s="328">
        <v>821300</v>
      </c>
      <c r="G35" s="354"/>
      <c r="H35" s="11" t="s">
        <v>91</v>
      </c>
      <c r="I35" s="538">
        <v>1500</v>
      </c>
      <c r="J35" s="538">
        <v>1500</v>
      </c>
      <c r="K35" s="538">
        <v>1449</v>
      </c>
      <c r="L35" s="569">
        <v>1456</v>
      </c>
      <c r="M35" s="303">
        <v>0</v>
      </c>
      <c r="N35" s="742">
        <f t="shared" si="18"/>
        <v>1456</v>
      </c>
      <c r="O35" s="715">
        <f t="shared" si="4"/>
        <v>97.066666666666663</v>
      </c>
      <c r="P35" s="720">
        <f t="shared" si="2"/>
        <v>100.48309178743962</v>
      </c>
    </row>
    <row r="36" spans="1:17" ht="12.95" customHeight="1">
      <c r="B36" s="10"/>
      <c r="C36" s="11"/>
      <c r="D36" s="11"/>
      <c r="E36" s="309"/>
      <c r="F36" s="328"/>
      <c r="G36" s="354"/>
      <c r="H36" s="11"/>
      <c r="I36" s="538"/>
      <c r="J36" s="538"/>
      <c r="K36" s="538"/>
      <c r="L36" s="569"/>
      <c r="M36" s="303"/>
      <c r="N36" s="743"/>
      <c r="O36" s="715" t="str">
        <f t="shared" si="4"/>
        <v/>
      </c>
      <c r="P36" s="720" t="str">
        <f t="shared" si="2"/>
        <v/>
      </c>
    </row>
    <row r="37" spans="1:17" ht="12.95" customHeight="1">
      <c r="B37" s="12"/>
      <c r="C37" s="8"/>
      <c r="D37" s="8"/>
      <c r="E37" s="8"/>
      <c r="F37" s="327"/>
      <c r="G37" s="353"/>
      <c r="H37" s="8" t="s">
        <v>92</v>
      </c>
      <c r="I37" s="539">
        <v>10</v>
      </c>
      <c r="J37" s="539"/>
      <c r="K37" s="537">
        <v>10</v>
      </c>
      <c r="L37" s="570">
        <v>10</v>
      </c>
      <c r="M37" s="320"/>
      <c r="N37" s="744">
        <v>10</v>
      </c>
      <c r="O37" s="737"/>
      <c r="P37" s="369"/>
    </row>
    <row r="38" spans="1:17" s="1" customFormat="1" ht="12.95" customHeight="1">
      <c r="A38" s="304"/>
      <c r="B38" s="12"/>
      <c r="C38" s="8"/>
      <c r="D38" s="8"/>
      <c r="E38" s="8"/>
      <c r="F38" s="327"/>
      <c r="G38" s="353"/>
      <c r="H38" s="8" t="s">
        <v>110</v>
      </c>
      <c r="I38" s="561">
        <f t="shared" ref="I38:N38" si="19">I8+I13+I16+I28+I33</f>
        <v>5017670</v>
      </c>
      <c r="J38" s="311">
        <f t="shared" si="19"/>
        <v>5080090</v>
      </c>
      <c r="K38" s="561">
        <f t="shared" si="19"/>
        <v>4904912</v>
      </c>
      <c r="L38" s="568">
        <f t="shared" si="19"/>
        <v>4582477</v>
      </c>
      <c r="M38" s="311">
        <f t="shared" si="19"/>
        <v>492319</v>
      </c>
      <c r="N38" s="732">
        <f t="shared" si="19"/>
        <v>5074796</v>
      </c>
      <c r="O38" s="736">
        <f t="shared" si="4"/>
        <v>99.895789247828276</v>
      </c>
      <c r="P38" s="368">
        <f t="shared" si="2"/>
        <v>103.46354837762635</v>
      </c>
    </row>
    <row r="39" spans="1:17" s="1" customFormat="1" ht="12.95" customHeight="1">
      <c r="A39" s="304"/>
      <c r="B39" s="12"/>
      <c r="C39" s="8"/>
      <c r="D39" s="8"/>
      <c r="E39" s="8"/>
      <c r="F39" s="327"/>
      <c r="G39" s="353"/>
      <c r="H39" s="8" t="s">
        <v>93</v>
      </c>
      <c r="I39" s="15">
        <f>I38</f>
        <v>5017670</v>
      </c>
      <c r="J39" s="15">
        <f>J38</f>
        <v>5080090</v>
      </c>
      <c r="K39" s="561">
        <f t="shared" ref="K39" si="20">K38</f>
        <v>4904912</v>
      </c>
      <c r="L39" s="568">
        <f t="shared" ref="L39:N40" si="21">L38</f>
        <v>4582477</v>
      </c>
      <c r="M39" s="311">
        <f t="shared" si="21"/>
        <v>492319</v>
      </c>
      <c r="N39" s="732">
        <f t="shared" si="21"/>
        <v>5074796</v>
      </c>
      <c r="O39" s="736">
        <f t="shared" si="4"/>
        <v>99.895789247828276</v>
      </c>
      <c r="P39" s="368">
        <f t="shared" si="2"/>
        <v>103.46354837762635</v>
      </c>
    </row>
    <row r="40" spans="1:17" s="1" customFormat="1" ht="12.95" customHeight="1">
      <c r="A40" s="304"/>
      <c r="B40" s="12"/>
      <c r="C40" s="8"/>
      <c r="D40" s="8"/>
      <c r="E40" s="8"/>
      <c r="F40" s="327"/>
      <c r="G40" s="353"/>
      <c r="H40" s="8" t="s">
        <v>94</v>
      </c>
      <c r="I40" s="15">
        <f>I39</f>
        <v>5017670</v>
      </c>
      <c r="J40" s="15">
        <f>J39</f>
        <v>5080090</v>
      </c>
      <c r="K40" s="561">
        <f t="shared" ref="K40" si="22">K39</f>
        <v>4904912</v>
      </c>
      <c r="L40" s="568">
        <f t="shared" si="21"/>
        <v>4582477</v>
      </c>
      <c r="M40" s="311">
        <f t="shared" si="21"/>
        <v>492319</v>
      </c>
      <c r="N40" s="732">
        <f t="shared" si="21"/>
        <v>5074796</v>
      </c>
      <c r="O40" s="736">
        <f t="shared" si="4"/>
        <v>99.895789247828276</v>
      </c>
      <c r="P40" s="368">
        <f t="shared" si="2"/>
        <v>103.46354837762635</v>
      </c>
    </row>
    <row r="41" spans="1:17" s="1" customFormat="1" ht="12.95" customHeight="1" thickBot="1">
      <c r="A41" s="304"/>
      <c r="B41" s="16"/>
      <c r="C41" s="17"/>
      <c r="D41" s="17"/>
      <c r="E41" s="17"/>
      <c r="F41" s="329"/>
      <c r="G41" s="355"/>
      <c r="H41" s="17"/>
      <c r="I41" s="17"/>
      <c r="J41" s="17"/>
      <c r="K41" s="27"/>
      <c r="L41" s="16"/>
      <c r="M41" s="17"/>
      <c r="N41" s="735"/>
      <c r="O41" s="739"/>
      <c r="P41" s="371"/>
    </row>
    <row r="42" spans="1:17" ht="12.95" customHeight="1">
      <c r="F42" s="330"/>
      <c r="G42" s="356"/>
      <c r="N42" s="409"/>
    </row>
    <row r="43" spans="1:17" ht="12.95" customHeight="1">
      <c r="F43" s="330"/>
      <c r="G43" s="356"/>
      <c r="N43" s="409"/>
    </row>
    <row r="44" spans="1:17" ht="12.95" customHeight="1">
      <c r="B44" s="55"/>
      <c r="F44" s="330"/>
      <c r="G44" s="356"/>
      <c r="N44" s="409"/>
    </row>
    <row r="45" spans="1:17" ht="12.95" customHeight="1">
      <c r="B45" s="55"/>
      <c r="F45" s="330"/>
      <c r="G45" s="356"/>
      <c r="N45" s="409"/>
    </row>
    <row r="46" spans="1:17" ht="12.95" customHeight="1">
      <c r="B46" s="55"/>
      <c r="F46" s="330"/>
      <c r="G46" s="356"/>
      <c r="N46" s="409"/>
    </row>
    <row r="47" spans="1:17" ht="12.95" customHeight="1">
      <c r="B47" s="55"/>
      <c r="F47" s="330"/>
      <c r="G47" s="356"/>
      <c r="N47" s="409"/>
    </row>
    <row r="48" spans="1:17" ht="12.95" customHeight="1">
      <c r="B48" s="55"/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7.100000000000001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7.100000000000001" customHeight="1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30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>
      <c r="G90" s="33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S98"/>
  <sheetViews>
    <sheetView zoomScaleNormal="100" zoomScaleSheetLayoutView="100" workbookViewId="0">
      <selection activeCell="P38" sqref="P38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718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41"/>
      <c r="N4" s="94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769" t="s">
        <v>580</v>
      </c>
      <c r="M5" s="770" t="s">
        <v>581</v>
      </c>
      <c r="N5" s="797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771">
        <v>11</v>
      </c>
      <c r="M6" s="772">
        <v>12</v>
      </c>
      <c r="N6" s="798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129</v>
      </c>
      <c r="C7" s="7" t="s">
        <v>80</v>
      </c>
      <c r="D7" s="7" t="s">
        <v>81</v>
      </c>
      <c r="E7" s="653" t="s">
        <v>786</v>
      </c>
      <c r="F7" s="5"/>
      <c r="G7" s="306"/>
      <c r="H7" s="5"/>
      <c r="I7" s="578"/>
      <c r="J7" s="97"/>
      <c r="K7" s="578"/>
      <c r="L7" s="773"/>
      <c r="M7" s="774"/>
      <c r="N7" s="799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250790</v>
      </c>
      <c r="J8" s="537">
        <f t="shared" ref="J8" si="1">SUM(J9:J12)</f>
        <v>257190</v>
      </c>
      <c r="K8" s="537">
        <f>SUM(K9:K11)</f>
        <v>247520</v>
      </c>
      <c r="L8" s="775">
        <f>SUM(L9:L12)</f>
        <v>256360</v>
      </c>
      <c r="M8" s="776">
        <f>SUM(M9:M12)</f>
        <v>0</v>
      </c>
      <c r="N8" s="800">
        <f>SUM(N9:N12)</f>
        <v>256360</v>
      </c>
      <c r="O8" s="714">
        <f>IF(J8=0,"",N8/J8*100)</f>
        <v>99.677281387301221</v>
      </c>
      <c r="P8" s="719">
        <f>IF(K8=0,"",N8/K8*100)</f>
        <v>103.57142857142858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210490</v>
      </c>
      <c r="J9" s="538">
        <v>216890</v>
      </c>
      <c r="K9" s="538">
        <v>199244</v>
      </c>
      <c r="L9" s="777">
        <v>216803</v>
      </c>
      <c r="M9" s="778">
        <v>0</v>
      </c>
      <c r="N9" s="801">
        <f>SUM(L9:M9)</f>
        <v>216803</v>
      </c>
      <c r="O9" s="715">
        <f>IF(J9=0,"",N9/J9*100)</f>
        <v>99.959887500576329</v>
      </c>
      <c r="P9" s="720">
        <f t="shared" ref="P9:P43" si="2">IF(K9=0,"",N9/K9*100)</f>
        <v>108.81281243098914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40300</v>
      </c>
      <c r="J10" s="538">
        <v>40300</v>
      </c>
      <c r="K10" s="538">
        <v>48276</v>
      </c>
      <c r="L10" s="777">
        <v>39557</v>
      </c>
      <c r="M10" s="778">
        <v>0</v>
      </c>
      <c r="N10" s="801">
        <f t="shared" ref="N10:N11" si="3">SUM(L10:M10)</f>
        <v>39557</v>
      </c>
      <c r="O10" s="715">
        <f t="shared" ref="O10:O43" si="4">IF(J10=0,"",N10/J10*100)</f>
        <v>98.156327543424311</v>
      </c>
      <c r="P10" s="720">
        <f t="shared" si="2"/>
        <v>81.939265887811757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779">
        <v>0</v>
      </c>
      <c r="M11" s="780">
        <v>0</v>
      </c>
      <c r="N11" s="801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777"/>
      <c r="M12" s="778"/>
      <c r="N12" s="80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23440</v>
      </c>
      <c r="J13" s="537">
        <f t="shared" si="6"/>
        <v>23440</v>
      </c>
      <c r="K13" s="537">
        <f>K14</f>
        <v>21922</v>
      </c>
      <c r="L13" s="775">
        <f>L14</f>
        <v>23235</v>
      </c>
      <c r="M13" s="776">
        <f>M14</f>
        <v>0</v>
      </c>
      <c r="N13" s="800">
        <f>N14</f>
        <v>23235</v>
      </c>
      <c r="O13" s="714">
        <f t="shared" si="4"/>
        <v>99.1254266211604</v>
      </c>
      <c r="P13" s="719">
        <f t="shared" si="2"/>
        <v>105.98941702399416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23440</v>
      </c>
      <c r="J14" s="538">
        <v>23440</v>
      </c>
      <c r="K14" s="538">
        <v>21922</v>
      </c>
      <c r="L14" s="777">
        <v>23235</v>
      </c>
      <c r="M14" s="778">
        <v>0</v>
      </c>
      <c r="N14" s="801">
        <f>SUM(L14:M14)</f>
        <v>23235</v>
      </c>
      <c r="O14" s="715">
        <f t="shared" si="4"/>
        <v>99.1254266211604</v>
      </c>
      <c r="P14" s="720">
        <f t="shared" si="2"/>
        <v>105.98941702399416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781"/>
      <c r="M15" s="782"/>
      <c r="N15" s="80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SUM(I17:I27)</f>
        <v>231400</v>
      </c>
      <c r="J16" s="537">
        <f t="shared" ref="J16" si="8">SUM(J17:J27)</f>
        <v>231400</v>
      </c>
      <c r="K16" s="537">
        <f>SUM(K17:K27)</f>
        <v>204600</v>
      </c>
      <c r="L16" s="783">
        <f>SUM(L17:L27)</f>
        <v>36983</v>
      </c>
      <c r="M16" s="784">
        <f>SUM(M17:M27)</f>
        <v>193275</v>
      </c>
      <c r="N16" s="803">
        <f>SUM(N17:N27)</f>
        <v>230258</v>
      </c>
      <c r="O16" s="714">
        <f t="shared" si="4"/>
        <v>99.506482281763169</v>
      </c>
      <c r="P16" s="719">
        <f t="shared" si="2"/>
        <v>112.5405669599218</v>
      </c>
    </row>
    <row r="17" spans="1:19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1200</v>
      </c>
      <c r="J17" s="538">
        <v>700</v>
      </c>
      <c r="K17" s="538">
        <v>2190</v>
      </c>
      <c r="L17" s="781">
        <v>519</v>
      </c>
      <c r="M17" s="782">
        <v>0</v>
      </c>
      <c r="N17" s="801">
        <f t="shared" ref="N17:N27" si="9">SUM(L17:M17)</f>
        <v>519</v>
      </c>
      <c r="O17" s="715">
        <f t="shared" si="4"/>
        <v>74.142857142857139</v>
      </c>
      <c r="P17" s="720">
        <f t="shared" si="2"/>
        <v>23.698630136986303</v>
      </c>
    </row>
    <row r="18" spans="1:19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7" si="10">SUM(G18:H18)</f>
        <v>0</v>
      </c>
      <c r="J18" s="538">
        <f t="shared" si="10"/>
        <v>0</v>
      </c>
      <c r="K18" s="538">
        <v>0</v>
      </c>
      <c r="L18" s="781">
        <v>0</v>
      </c>
      <c r="M18" s="782">
        <v>0</v>
      </c>
      <c r="N18" s="801">
        <f t="shared" si="9"/>
        <v>0</v>
      </c>
      <c r="O18" s="715" t="str">
        <f t="shared" si="4"/>
        <v/>
      </c>
      <c r="P18" s="720" t="str">
        <f t="shared" si="2"/>
        <v/>
      </c>
    </row>
    <row r="19" spans="1:19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6000</v>
      </c>
      <c r="J19" s="538">
        <v>7000</v>
      </c>
      <c r="K19" s="538">
        <v>6777</v>
      </c>
      <c r="L19" s="785">
        <v>6943</v>
      </c>
      <c r="M19" s="786">
        <v>0</v>
      </c>
      <c r="N19" s="801">
        <f t="shared" si="9"/>
        <v>6943</v>
      </c>
      <c r="O19" s="715">
        <f t="shared" si="4"/>
        <v>99.185714285714283</v>
      </c>
      <c r="P19" s="720">
        <f t="shared" si="2"/>
        <v>102.44946141360485</v>
      </c>
    </row>
    <row r="20" spans="1:19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f t="shared" si="10"/>
        <v>0</v>
      </c>
      <c r="J20" s="538">
        <f t="shared" si="10"/>
        <v>0</v>
      </c>
      <c r="K20" s="538">
        <v>0</v>
      </c>
      <c r="L20" s="785">
        <v>0</v>
      </c>
      <c r="M20" s="786">
        <v>0</v>
      </c>
      <c r="N20" s="801">
        <f t="shared" si="9"/>
        <v>0</v>
      </c>
      <c r="O20" s="715" t="str">
        <f t="shared" si="4"/>
        <v/>
      </c>
      <c r="P20" s="720" t="str">
        <f t="shared" si="2"/>
        <v/>
      </c>
    </row>
    <row r="21" spans="1:19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787">
        <v>0</v>
      </c>
      <c r="M21" s="788">
        <v>0</v>
      </c>
      <c r="N21" s="801">
        <f t="shared" si="9"/>
        <v>0</v>
      </c>
      <c r="O21" s="715" t="str">
        <f t="shared" si="4"/>
        <v/>
      </c>
      <c r="P21" s="720" t="str">
        <f t="shared" si="2"/>
        <v/>
      </c>
    </row>
    <row r="22" spans="1:19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787">
        <v>0</v>
      </c>
      <c r="M22" s="788">
        <v>0</v>
      </c>
      <c r="N22" s="801">
        <f t="shared" si="9"/>
        <v>0</v>
      </c>
      <c r="O22" s="715" t="str">
        <f t="shared" si="4"/>
        <v/>
      </c>
      <c r="P22" s="720" t="str">
        <f t="shared" si="2"/>
        <v/>
      </c>
    </row>
    <row r="23" spans="1:19" ht="12.95" customHeight="1">
      <c r="B23" s="10"/>
      <c r="C23" s="11"/>
      <c r="D23" s="11"/>
      <c r="E23" s="649"/>
      <c r="F23" s="334">
        <v>613700</v>
      </c>
      <c r="G23" s="360"/>
      <c r="H23" s="11" t="s">
        <v>86</v>
      </c>
      <c r="I23" s="538">
        <v>1200</v>
      </c>
      <c r="J23" s="538">
        <v>1200</v>
      </c>
      <c r="K23" s="538">
        <v>389</v>
      </c>
      <c r="L23" s="787">
        <v>804</v>
      </c>
      <c r="M23" s="788">
        <v>0</v>
      </c>
      <c r="N23" s="801">
        <f t="shared" si="9"/>
        <v>804</v>
      </c>
      <c r="O23" s="715">
        <f t="shared" si="4"/>
        <v>67</v>
      </c>
      <c r="P23" s="720">
        <f t="shared" si="2"/>
        <v>206.68380462724934</v>
      </c>
    </row>
    <row r="24" spans="1:19" ht="12.95" customHeight="1">
      <c r="B24" s="10"/>
      <c r="C24" s="11"/>
      <c r="D24" s="24"/>
      <c r="E24" s="24"/>
      <c r="F24" s="328">
        <v>613700</v>
      </c>
      <c r="G24" s="351" t="s">
        <v>557</v>
      </c>
      <c r="H24" s="42" t="s">
        <v>87</v>
      </c>
      <c r="I24" s="538">
        <v>200000</v>
      </c>
      <c r="J24" s="538">
        <v>193500</v>
      </c>
      <c r="K24" s="538">
        <v>180242</v>
      </c>
      <c r="L24" s="787">
        <v>0</v>
      </c>
      <c r="M24" s="788">
        <v>193275</v>
      </c>
      <c r="N24" s="801">
        <f t="shared" si="9"/>
        <v>193275</v>
      </c>
      <c r="O24" s="715">
        <f t="shared" si="4"/>
        <v>99.883720930232556</v>
      </c>
      <c r="P24" s="720">
        <f t="shared" si="2"/>
        <v>107.23083410082002</v>
      </c>
      <c r="S24" s="63"/>
    </row>
    <row r="25" spans="1:19" ht="12.95" customHeight="1">
      <c r="B25" s="10"/>
      <c r="C25" s="11"/>
      <c r="D25" s="11"/>
      <c r="E25" s="648"/>
      <c r="F25" s="336">
        <v>613800</v>
      </c>
      <c r="G25" s="361"/>
      <c r="H25" s="11" t="s">
        <v>149</v>
      </c>
      <c r="I25" s="538">
        <f t="shared" si="10"/>
        <v>0</v>
      </c>
      <c r="J25" s="538">
        <f t="shared" si="10"/>
        <v>0</v>
      </c>
      <c r="K25" s="538">
        <v>0</v>
      </c>
      <c r="L25" s="787">
        <v>0</v>
      </c>
      <c r="M25" s="788">
        <v>0</v>
      </c>
      <c r="N25" s="801">
        <f t="shared" si="9"/>
        <v>0</v>
      </c>
      <c r="O25" s="715" t="str">
        <f t="shared" si="4"/>
        <v/>
      </c>
      <c r="P25" s="720" t="str">
        <f t="shared" si="2"/>
        <v/>
      </c>
    </row>
    <row r="26" spans="1:19" ht="12.95" customHeight="1">
      <c r="B26" s="10"/>
      <c r="C26" s="11"/>
      <c r="D26" s="11"/>
      <c r="E26" s="309"/>
      <c r="F26" s="328">
        <v>613900</v>
      </c>
      <c r="G26" s="354"/>
      <c r="H26" s="11" t="s">
        <v>150</v>
      </c>
      <c r="I26" s="538">
        <v>23000</v>
      </c>
      <c r="J26" s="538">
        <v>29000</v>
      </c>
      <c r="K26" s="538">
        <v>15002</v>
      </c>
      <c r="L26" s="787">
        <v>28717</v>
      </c>
      <c r="M26" s="788">
        <v>0</v>
      </c>
      <c r="N26" s="801">
        <f t="shared" si="9"/>
        <v>28717</v>
      </c>
      <c r="O26" s="715">
        <f t="shared" si="4"/>
        <v>99.024137931034488</v>
      </c>
      <c r="P26" s="720">
        <f t="shared" si="2"/>
        <v>191.421143847487</v>
      </c>
      <c r="Q26" s="77"/>
    </row>
    <row r="27" spans="1:19" ht="12.95" customHeight="1">
      <c r="B27" s="10"/>
      <c r="C27" s="11"/>
      <c r="D27" s="11"/>
      <c r="E27" s="309"/>
      <c r="F27" s="328">
        <v>613900</v>
      </c>
      <c r="G27" s="354"/>
      <c r="H27" s="211" t="s">
        <v>452</v>
      </c>
      <c r="I27" s="538">
        <f t="shared" si="10"/>
        <v>0</v>
      </c>
      <c r="J27" s="538">
        <f t="shared" si="10"/>
        <v>0</v>
      </c>
      <c r="K27" s="538">
        <v>0</v>
      </c>
      <c r="L27" s="787">
        <v>0</v>
      </c>
      <c r="M27" s="788">
        <v>0</v>
      </c>
      <c r="N27" s="801">
        <f t="shared" si="9"/>
        <v>0</v>
      </c>
      <c r="O27" s="715" t="str">
        <f t="shared" si="4"/>
        <v/>
      </c>
      <c r="P27" s="720" t="str">
        <f t="shared" si="2"/>
        <v/>
      </c>
    </row>
    <row r="28" spans="1:19" ht="12.95" customHeight="1">
      <c r="B28" s="10"/>
      <c r="C28" s="11"/>
      <c r="D28" s="11"/>
      <c r="E28" s="309"/>
      <c r="F28" s="328"/>
      <c r="G28" s="354"/>
      <c r="H28" s="11"/>
      <c r="I28" s="538"/>
      <c r="J28" s="538"/>
      <c r="K28" s="538"/>
      <c r="L28" s="789"/>
      <c r="M28" s="86"/>
      <c r="N28" s="802"/>
      <c r="O28" s="715" t="str">
        <f t="shared" si="4"/>
        <v/>
      </c>
      <c r="P28" s="720" t="str">
        <f t="shared" si="2"/>
        <v/>
      </c>
    </row>
    <row r="29" spans="1:19" s="1" customFormat="1" ht="12.95" customHeight="1">
      <c r="A29" s="304"/>
      <c r="B29" s="12"/>
      <c r="C29" s="8"/>
      <c r="D29" s="8"/>
      <c r="E29" s="8"/>
      <c r="F29" s="327">
        <v>614000</v>
      </c>
      <c r="G29" s="353"/>
      <c r="H29" s="8" t="s">
        <v>173</v>
      </c>
      <c r="I29" s="537">
        <f t="shared" ref="I29" si="11">SUM(I30:I31)</f>
        <v>300000</v>
      </c>
      <c r="J29" s="537">
        <f t="shared" ref="J29" si="12">SUM(J30:J31)</f>
        <v>300000</v>
      </c>
      <c r="K29" s="537">
        <f>SUM(K30:K31)</f>
        <v>180000</v>
      </c>
      <c r="L29" s="790">
        <f>SUM(L30:L31)</f>
        <v>0</v>
      </c>
      <c r="M29" s="791">
        <f>SUM(M30:M31)</f>
        <v>300000</v>
      </c>
      <c r="N29" s="803">
        <f>SUM(N30:N31)</f>
        <v>300000</v>
      </c>
      <c r="O29" s="714">
        <f t="shared" si="4"/>
        <v>100</v>
      </c>
      <c r="P29" s="719">
        <f t="shared" si="2"/>
        <v>166.66666666666669</v>
      </c>
    </row>
    <row r="30" spans="1:19" ht="12.95" customHeight="1">
      <c r="B30" s="10"/>
      <c r="C30" s="11"/>
      <c r="D30" s="24"/>
      <c r="E30" s="650"/>
      <c r="F30" s="336">
        <v>614100</v>
      </c>
      <c r="G30" s="361" t="s">
        <v>558</v>
      </c>
      <c r="H30" s="46" t="s">
        <v>152</v>
      </c>
      <c r="I30" s="538">
        <v>300000</v>
      </c>
      <c r="J30" s="538">
        <v>300000</v>
      </c>
      <c r="K30" s="538">
        <v>180000</v>
      </c>
      <c r="L30" s="789">
        <v>0</v>
      </c>
      <c r="M30" s="86">
        <v>300000</v>
      </c>
      <c r="N30" s="801">
        <f t="shared" ref="N30:N31" si="13">SUM(L30:M30)</f>
        <v>300000</v>
      </c>
      <c r="O30" s="715">
        <f t="shared" si="4"/>
        <v>100</v>
      </c>
      <c r="P30" s="720">
        <f t="shared" si="2"/>
        <v>166.66666666666669</v>
      </c>
    </row>
    <row r="31" spans="1:19" ht="12.95" customHeight="1">
      <c r="B31" s="10"/>
      <c r="C31" s="11"/>
      <c r="D31" s="11"/>
      <c r="E31" s="309"/>
      <c r="F31" s="328">
        <v>614100</v>
      </c>
      <c r="G31" s="354" t="s">
        <v>559</v>
      </c>
      <c r="H31" s="20" t="s">
        <v>186</v>
      </c>
      <c r="I31" s="538">
        <v>0</v>
      </c>
      <c r="J31" s="538">
        <v>0</v>
      </c>
      <c r="K31" s="538">
        <v>0</v>
      </c>
      <c r="L31" s="789">
        <v>0</v>
      </c>
      <c r="M31" s="86">
        <v>0</v>
      </c>
      <c r="N31" s="801">
        <f t="shared" si="13"/>
        <v>0</v>
      </c>
      <c r="O31" s="715" t="str">
        <f t="shared" si="4"/>
        <v/>
      </c>
      <c r="P31" s="720" t="str">
        <f t="shared" si="2"/>
        <v/>
      </c>
    </row>
    <row r="32" spans="1:19" ht="12.95" customHeight="1">
      <c r="B32" s="10"/>
      <c r="C32" s="11"/>
      <c r="D32" s="11"/>
      <c r="E32" s="309"/>
      <c r="F32" s="328"/>
      <c r="G32" s="354"/>
      <c r="H32" s="11"/>
      <c r="I32" s="538"/>
      <c r="J32" s="538"/>
      <c r="K32" s="538"/>
      <c r="L32" s="789"/>
      <c r="M32" s="86"/>
      <c r="N32" s="802"/>
      <c r="O32" s="715" t="str">
        <f t="shared" si="4"/>
        <v/>
      </c>
      <c r="P32" s="720" t="str">
        <f t="shared" si="2"/>
        <v/>
      </c>
    </row>
    <row r="33" spans="1:18" s="1" customFormat="1" ht="12.95" customHeight="1">
      <c r="A33" s="304"/>
      <c r="B33" s="12"/>
      <c r="C33" s="8"/>
      <c r="D33" s="8"/>
      <c r="E33" s="8"/>
      <c r="F33" s="327">
        <v>821000</v>
      </c>
      <c r="G33" s="353"/>
      <c r="H33" s="8" t="s">
        <v>89</v>
      </c>
      <c r="I33" s="537">
        <f t="shared" ref="I33" si="14">SUM(I34:I38)</f>
        <v>1218960</v>
      </c>
      <c r="J33" s="537">
        <f t="shared" ref="J33" si="15">SUM(J34:J38)</f>
        <v>1218960</v>
      </c>
      <c r="K33" s="537">
        <f>SUM(K34:K38)</f>
        <v>556590</v>
      </c>
      <c r="L33" s="790">
        <f t="shared" ref="L33:N33" si="16">SUM(L34:L38)</f>
        <v>6751</v>
      </c>
      <c r="M33" s="791">
        <f t="shared" si="16"/>
        <v>1028708</v>
      </c>
      <c r="N33" s="803">
        <f t="shared" si="16"/>
        <v>1035459</v>
      </c>
      <c r="O33" s="714">
        <f t="shared" si="4"/>
        <v>84.94610159480213</v>
      </c>
      <c r="P33" s="810">
        <f t="shared" si="2"/>
        <v>186.03622055732228</v>
      </c>
    </row>
    <row r="34" spans="1:18" ht="12.95" customHeight="1">
      <c r="B34" s="10"/>
      <c r="C34" s="11"/>
      <c r="D34" s="11"/>
      <c r="E34" s="309"/>
      <c r="F34" s="328">
        <v>821200</v>
      </c>
      <c r="G34" s="354"/>
      <c r="H34" s="11" t="s">
        <v>90</v>
      </c>
      <c r="I34" s="538">
        <v>0</v>
      </c>
      <c r="J34" s="538">
        <v>0</v>
      </c>
      <c r="K34" s="538">
        <v>0</v>
      </c>
      <c r="L34" s="789">
        <v>0</v>
      </c>
      <c r="M34" s="86">
        <v>0</v>
      </c>
      <c r="N34" s="801">
        <f t="shared" ref="N34:N37" si="17">SUM(L34:M34)</f>
        <v>0</v>
      </c>
      <c r="O34" s="715" t="str">
        <f t="shared" si="4"/>
        <v/>
      </c>
      <c r="P34" s="720" t="str">
        <f t="shared" si="2"/>
        <v/>
      </c>
    </row>
    <row r="35" spans="1:18" ht="12.95" customHeight="1">
      <c r="B35" s="10"/>
      <c r="C35" s="11"/>
      <c r="D35" s="11"/>
      <c r="E35" s="309"/>
      <c r="F35" s="328">
        <v>821300</v>
      </c>
      <c r="G35" s="354"/>
      <c r="H35" s="11" t="s">
        <v>91</v>
      </c>
      <c r="I35" s="538">
        <v>7000</v>
      </c>
      <c r="J35" s="538">
        <v>7000</v>
      </c>
      <c r="K35" s="538">
        <v>2495</v>
      </c>
      <c r="L35" s="789">
        <v>6751</v>
      </c>
      <c r="M35" s="86">
        <v>0</v>
      </c>
      <c r="N35" s="801">
        <f t="shared" si="17"/>
        <v>6751</v>
      </c>
      <c r="O35" s="737">
        <f t="shared" si="4"/>
        <v>96.442857142857136</v>
      </c>
      <c r="P35" s="369">
        <f t="shared" si="2"/>
        <v>270.58116232464926</v>
      </c>
    </row>
    <row r="36" spans="1:18" s="307" customFormat="1" ht="12.95" customHeight="1">
      <c r="B36" s="308"/>
      <c r="C36" s="309"/>
      <c r="D36" s="309"/>
      <c r="E36" s="309"/>
      <c r="F36" s="331">
        <v>821500</v>
      </c>
      <c r="G36" s="357" t="s">
        <v>693</v>
      </c>
      <c r="H36" s="661" t="s">
        <v>692</v>
      </c>
      <c r="I36" s="538">
        <v>811960</v>
      </c>
      <c r="J36" s="538">
        <v>811960</v>
      </c>
      <c r="K36" s="538">
        <v>0</v>
      </c>
      <c r="L36" s="789">
        <v>0</v>
      </c>
      <c r="M36" s="86">
        <v>806673</v>
      </c>
      <c r="N36" s="801">
        <f t="shared" ref="N36" si="18">SUM(L36:M36)</f>
        <v>806673</v>
      </c>
      <c r="O36" s="737">
        <f t="shared" ref="O36" si="19">IF(J36=0,"",N36/J36*100)</f>
        <v>99.348859549731515</v>
      </c>
      <c r="P36" s="369" t="str">
        <f t="shared" si="2"/>
        <v/>
      </c>
      <c r="R36" s="63"/>
    </row>
    <row r="37" spans="1:18" ht="12.95" customHeight="1">
      <c r="B37" s="10"/>
      <c r="C37" s="11"/>
      <c r="D37" s="11"/>
      <c r="E37" s="309"/>
      <c r="F37" s="331">
        <v>821600</v>
      </c>
      <c r="G37" s="357"/>
      <c r="H37" s="78" t="s">
        <v>102</v>
      </c>
      <c r="I37" s="538">
        <v>0</v>
      </c>
      <c r="J37" s="538">
        <v>0</v>
      </c>
      <c r="K37" s="538">
        <v>554095</v>
      </c>
      <c r="L37" s="789">
        <v>0</v>
      </c>
      <c r="M37" s="86">
        <v>0</v>
      </c>
      <c r="N37" s="801">
        <f t="shared" si="17"/>
        <v>0</v>
      </c>
      <c r="O37" s="737" t="str">
        <f t="shared" si="4"/>
        <v/>
      </c>
      <c r="P37" s="369">
        <f t="shared" si="2"/>
        <v>0</v>
      </c>
      <c r="R37" s="63"/>
    </row>
    <row r="38" spans="1:18" s="307" customFormat="1" ht="12.95" customHeight="1">
      <c r="B38" s="308"/>
      <c r="C38" s="309"/>
      <c r="D38" s="309"/>
      <c r="E38" s="309"/>
      <c r="F38" s="331">
        <v>821600</v>
      </c>
      <c r="G38" s="357" t="s">
        <v>694</v>
      </c>
      <c r="H38" s="661" t="s">
        <v>691</v>
      </c>
      <c r="I38" s="538">
        <v>400000</v>
      </c>
      <c r="J38" s="538">
        <v>400000</v>
      </c>
      <c r="K38" s="538">
        <v>0</v>
      </c>
      <c r="L38" s="789">
        <v>0</v>
      </c>
      <c r="M38" s="86">
        <v>222035</v>
      </c>
      <c r="N38" s="801">
        <f t="shared" ref="N38" si="20">SUM(L38:M38)</f>
        <v>222035</v>
      </c>
      <c r="O38" s="737">
        <f t="shared" ref="O38" si="21">IF(J38=0,"",N38/J38*100)</f>
        <v>55.508749999999992</v>
      </c>
      <c r="P38" s="369" t="str">
        <f t="shared" si="2"/>
        <v/>
      </c>
      <c r="R38" s="63"/>
    </row>
    <row r="39" spans="1:18" ht="12.95" customHeight="1">
      <c r="B39" s="10"/>
      <c r="C39" s="11"/>
      <c r="D39" s="11"/>
      <c r="E39" s="309"/>
      <c r="F39" s="328"/>
      <c r="G39" s="354"/>
      <c r="H39" s="11"/>
      <c r="I39" s="537"/>
      <c r="J39" s="537"/>
      <c r="K39" s="537"/>
      <c r="L39" s="790"/>
      <c r="M39" s="791"/>
      <c r="N39" s="803"/>
      <c r="O39" s="737" t="str">
        <f t="shared" si="4"/>
        <v/>
      </c>
      <c r="P39" s="369" t="str">
        <f t="shared" si="2"/>
        <v/>
      </c>
    </row>
    <row r="40" spans="1:18" s="1" customFormat="1" ht="12.95" customHeight="1">
      <c r="A40" s="304"/>
      <c r="B40" s="12"/>
      <c r="C40" s="8"/>
      <c r="D40" s="8"/>
      <c r="E40" s="8"/>
      <c r="F40" s="327"/>
      <c r="G40" s="353"/>
      <c r="H40" s="8" t="s">
        <v>92</v>
      </c>
      <c r="I40" s="539">
        <v>10</v>
      </c>
      <c r="J40" s="539"/>
      <c r="K40" s="537">
        <v>10</v>
      </c>
      <c r="L40" s="792">
        <v>10</v>
      </c>
      <c r="M40" s="791"/>
      <c r="N40" s="804">
        <v>10</v>
      </c>
      <c r="O40" s="737"/>
      <c r="P40" s="369"/>
    </row>
    <row r="41" spans="1:18" s="1" customFormat="1" ht="12.95" customHeight="1">
      <c r="A41" s="304"/>
      <c r="B41" s="12"/>
      <c r="C41" s="8"/>
      <c r="D41" s="8"/>
      <c r="E41" s="8"/>
      <c r="F41" s="327"/>
      <c r="G41" s="353"/>
      <c r="H41" s="8" t="s">
        <v>110</v>
      </c>
      <c r="I41" s="561">
        <f>I8+I13+I16+I29+I33</f>
        <v>2024590</v>
      </c>
      <c r="J41" s="311">
        <f>J8+J13+J16+J29+J33</f>
        <v>2030990</v>
      </c>
      <c r="K41" s="561">
        <f t="shared" ref="K41" si="22">K8+K13+K16+K29+K33</f>
        <v>1210632</v>
      </c>
      <c r="L41" s="793">
        <f>L8+L13+L16+L29+L33</f>
        <v>323329</v>
      </c>
      <c r="M41" s="794">
        <f>M8+M13+M16+M29+M33</f>
        <v>1521983</v>
      </c>
      <c r="N41" s="803">
        <f>N8+N13+N16+N29+N33</f>
        <v>1845312</v>
      </c>
      <c r="O41" s="736">
        <f t="shared" si="4"/>
        <v>90.857759023924288</v>
      </c>
      <c r="P41" s="368">
        <f t="shared" si="2"/>
        <v>152.42550998156335</v>
      </c>
    </row>
    <row r="42" spans="1:18" s="1" customFormat="1" ht="12.95" customHeight="1">
      <c r="A42" s="304"/>
      <c r="B42" s="12"/>
      <c r="C42" s="8"/>
      <c r="D42" s="8"/>
      <c r="E42" s="8"/>
      <c r="F42" s="327"/>
      <c r="G42" s="353"/>
      <c r="H42" s="8" t="s">
        <v>93</v>
      </c>
      <c r="I42" s="15">
        <f>I41</f>
        <v>2024590</v>
      </c>
      <c r="J42" s="15">
        <f>J41</f>
        <v>2030990</v>
      </c>
      <c r="K42" s="561">
        <f t="shared" ref="K42" si="23">K41</f>
        <v>1210632</v>
      </c>
      <c r="L42" s="793">
        <f t="shared" ref="L42:N43" si="24">L41</f>
        <v>323329</v>
      </c>
      <c r="M42" s="794">
        <f t="shared" si="24"/>
        <v>1521983</v>
      </c>
      <c r="N42" s="803">
        <f t="shared" si="24"/>
        <v>1845312</v>
      </c>
      <c r="O42" s="736">
        <f t="shared" si="4"/>
        <v>90.857759023924288</v>
      </c>
      <c r="P42" s="368">
        <f t="shared" si="2"/>
        <v>152.42550998156335</v>
      </c>
    </row>
    <row r="43" spans="1:18" s="1" customFormat="1" ht="12.95" customHeight="1">
      <c r="A43" s="304"/>
      <c r="B43" s="12"/>
      <c r="C43" s="8"/>
      <c r="D43" s="8"/>
      <c r="E43" s="8"/>
      <c r="F43" s="327"/>
      <c r="G43" s="353"/>
      <c r="H43" s="8" t="s">
        <v>94</v>
      </c>
      <c r="I43" s="15">
        <f>I42</f>
        <v>2024590</v>
      </c>
      <c r="J43" s="15">
        <f>J42</f>
        <v>2030990</v>
      </c>
      <c r="K43" s="561">
        <f t="shared" ref="K43" si="25">K42</f>
        <v>1210632</v>
      </c>
      <c r="L43" s="793">
        <f t="shared" si="24"/>
        <v>323329</v>
      </c>
      <c r="M43" s="794">
        <f t="shared" si="24"/>
        <v>1521983</v>
      </c>
      <c r="N43" s="803">
        <f t="shared" si="24"/>
        <v>1845312</v>
      </c>
      <c r="O43" s="736">
        <f t="shared" si="4"/>
        <v>90.857759023924288</v>
      </c>
      <c r="P43" s="368">
        <f t="shared" si="2"/>
        <v>152.42550998156335</v>
      </c>
    </row>
    <row r="44" spans="1:18" ht="12.95" customHeight="1" thickBot="1">
      <c r="B44" s="16"/>
      <c r="C44" s="17"/>
      <c r="D44" s="17"/>
      <c r="E44" s="17"/>
      <c r="F44" s="329"/>
      <c r="G44" s="355"/>
      <c r="H44" s="17"/>
      <c r="I44" s="32"/>
      <c r="J44" s="32"/>
      <c r="K44" s="562"/>
      <c r="L44" s="795"/>
      <c r="M44" s="796"/>
      <c r="N44" s="805"/>
      <c r="O44" s="739"/>
      <c r="P44" s="371"/>
    </row>
    <row r="45" spans="1:18" ht="12.95" customHeight="1">
      <c r="F45" s="330"/>
      <c r="G45" s="356"/>
      <c r="N45" s="410"/>
    </row>
    <row r="46" spans="1:18" ht="12.95" customHeight="1">
      <c r="B46" s="55"/>
      <c r="F46" s="330"/>
      <c r="G46" s="356"/>
      <c r="N46" s="410"/>
    </row>
    <row r="47" spans="1:18" ht="12.95" customHeight="1">
      <c r="B47" s="55"/>
      <c r="F47" s="330"/>
      <c r="G47" s="356"/>
      <c r="N47" s="410"/>
    </row>
    <row r="48" spans="1:18" ht="12.95" customHeight="1">
      <c r="B48" s="55"/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2.95" customHeight="1">
      <c r="F60" s="330"/>
      <c r="G60" s="356"/>
      <c r="N60" s="410"/>
    </row>
    <row r="61" spans="6:14" ht="12.95" customHeight="1">
      <c r="F61" s="330"/>
      <c r="G61" s="356"/>
      <c r="N61" s="410"/>
    </row>
    <row r="62" spans="6:14" ht="17.100000000000001" customHeight="1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56"/>
      <c r="N74" s="410"/>
    </row>
    <row r="75" spans="6:14" ht="14.25">
      <c r="F75" s="330"/>
      <c r="G75" s="356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 ht="14.25">
      <c r="F91" s="330"/>
      <c r="G91" s="330"/>
      <c r="N91" s="410"/>
    </row>
    <row r="92" spans="6:14" ht="14.25">
      <c r="F92" s="330"/>
      <c r="G92" s="330"/>
      <c r="N92" s="41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  <row r="97" spans="7:7">
      <c r="G97" s="330"/>
    </row>
    <row r="98" spans="7:7">
      <c r="G98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R100"/>
  <sheetViews>
    <sheetView topLeftCell="A4" zoomScaleNormal="100" zoomScaleSheetLayoutView="100" workbookViewId="0">
      <selection activeCell="P24" sqref="P24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719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130</v>
      </c>
      <c r="C7" s="7" t="s">
        <v>80</v>
      </c>
      <c r="D7" s="7" t="s">
        <v>81</v>
      </c>
      <c r="E7" s="653" t="s">
        <v>789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:J8" si="0">SUM(I9:I12)</f>
        <v>634320</v>
      </c>
      <c r="J8" s="537">
        <f t="shared" si="0"/>
        <v>630320</v>
      </c>
      <c r="K8" s="537">
        <f>SUM(K9:K11)</f>
        <v>592735</v>
      </c>
      <c r="L8" s="564">
        <f>SUM(L9:L12)</f>
        <v>629062</v>
      </c>
      <c r="M8" s="233">
        <f>SUM(M9:M12)</f>
        <v>0</v>
      </c>
      <c r="N8" s="741">
        <f>SUM(N9:N12)</f>
        <v>629062</v>
      </c>
      <c r="O8" s="714">
        <f>IF(J8=0,"",N8/J8*100)</f>
        <v>99.800418834877519</v>
      </c>
      <c r="P8" s="719">
        <f>IF(K8=0,"",N8/K8*100)</f>
        <v>106.12870844475187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529210</v>
      </c>
      <c r="J9" s="538">
        <v>527210</v>
      </c>
      <c r="K9" s="538">
        <v>488262</v>
      </c>
      <c r="L9" s="565">
        <v>526974</v>
      </c>
      <c r="M9" s="232">
        <v>0</v>
      </c>
      <c r="N9" s="742">
        <f>SUM(L9:M9)</f>
        <v>526974</v>
      </c>
      <c r="O9" s="715">
        <f>IF(J9=0,"",N9/J9*100)</f>
        <v>99.955236053944347</v>
      </c>
      <c r="P9" s="720">
        <f t="shared" ref="P9:P45" si="1">IF(K9=0,"",N9/K9*100)</f>
        <v>107.92853017437361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105110</v>
      </c>
      <c r="J10" s="538">
        <v>103110</v>
      </c>
      <c r="K10" s="538">
        <v>104473</v>
      </c>
      <c r="L10" s="615">
        <v>102088</v>
      </c>
      <c r="M10" s="236">
        <v>0</v>
      </c>
      <c r="N10" s="742">
        <f t="shared" ref="N10:N11" si="2">SUM(L10:M10)</f>
        <v>102088</v>
      </c>
      <c r="O10" s="715">
        <f t="shared" ref="O10:O45" si="3">IF(J10=0,"",N10/J10*100)</f>
        <v>99.00882552613713</v>
      </c>
      <c r="P10" s="720">
        <f t="shared" si="1"/>
        <v>97.717113512582202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4">SUM(G11:H11)</f>
        <v>0</v>
      </c>
      <c r="J11" s="538">
        <f t="shared" si="4"/>
        <v>0</v>
      </c>
      <c r="K11" s="538">
        <v>0</v>
      </c>
      <c r="L11" s="565">
        <v>0</v>
      </c>
      <c r="M11" s="232">
        <v>0</v>
      </c>
      <c r="N11" s="742">
        <f t="shared" si="2"/>
        <v>0</v>
      </c>
      <c r="O11" s="715" t="str">
        <f t="shared" si="3"/>
        <v/>
      </c>
      <c r="P11" s="720" t="str">
        <f t="shared" si="1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3"/>
        <v/>
      </c>
      <c r="P12" s="720" t="str">
        <f t="shared" si="1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5">I14</f>
        <v>56320</v>
      </c>
      <c r="J13" s="537">
        <f t="shared" si="5"/>
        <v>56320</v>
      </c>
      <c r="K13" s="537">
        <f>K14</f>
        <v>53461</v>
      </c>
      <c r="L13" s="564">
        <f>L14</f>
        <v>55867</v>
      </c>
      <c r="M13" s="233">
        <f>M14</f>
        <v>0</v>
      </c>
      <c r="N13" s="741">
        <f>N14</f>
        <v>55867</v>
      </c>
      <c r="O13" s="714">
        <f t="shared" si="3"/>
        <v>99.19566761363636</v>
      </c>
      <c r="P13" s="719">
        <f t="shared" si="1"/>
        <v>104.50047698322142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56320</v>
      </c>
      <c r="J14" s="538">
        <v>56320</v>
      </c>
      <c r="K14" s="538">
        <v>53461</v>
      </c>
      <c r="L14" s="565">
        <v>55867</v>
      </c>
      <c r="M14" s="232">
        <v>0</v>
      </c>
      <c r="N14" s="742">
        <f>SUM(L14:M14)</f>
        <v>55867</v>
      </c>
      <c r="O14" s="715">
        <f t="shared" si="3"/>
        <v>99.19566761363636</v>
      </c>
      <c r="P14" s="720">
        <f t="shared" si="1"/>
        <v>104.50047698322142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6"/>
      <c r="M15" s="302"/>
      <c r="N15" s="743"/>
      <c r="O15" s="715" t="str">
        <f t="shared" si="3"/>
        <v/>
      </c>
      <c r="P15" s="720" t="str">
        <f t="shared" si="1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:J16" si="6">SUM(I17:I26)</f>
        <v>77760</v>
      </c>
      <c r="J16" s="537">
        <f t="shared" si="6"/>
        <v>77760</v>
      </c>
      <c r="K16" s="537">
        <f>SUM(K17:K26)</f>
        <v>77349</v>
      </c>
      <c r="L16" s="567">
        <f>SUM(L17:L26)</f>
        <v>76469</v>
      </c>
      <c r="M16" s="316">
        <f>SUM(M17:M26)</f>
        <v>0</v>
      </c>
      <c r="N16" s="732">
        <f>SUM(N17:N26)</f>
        <v>76469</v>
      </c>
      <c r="O16" s="714">
        <f t="shared" si="3"/>
        <v>98.339763374485599</v>
      </c>
      <c r="P16" s="719">
        <f t="shared" si="1"/>
        <v>98.862299447956659</v>
      </c>
    </row>
    <row r="17" spans="1:18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7200</v>
      </c>
      <c r="J17" s="538">
        <v>6600</v>
      </c>
      <c r="K17" s="538">
        <v>7561</v>
      </c>
      <c r="L17" s="549">
        <v>6529</v>
      </c>
      <c r="M17" s="387">
        <v>0</v>
      </c>
      <c r="N17" s="742">
        <f t="shared" ref="N17:N26" si="7">SUM(L17:M17)</f>
        <v>6529</v>
      </c>
      <c r="O17" s="715">
        <f t="shared" si="3"/>
        <v>98.924242424242422</v>
      </c>
      <c r="P17" s="720">
        <f t="shared" si="1"/>
        <v>86.351011770929773</v>
      </c>
    </row>
    <row r="18" spans="1:18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400</v>
      </c>
      <c r="J18" s="538">
        <v>320</v>
      </c>
      <c r="K18" s="538">
        <v>0</v>
      </c>
      <c r="L18" s="549">
        <v>304</v>
      </c>
      <c r="M18" s="387">
        <v>0</v>
      </c>
      <c r="N18" s="742">
        <f t="shared" si="7"/>
        <v>304</v>
      </c>
      <c r="O18" s="715">
        <f t="shared" si="3"/>
        <v>95</v>
      </c>
      <c r="P18" s="720" t="str">
        <f t="shared" si="1"/>
        <v/>
      </c>
    </row>
    <row r="19" spans="1:18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7000</v>
      </c>
      <c r="J19" s="538">
        <v>6450</v>
      </c>
      <c r="K19" s="538">
        <v>4824</v>
      </c>
      <c r="L19" s="549">
        <v>6139</v>
      </c>
      <c r="M19" s="387">
        <v>0</v>
      </c>
      <c r="N19" s="742">
        <f t="shared" si="7"/>
        <v>6139</v>
      </c>
      <c r="O19" s="715">
        <f t="shared" si="3"/>
        <v>95.178294573643413</v>
      </c>
      <c r="P19" s="720">
        <f t="shared" si="1"/>
        <v>127.25953565505806</v>
      </c>
    </row>
    <row r="20" spans="1:18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4500</v>
      </c>
      <c r="J20" s="538">
        <v>4200</v>
      </c>
      <c r="K20" s="538">
        <v>2489</v>
      </c>
      <c r="L20" s="549">
        <v>4180</v>
      </c>
      <c r="M20" s="387">
        <v>0</v>
      </c>
      <c r="N20" s="742">
        <f t="shared" si="7"/>
        <v>4180</v>
      </c>
      <c r="O20" s="715">
        <f t="shared" si="3"/>
        <v>99.523809523809518</v>
      </c>
      <c r="P20" s="720">
        <f t="shared" si="1"/>
        <v>167.93893129770993</v>
      </c>
    </row>
    <row r="21" spans="1:18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110</v>
      </c>
      <c r="J21" s="538">
        <v>110</v>
      </c>
      <c r="K21" s="538">
        <v>94</v>
      </c>
      <c r="L21" s="549">
        <v>108</v>
      </c>
      <c r="M21" s="387">
        <v>0</v>
      </c>
      <c r="N21" s="742">
        <f t="shared" si="7"/>
        <v>108</v>
      </c>
      <c r="O21" s="715">
        <f t="shared" si="3"/>
        <v>98.181818181818187</v>
      </c>
      <c r="P21" s="720">
        <f t="shared" si="1"/>
        <v>114.89361702127661</v>
      </c>
    </row>
    <row r="22" spans="1:18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v>5500</v>
      </c>
      <c r="J22" s="538">
        <v>5450</v>
      </c>
      <c r="K22" s="538">
        <v>5004</v>
      </c>
      <c r="L22" s="549">
        <v>5004</v>
      </c>
      <c r="M22" s="387">
        <v>0</v>
      </c>
      <c r="N22" s="742">
        <f t="shared" si="7"/>
        <v>5004</v>
      </c>
      <c r="O22" s="715">
        <f t="shared" si="3"/>
        <v>91.816513761467888</v>
      </c>
      <c r="P22" s="720">
        <f t="shared" si="1"/>
        <v>100</v>
      </c>
    </row>
    <row r="23" spans="1:18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8000</v>
      </c>
      <c r="J23" s="538">
        <v>3850</v>
      </c>
      <c r="K23" s="538">
        <v>7466</v>
      </c>
      <c r="L23" s="549">
        <v>3833</v>
      </c>
      <c r="M23" s="387">
        <v>0</v>
      </c>
      <c r="N23" s="742">
        <f t="shared" si="7"/>
        <v>3833</v>
      </c>
      <c r="O23" s="715">
        <f t="shared" si="3"/>
        <v>99.558441558441558</v>
      </c>
      <c r="P23" s="720">
        <f t="shared" si="1"/>
        <v>51.339405304045002</v>
      </c>
    </row>
    <row r="24" spans="1:18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50</v>
      </c>
      <c r="J24" s="538">
        <v>50</v>
      </c>
      <c r="K24" s="538">
        <v>0</v>
      </c>
      <c r="L24" s="549">
        <v>46</v>
      </c>
      <c r="M24" s="387">
        <v>0</v>
      </c>
      <c r="N24" s="742">
        <f t="shared" si="7"/>
        <v>46</v>
      </c>
      <c r="O24" s="715">
        <f t="shared" si="3"/>
        <v>92</v>
      </c>
      <c r="P24" s="720" t="str">
        <f t="shared" si="1"/>
        <v/>
      </c>
    </row>
    <row r="25" spans="1:18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45000</v>
      </c>
      <c r="J25" s="538">
        <v>50730</v>
      </c>
      <c r="K25" s="538">
        <v>49911</v>
      </c>
      <c r="L25" s="549">
        <v>50326</v>
      </c>
      <c r="M25" s="387">
        <v>0</v>
      </c>
      <c r="N25" s="742">
        <f t="shared" si="7"/>
        <v>50326</v>
      </c>
      <c r="O25" s="715">
        <f t="shared" si="3"/>
        <v>99.203627045140934</v>
      </c>
      <c r="P25" s="720">
        <f t="shared" si="1"/>
        <v>100.83148003446134</v>
      </c>
      <c r="Q25" s="77"/>
    </row>
    <row r="26" spans="1:18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ref="I26:J26" si="8">SUM(G26:H26)</f>
        <v>0</v>
      </c>
      <c r="J26" s="538">
        <f t="shared" si="8"/>
        <v>0</v>
      </c>
      <c r="K26" s="538">
        <v>0</v>
      </c>
      <c r="L26" s="549">
        <v>0</v>
      </c>
      <c r="M26" s="387">
        <v>0</v>
      </c>
      <c r="N26" s="742">
        <f t="shared" si="7"/>
        <v>0</v>
      </c>
      <c r="O26" s="715" t="str">
        <f t="shared" si="3"/>
        <v/>
      </c>
      <c r="P26" s="720" t="str">
        <f t="shared" si="1"/>
        <v/>
      </c>
    </row>
    <row r="27" spans="1:18" ht="12.95" customHeight="1">
      <c r="B27" s="10"/>
      <c r="C27" s="11"/>
      <c r="D27" s="11"/>
      <c r="E27" s="309"/>
      <c r="F27" s="328"/>
      <c r="G27" s="354"/>
      <c r="H27" s="11"/>
      <c r="I27" s="537"/>
      <c r="J27" s="537"/>
      <c r="K27" s="537"/>
      <c r="L27" s="574"/>
      <c r="M27" s="318"/>
      <c r="N27" s="732"/>
      <c r="O27" s="715" t="str">
        <f t="shared" si="3"/>
        <v/>
      </c>
      <c r="P27" s="720" t="str">
        <f t="shared" si="1"/>
        <v/>
      </c>
    </row>
    <row r="28" spans="1:18" s="1" customFormat="1" ht="12.95" customHeight="1">
      <c r="A28" s="304"/>
      <c r="B28" s="12"/>
      <c r="C28" s="8"/>
      <c r="D28" s="8"/>
      <c r="E28" s="8"/>
      <c r="F28" s="327">
        <v>614000</v>
      </c>
      <c r="G28" s="353"/>
      <c r="H28" s="8" t="s">
        <v>173</v>
      </c>
      <c r="I28" s="537">
        <f t="shared" ref="I28:J28" si="9">SUM(I29:I32)</f>
        <v>1540000</v>
      </c>
      <c r="J28" s="537">
        <f t="shared" si="9"/>
        <v>1540000</v>
      </c>
      <c r="K28" s="537">
        <f>SUM(K29:K32)</f>
        <v>1864944</v>
      </c>
      <c r="L28" s="574">
        <f t="shared" ref="L28" si="10">SUM(L29:L32)</f>
        <v>1118638</v>
      </c>
      <c r="M28" s="318">
        <f t="shared" ref="M28:N28" si="11">SUM(M29:M32)</f>
        <v>419500</v>
      </c>
      <c r="N28" s="732">
        <f t="shared" si="11"/>
        <v>1538138</v>
      </c>
      <c r="O28" s="714">
        <f t="shared" si="3"/>
        <v>99.879090909090905</v>
      </c>
      <c r="P28" s="719">
        <f t="shared" si="1"/>
        <v>82.476363901543422</v>
      </c>
    </row>
    <row r="29" spans="1:18" s="1" customFormat="1" ht="12.95" customHeight="1">
      <c r="A29" s="304"/>
      <c r="B29" s="12"/>
      <c r="C29" s="8"/>
      <c r="D29" s="25"/>
      <c r="E29" s="25"/>
      <c r="F29" s="328">
        <v>614100</v>
      </c>
      <c r="G29" s="354" t="s">
        <v>561</v>
      </c>
      <c r="H29" s="13" t="s">
        <v>144</v>
      </c>
      <c r="I29" s="538">
        <v>120000</v>
      </c>
      <c r="J29" s="538">
        <v>120000</v>
      </c>
      <c r="K29" s="538">
        <v>149614</v>
      </c>
      <c r="L29" s="608">
        <v>0</v>
      </c>
      <c r="M29" s="319">
        <v>119946</v>
      </c>
      <c r="N29" s="742">
        <f t="shared" ref="N29:N32" si="12">SUM(L29:M29)</f>
        <v>119946</v>
      </c>
      <c r="O29" s="715">
        <f t="shared" si="3"/>
        <v>99.954999999999998</v>
      </c>
      <c r="P29" s="720">
        <f t="shared" si="1"/>
        <v>80.170304917988958</v>
      </c>
      <c r="Q29" s="304"/>
    </row>
    <row r="30" spans="1:18" ht="12.95" customHeight="1">
      <c r="B30" s="10"/>
      <c r="C30" s="11"/>
      <c r="D30" s="11"/>
      <c r="E30" s="309"/>
      <c r="F30" s="328">
        <v>614500</v>
      </c>
      <c r="G30" s="354" t="s">
        <v>560</v>
      </c>
      <c r="H30" s="23" t="s">
        <v>325</v>
      </c>
      <c r="I30" s="538">
        <v>1120000</v>
      </c>
      <c r="J30" s="538">
        <v>1120000</v>
      </c>
      <c r="K30" s="538">
        <v>1099800</v>
      </c>
      <c r="L30" s="608">
        <v>1118638</v>
      </c>
      <c r="M30" s="319">
        <v>0</v>
      </c>
      <c r="N30" s="742">
        <f t="shared" si="12"/>
        <v>1118638</v>
      </c>
      <c r="O30" s="715">
        <f t="shared" si="3"/>
        <v>99.878392857142856</v>
      </c>
      <c r="P30" s="720">
        <f t="shared" si="1"/>
        <v>101.71285688306966</v>
      </c>
      <c r="Q30" s="626"/>
    </row>
    <row r="31" spans="1:18" ht="12.95" customHeight="1">
      <c r="B31" s="10"/>
      <c r="C31" s="11"/>
      <c r="D31" s="11"/>
      <c r="E31" s="309"/>
      <c r="F31" s="331">
        <v>614500</v>
      </c>
      <c r="G31" s="354" t="s">
        <v>562</v>
      </c>
      <c r="H31" s="23" t="s">
        <v>326</v>
      </c>
      <c r="I31" s="538">
        <v>150000</v>
      </c>
      <c r="J31" s="538">
        <v>150000</v>
      </c>
      <c r="K31" s="538">
        <v>397482</v>
      </c>
      <c r="L31" s="608">
        <v>0</v>
      </c>
      <c r="M31" s="319">
        <v>149554</v>
      </c>
      <c r="N31" s="742">
        <f t="shared" si="12"/>
        <v>149554</v>
      </c>
      <c r="O31" s="715">
        <f t="shared" si="3"/>
        <v>99.702666666666659</v>
      </c>
      <c r="P31" s="720">
        <f t="shared" si="1"/>
        <v>37.625351588248023</v>
      </c>
      <c r="Q31" s="626"/>
      <c r="R31" s="632"/>
    </row>
    <row r="32" spans="1:18" ht="12.95" customHeight="1">
      <c r="B32" s="10"/>
      <c r="C32" s="11"/>
      <c r="D32" s="11"/>
      <c r="E32" s="309"/>
      <c r="F32" s="331">
        <v>614500</v>
      </c>
      <c r="G32" s="354" t="s">
        <v>563</v>
      </c>
      <c r="H32" s="23" t="s">
        <v>327</v>
      </c>
      <c r="I32" s="538">
        <v>150000</v>
      </c>
      <c r="J32" s="538">
        <v>150000</v>
      </c>
      <c r="K32" s="538">
        <v>218048</v>
      </c>
      <c r="L32" s="608"/>
      <c r="M32" s="319">
        <v>150000</v>
      </c>
      <c r="N32" s="742">
        <f t="shared" si="12"/>
        <v>150000</v>
      </c>
      <c r="O32" s="715">
        <f t="shared" si="3"/>
        <v>100</v>
      </c>
      <c r="P32" s="720">
        <f t="shared" si="1"/>
        <v>68.792192544760795</v>
      </c>
      <c r="Q32" s="626"/>
      <c r="R32" s="80"/>
    </row>
    <row r="33" spans="1:18" s="307" customFormat="1" ht="12.95" customHeight="1">
      <c r="B33" s="308"/>
      <c r="C33" s="309"/>
      <c r="D33" s="309"/>
      <c r="E33" s="309"/>
      <c r="F33" s="328"/>
      <c r="G33" s="354"/>
      <c r="H33" s="309"/>
      <c r="I33" s="537"/>
      <c r="J33" s="537"/>
      <c r="K33" s="537"/>
      <c r="L33" s="574"/>
      <c r="M33" s="318"/>
      <c r="N33" s="732"/>
      <c r="O33" s="715" t="str">
        <f t="shared" ref="O33:O36" si="13">IF(J33=0,"",N33/J33*100)</f>
        <v/>
      </c>
      <c r="P33" s="720" t="str">
        <f t="shared" si="1"/>
        <v/>
      </c>
      <c r="R33" s="80"/>
    </row>
    <row r="34" spans="1:18" s="304" customFormat="1" ht="12.95" customHeight="1">
      <c r="B34" s="310"/>
      <c r="C34" s="8"/>
      <c r="D34" s="8"/>
      <c r="E34" s="8"/>
      <c r="F34" s="327">
        <v>615000</v>
      </c>
      <c r="G34" s="353"/>
      <c r="H34" s="8" t="s">
        <v>88</v>
      </c>
      <c r="I34" s="537">
        <f>SUM(I35:I36)</f>
        <v>80000</v>
      </c>
      <c r="J34" s="537">
        <f>SUM(J35:J36)</f>
        <v>80000</v>
      </c>
      <c r="K34" s="537">
        <f>SUM(K35:K36)</f>
        <v>0</v>
      </c>
      <c r="L34" s="574">
        <f t="shared" ref="L34:N34" si="14">SUM(L35:L36)</f>
        <v>0</v>
      </c>
      <c r="M34" s="318">
        <f t="shared" si="14"/>
        <v>72980</v>
      </c>
      <c r="N34" s="732">
        <f t="shared" si="14"/>
        <v>72980</v>
      </c>
      <c r="O34" s="714">
        <f t="shared" si="13"/>
        <v>91.224999999999994</v>
      </c>
      <c r="P34" s="719" t="str">
        <f t="shared" si="1"/>
        <v/>
      </c>
    </row>
    <row r="35" spans="1:18" s="304" customFormat="1" ht="12.95" customHeight="1">
      <c r="B35" s="310"/>
      <c r="C35" s="8"/>
      <c r="D35" s="25"/>
      <c r="E35" s="25"/>
      <c r="F35" s="331">
        <v>615100</v>
      </c>
      <c r="G35" s="357" t="s">
        <v>804</v>
      </c>
      <c r="H35" s="84" t="s">
        <v>750</v>
      </c>
      <c r="I35" s="538">
        <v>30000</v>
      </c>
      <c r="J35" s="538">
        <v>30000</v>
      </c>
      <c r="K35" s="538">
        <v>0</v>
      </c>
      <c r="L35" s="608">
        <v>0</v>
      </c>
      <c r="M35" s="319">
        <v>30000</v>
      </c>
      <c r="N35" s="742">
        <f t="shared" ref="N35" si="15">SUM(L35:M35)</f>
        <v>30000</v>
      </c>
      <c r="O35" s="737">
        <f t="shared" ref="O35" si="16">IF(J35=0,"",N35/J35*100)</f>
        <v>100</v>
      </c>
      <c r="P35" s="369" t="str">
        <f t="shared" si="1"/>
        <v/>
      </c>
    </row>
    <row r="36" spans="1:18" s="304" customFormat="1" ht="12.95" customHeight="1">
      <c r="B36" s="310"/>
      <c r="C36" s="8"/>
      <c r="D36" s="25"/>
      <c r="E36" s="25"/>
      <c r="F36" s="331">
        <v>615100</v>
      </c>
      <c r="G36" s="357" t="s">
        <v>805</v>
      </c>
      <c r="H36" s="84" t="s">
        <v>745</v>
      </c>
      <c r="I36" s="538">
        <v>50000</v>
      </c>
      <c r="J36" s="538">
        <v>50000</v>
      </c>
      <c r="K36" s="538">
        <v>0</v>
      </c>
      <c r="L36" s="608">
        <v>0</v>
      </c>
      <c r="M36" s="319">
        <v>42980</v>
      </c>
      <c r="N36" s="742">
        <f t="shared" ref="N36" si="17">SUM(L36:M36)</f>
        <v>42980</v>
      </c>
      <c r="O36" s="737">
        <f t="shared" si="13"/>
        <v>85.960000000000008</v>
      </c>
      <c r="P36" s="369" t="str">
        <f t="shared" si="1"/>
        <v/>
      </c>
    </row>
    <row r="37" spans="1:18" ht="12.95" customHeight="1">
      <c r="B37" s="10"/>
      <c r="C37" s="11"/>
      <c r="D37" s="11"/>
      <c r="E37" s="309"/>
      <c r="F37" s="328"/>
      <c r="G37" s="354"/>
      <c r="H37" s="20"/>
      <c r="I37" s="538"/>
      <c r="J37" s="538"/>
      <c r="K37" s="538"/>
      <c r="L37" s="569"/>
      <c r="M37" s="303"/>
      <c r="N37" s="743"/>
      <c r="O37" s="737" t="str">
        <f t="shared" si="3"/>
        <v/>
      </c>
      <c r="P37" s="369" t="str">
        <f t="shared" si="1"/>
        <v/>
      </c>
    </row>
    <row r="38" spans="1:18" s="1" customFormat="1" ht="12.95" customHeight="1">
      <c r="A38" s="304"/>
      <c r="B38" s="12"/>
      <c r="C38" s="8"/>
      <c r="D38" s="8"/>
      <c r="E38" s="8"/>
      <c r="F38" s="327">
        <v>821000</v>
      </c>
      <c r="G38" s="353"/>
      <c r="H38" s="8" t="s">
        <v>89</v>
      </c>
      <c r="I38" s="537">
        <f>SUM(I39:I41)</f>
        <v>35000</v>
      </c>
      <c r="J38" s="537">
        <f>SUM(J39:J41)</f>
        <v>35000</v>
      </c>
      <c r="K38" s="537">
        <f>SUM(K39:K40)</f>
        <v>39865</v>
      </c>
      <c r="L38" s="574">
        <f>SUM(L39:L41)</f>
        <v>4958</v>
      </c>
      <c r="M38" s="318">
        <f>SUM(M39:M41)</f>
        <v>29723</v>
      </c>
      <c r="N38" s="732">
        <f>SUM(N39:N41)</f>
        <v>34681</v>
      </c>
      <c r="O38" s="736">
        <f t="shared" si="3"/>
        <v>99.088571428571427</v>
      </c>
      <c r="P38" s="368">
        <f t="shared" si="1"/>
        <v>86.996111877586856</v>
      </c>
    </row>
    <row r="39" spans="1:18" ht="12.95" customHeight="1">
      <c r="B39" s="10"/>
      <c r="C39" s="11"/>
      <c r="D39" s="11"/>
      <c r="E39" s="309"/>
      <c r="F39" s="328">
        <v>821200</v>
      </c>
      <c r="G39" s="354"/>
      <c r="H39" s="11" t="s">
        <v>90</v>
      </c>
      <c r="I39" s="538">
        <v>0</v>
      </c>
      <c r="J39" s="538">
        <v>0</v>
      </c>
      <c r="K39" s="538">
        <v>0</v>
      </c>
      <c r="L39" s="569">
        <v>0</v>
      </c>
      <c r="M39" s="303">
        <v>0</v>
      </c>
      <c r="N39" s="742">
        <f t="shared" ref="N39:N40" si="18">SUM(L39:M39)</f>
        <v>0</v>
      </c>
      <c r="O39" s="737" t="str">
        <f t="shared" si="3"/>
        <v/>
      </c>
      <c r="P39" s="369" t="str">
        <f t="shared" si="1"/>
        <v/>
      </c>
    </row>
    <row r="40" spans="1:18" ht="12.95" customHeight="1">
      <c r="B40" s="10"/>
      <c r="C40" s="11"/>
      <c r="D40" s="11"/>
      <c r="E40" s="309"/>
      <c r="F40" s="328">
        <v>821300</v>
      </c>
      <c r="G40" s="354"/>
      <c r="H40" s="11" t="s">
        <v>91</v>
      </c>
      <c r="I40" s="538">
        <v>35000</v>
      </c>
      <c r="J40" s="538">
        <v>35000</v>
      </c>
      <c r="K40" s="538">
        <v>39865</v>
      </c>
      <c r="L40" s="569">
        <v>4958</v>
      </c>
      <c r="M40" s="303">
        <v>29723</v>
      </c>
      <c r="N40" s="742">
        <f t="shared" si="18"/>
        <v>34681</v>
      </c>
      <c r="O40" s="737">
        <f t="shared" si="3"/>
        <v>99.088571428571427</v>
      </c>
      <c r="P40" s="369">
        <f t="shared" si="1"/>
        <v>86.996111877586856</v>
      </c>
    </row>
    <row r="41" spans="1:18" ht="12.95" customHeight="1">
      <c r="B41" s="10"/>
      <c r="C41" s="11"/>
      <c r="D41" s="11"/>
      <c r="E41" s="309"/>
      <c r="F41" s="328"/>
      <c r="G41" s="354"/>
      <c r="H41" s="20"/>
      <c r="I41" s="538"/>
      <c r="J41" s="538"/>
      <c r="K41" s="538"/>
      <c r="L41" s="569"/>
      <c r="M41" s="303"/>
      <c r="N41" s="743"/>
      <c r="O41" s="737" t="str">
        <f t="shared" si="3"/>
        <v/>
      </c>
      <c r="P41" s="369" t="str">
        <f t="shared" si="1"/>
        <v/>
      </c>
    </row>
    <row r="42" spans="1:18" s="1" customFormat="1" ht="12.95" customHeight="1">
      <c r="A42" s="304"/>
      <c r="B42" s="12"/>
      <c r="C42" s="8"/>
      <c r="D42" s="8"/>
      <c r="E42" s="8"/>
      <c r="F42" s="327"/>
      <c r="G42" s="353"/>
      <c r="H42" s="8" t="s">
        <v>92</v>
      </c>
      <c r="I42" s="539">
        <v>26</v>
      </c>
      <c r="J42" s="539"/>
      <c r="K42" s="537">
        <v>24</v>
      </c>
      <c r="L42" s="612">
        <v>26</v>
      </c>
      <c r="M42" s="301"/>
      <c r="N42" s="744">
        <v>26</v>
      </c>
      <c r="O42" s="737"/>
      <c r="P42" s="369"/>
    </row>
    <row r="43" spans="1:18" s="1" customFormat="1" ht="12.95" customHeight="1">
      <c r="A43" s="304"/>
      <c r="B43" s="12"/>
      <c r="C43" s="8"/>
      <c r="D43" s="8"/>
      <c r="E43" s="8"/>
      <c r="F43" s="327"/>
      <c r="G43" s="353"/>
      <c r="H43" s="8" t="s">
        <v>110</v>
      </c>
      <c r="I43" s="561">
        <f t="shared" ref="I43:N43" si="19">I8+I13+I16+I28+I34+I38</f>
        <v>2423400</v>
      </c>
      <c r="J43" s="311">
        <f t="shared" si="19"/>
        <v>2419400</v>
      </c>
      <c r="K43" s="561">
        <f t="shared" si="19"/>
        <v>2628354</v>
      </c>
      <c r="L43" s="568">
        <f t="shared" si="19"/>
        <v>1884994</v>
      </c>
      <c r="M43" s="311">
        <f t="shared" si="19"/>
        <v>522203</v>
      </c>
      <c r="N43" s="732">
        <f t="shared" si="19"/>
        <v>2407197</v>
      </c>
      <c r="O43" s="736">
        <f t="shared" si="3"/>
        <v>99.495618748450028</v>
      </c>
      <c r="P43" s="368">
        <f t="shared" si="1"/>
        <v>91.585722471173966</v>
      </c>
    </row>
    <row r="44" spans="1:18" s="1" customFormat="1" ht="12.95" customHeight="1">
      <c r="A44" s="304"/>
      <c r="B44" s="12"/>
      <c r="C44" s="8"/>
      <c r="D44" s="8"/>
      <c r="E44" s="8"/>
      <c r="F44" s="327"/>
      <c r="G44" s="353"/>
      <c r="H44" s="8" t="s">
        <v>93</v>
      </c>
      <c r="I44" s="15">
        <f>I43</f>
        <v>2423400</v>
      </c>
      <c r="J44" s="15">
        <f>J43</f>
        <v>2419400</v>
      </c>
      <c r="K44" s="561">
        <f t="shared" ref="K44" si="20">K43</f>
        <v>2628354</v>
      </c>
      <c r="L44" s="568">
        <f t="shared" ref="L44:N45" si="21">L43</f>
        <v>1884994</v>
      </c>
      <c r="M44" s="311">
        <f t="shared" si="21"/>
        <v>522203</v>
      </c>
      <c r="N44" s="732">
        <f t="shared" si="21"/>
        <v>2407197</v>
      </c>
      <c r="O44" s="736">
        <f t="shared" si="3"/>
        <v>99.495618748450028</v>
      </c>
      <c r="P44" s="368">
        <f t="shared" si="1"/>
        <v>91.585722471173966</v>
      </c>
    </row>
    <row r="45" spans="1:18" s="1" customFormat="1" ht="12.95" customHeight="1">
      <c r="A45" s="304"/>
      <c r="B45" s="12"/>
      <c r="C45" s="8"/>
      <c r="D45" s="8"/>
      <c r="E45" s="8"/>
      <c r="F45" s="327"/>
      <c r="G45" s="353"/>
      <c r="H45" s="8" t="s">
        <v>94</v>
      </c>
      <c r="I45" s="15">
        <f>I44</f>
        <v>2423400</v>
      </c>
      <c r="J45" s="15">
        <f>J44</f>
        <v>2419400</v>
      </c>
      <c r="K45" s="561">
        <f t="shared" ref="K45" si="22">K44</f>
        <v>2628354</v>
      </c>
      <c r="L45" s="568">
        <f t="shared" si="21"/>
        <v>1884994</v>
      </c>
      <c r="M45" s="311">
        <f t="shared" si="21"/>
        <v>522203</v>
      </c>
      <c r="N45" s="732">
        <f t="shared" si="21"/>
        <v>2407197</v>
      </c>
      <c r="O45" s="736">
        <f t="shared" si="3"/>
        <v>99.495618748450028</v>
      </c>
      <c r="P45" s="368">
        <f t="shared" si="1"/>
        <v>91.585722471173966</v>
      </c>
    </row>
    <row r="46" spans="1:18" ht="12.95" customHeight="1" thickBot="1">
      <c r="B46" s="16"/>
      <c r="C46" s="17"/>
      <c r="D46" s="17"/>
      <c r="E46" s="17"/>
      <c r="F46" s="329"/>
      <c r="G46" s="355"/>
      <c r="H46" s="17"/>
      <c r="I46" s="32"/>
      <c r="J46" s="32"/>
      <c r="K46" s="562"/>
      <c r="L46" s="571"/>
      <c r="M46" s="32"/>
      <c r="N46" s="745"/>
      <c r="O46" s="739"/>
      <c r="P46" s="371"/>
    </row>
    <row r="47" spans="1:18" ht="12.95" customHeight="1">
      <c r="F47" s="330"/>
      <c r="G47" s="356"/>
      <c r="N47" s="409"/>
    </row>
    <row r="48" spans="1:18" ht="12.95" customHeight="1">
      <c r="B48" s="55"/>
      <c r="F48" s="330"/>
      <c r="G48" s="356"/>
      <c r="N48" s="409"/>
    </row>
    <row r="49" spans="2:14" ht="12.95" customHeight="1">
      <c r="B49" s="55"/>
      <c r="F49" s="330"/>
      <c r="G49" s="356"/>
      <c r="N49" s="409"/>
    </row>
    <row r="50" spans="2:14" ht="12.95" customHeight="1">
      <c r="B50" s="55"/>
      <c r="F50" s="330"/>
      <c r="G50" s="356"/>
      <c r="N50" s="409"/>
    </row>
    <row r="51" spans="2:14" ht="12.95" customHeight="1">
      <c r="F51" s="330"/>
      <c r="G51" s="356"/>
      <c r="N51" s="409"/>
    </row>
    <row r="52" spans="2:14" ht="12.95" customHeight="1">
      <c r="F52" s="330"/>
      <c r="G52" s="356"/>
      <c r="N52" s="409"/>
    </row>
    <row r="53" spans="2:14" ht="12.95" customHeight="1">
      <c r="F53" s="330"/>
      <c r="G53" s="356"/>
      <c r="N53" s="409"/>
    </row>
    <row r="54" spans="2:14" ht="12.95" customHeight="1">
      <c r="F54" s="330"/>
      <c r="G54" s="356"/>
      <c r="N54" s="409"/>
    </row>
    <row r="55" spans="2:14" ht="12.95" customHeight="1">
      <c r="F55" s="330"/>
      <c r="G55" s="356"/>
      <c r="N55" s="409"/>
    </row>
    <row r="56" spans="2:14" ht="12.95" customHeight="1">
      <c r="F56" s="330"/>
      <c r="G56" s="356"/>
      <c r="N56" s="409"/>
    </row>
    <row r="57" spans="2:14" ht="12.95" customHeight="1">
      <c r="F57" s="330"/>
      <c r="G57" s="356"/>
      <c r="N57" s="409"/>
    </row>
    <row r="58" spans="2:14" ht="12.95" customHeight="1">
      <c r="F58" s="330"/>
      <c r="G58" s="356"/>
      <c r="N58" s="409"/>
    </row>
    <row r="59" spans="2:14" ht="12.95" customHeight="1">
      <c r="F59" s="330"/>
      <c r="G59" s="356"/>
      <c r="N59" s="409"/>
    </row>
    <row r="60" spans="2:14" ht="12.95" customHeight="1">
      <c r="F60" s="330"/>
      <c r="G60" s="356"/>
      <c r="N60" s="409"/>
    </row>
    <row r="61" spans="2:14" ht="12.95" customHeight="1">
      <c r="F61" s="330"/>
      <c r="G61" s="356"/>
      <c r="N61" s="409"/>
    </row>
    <row r="62" spans="2:14" ht="12.95" customHeight="1">
      <c r="F62" s="330"/>
      <c r="G62" s="356"/>
      <c r="N62" s="409"/>
    </row>
    <row r="63" spans="2:14" ht="12.95" customHeight="1">
      <c r="F63" s="330"/>
      <c r="G63" s="356"/>
      <c r="N63" s="409"/>
    </row>
    <row r="64" spans="2:14" ht="17.100000000000001" customHeight="1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56"/>
      <c r="N74" s="409"/>
    </row>
    <row r="75" spans="6:14" ht="14.25">
      <c r="F75" s="330"/>
      <c r="G75" s="356"/>
      <c r="N75" s="409"/>
    </row>
    <row r="76" spans="6:14" ht="14.25">
      <c r="F76" s="330"/>
      <c r="G76" s="356"/>
      <c r="N76" s="409"/>
    </row>
    <row r="77" spans="6:14" ht="14.25">
      <c r="F77" s="330"/>
      <c r="G77" s="356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 ht="14.25">
      <c r="F91" s="330"/>
      <c r="G91" s="330"/>
      <c r="N91" s="409"/>
    </row>
    <row r="92" spans="6:14" ht="14.25">
      <c r="F92" s="330"/>
      <c r="G92" s="330"/>
      <c r="N92" s="409"/>
    </row>
    <row r="93" spans="6:14" ht="14.25">
      <c r="F93" s="330"/>
      <c r="G93" s="330"/>
      <c r="N93" s="409"/>
    </row>
    <row r="94" spans="6:14" ht="14.25">
      <c r="F94" s="330"/>
      <c r="G94" s="330"/>
      <c r="N94" s="409"/>
    </row>
    <row r="95" spans="6:14">
      <c r="G95" s="330"/>
    </row>
    <row r="96" spans="6:14">
      <c r="G96" s="330"/>
    </row>
    <row r="97" spans="7:7">
      <c r="G97" s="330"/>
    </row>
    <row r="98" spans="7:7">
      <c r="G98" s="330"/>
    </row>
    <row r="99" spans="7:7">
      <c r="G99" s="330"/>
    </row>
    <row r="100" spans="7:7">
      <c r="G100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S94"/>
  <sheetViews>
    <sheetView topLeftCell="A13" zoomScaleNormal="100" zoomScaleSheetLayoutView="100" workbookViewId="0">
      <selection activeCell="M20" sqref="M20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720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522" customFormat="1" ht="11.1" customHeight="1"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80</v>
      </c>
      <c r="D7" s="7" t="s">
        <v>81</v>
      </c>
      <c r="E7" s="653" t="s">
        <v>790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307210</v>
      </c>
      <c r="J8" s="537">
        <f t="shared" ref="J8" si="1">SUM(J9:J12)</f>
        <v>306210</v>
      </c>
      <c r="K8" s="537">
        <f>SUM(K9:K11)</f>
        <v>304255</v>
      </c>
      <c r="L8" s="576">
        <f>SUM(L9:L12)</f>
        <v>305351</v>
      </c>
      <c r="M8" s="245">
        <f>SUM(M9:M12)</f>
        <v>0</v>
      </c>
      <c r="N8" s="741">
        <f>SUM(N9:N12)</f>
        <v>305351</v>
      </c>
      <c r="O8" s="714">
        <f>IF(J8=0,"",N8/J8*100)</f>
        <v>99.719473563894056</v>
      </c>
      <c r="P8" s="719">
        <f>IF(K8=0,"",N8/K8*100)</f>
        <v>100.36022415408128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267230</v>
      </c>
      <c r="J9" s="538">
        <v>267230</v>
      </c>
      <c r="K9" s="538">
        <v>260805</v>
      </c>
      <c r="L9" s="606">
        <v>266737</v>
      </c>
      <c r="M9" s="247">
        <v>0</v>
      </c>
      <c r="N9" s="742">
        <f>SUM(L9:M9)</f>
        <v>266737</v>
      </c>
      <c r="O9" s="715">
        <f>IF(J9=0,"",N9/J9*100)</f>
        <v>99.815514725143146</v>
      </c>
      <c r="P9" s="720">
        <f t="shared" ref="P9:P53" si="2">IF(K9=0,"",N9/K9*100)</f>
        <v>102.27449627116046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39980</v>
      </c>
      <c r="J10" s="538">
        <v>38980</v>
      </c>
      <c r="K10" s="538">
        <v>43450</v>
      </c>
      <c r="L10" s="606">
        <v>38614</v>
      </c>
      <c r="M10" s="247">
        <v>0</v>
      </c>
      <c r="N10" s="742">
        <f t="shared" ref="N10:N11" si="3">SUM(L10:M10)</f>
        <v>38614</v>
      </c>
      <c r="O10" s="715">
        <f t="shared" ref="O10:O53" si="4">IF(J10=0,"",N10/J10*100)</f>
        <v>99.061056952283224</v>
      </c>
      <c r="P10" s="720">
        <f t="shared" si="2"/>
        <v>88.869965477560413</v>
      </c>
      <c r="R10" s="63"/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77">
        <v>0</v>
      </c>
      <c r="M11" s="246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8.1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06"/>
      <c r="M12" s="247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28350</v>
      </c>
      <c r="J13" s="537">
        <f t="shared" si="6"/>
        <v>28350</v>
      </c>
      <c r="K13" s="537">
        <f>K14</f>
        <v>27754</v>
      </c>
      <c r="L13" s="576">
        <f>L14</f>
        <v>28135</v>
      </c>
      <c r="M13" s="245">
        <f>M14</f>
        <v>0</v>
      </c>
      <c r="N13" s="741">
        <f>N14</f>
        <v>28135</v>
      </c>
      <c r="O13" s="714">
        <f t="shared" si="4"/>
        <v>99.241622574955912</v>
      </c>
      <c r="P13" s="719">
        <f t="shared" si="2"/>
        <v>101.37277509548173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28350</v>
      </c>
      <c r="J14" s="538">
        <v>28350</v>
      </c>
      <c r="K14" s="538">
        <v>27754</v>
      </c>
      <c r="L14" s="606">
        <v>28135</v>
      </c>
      <c r="M14" s="247">
        <v>0</v>
      </c>
      <c r="N14" s="742">
        <f>SUM(L14:M14)</f>
        <v>28135</v>
      </c>
      <c r="O14" s="715">
        <f t="shared" si="4"/>
        <v>99.241622574955912</v>
      </c>
      <c r="P14" s="720">
        <f t="shared" si="2"/>
        <v>101.37277509548173</v>
      </c>
    </row>
    <row r="15" spans="1:18" ht="8.1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8"/>
      <c r="M15" s="319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SUM(I17:I28)</f>
        <v>97250</v>
      </c>
      <c r="J16" s="537">
        <f t="shared" ref="J16" si="8">SUM(J17:J28)</f>
        <v>97250</v>
      </c>
      <c r="K16" s="537">
        <f>SUM(K17:K28)</f>
        <v>84697</v>
      </c>
      <c r="L16" s="574">
        <f>SUM(L17:L28)</f>
        <v>86134</v>
      </c>
      <c r="M16" s="318">
        <f>SUM(M17:M28)</f>
        <v>7344</v>
      </c>
      <c r="N16" s="732">
        <f>SUM(N17:N28)</f>
        <v>93478</v>
      </c>
      <c r="O16" s="714">
        <f t="shared" si="4"/>
        <v>96.121336760925445</v>
      </c>
      <c r="P16" s="719">
        <f t="shared" si="2"/>
        <v>110.36754548567245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4000</v>
      </c>
      <c r="J17" s="538">
        <v>4000</v>
      </c>
      <c r="K17" s="538">
        <v>4799</v>
      </c>
      <c r="L17" s="552">
        <v>3216</v>
      </c>
      <c r="M17" s="388">
        <v>0</v>
      </c>
      <c r="N17" s="742">
        <f t="shared" ref="N17:N28" si="9">SUM(L17:M17)</f>
        <v>3216</v>
      </c>
      <c r="O17" s="715">
        <f t="shared" si="4"/>
        <v>80.400000000000006</v>
      </c>
      <c r="P17" s="720">
        <f t="shared" si="2"/>
        <v>67.013961241925401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8" si="10">SUM(G18:H18)</f>
        <v>0</v>
      </c>
      <c r="J18" s="538">
        <f t="shared" si="10"/>
        <v>0</v>
      </c>
      <c r="K18" s="538">
        <v>0</v>
      </c>
      <c r="L18" s="552">
        <v>0</v>
      </c>
      <c r="M18" s="388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3700</v>
      </c>
      <c r="J19" s="538">
        <v>3650</v>
      </c>
      <c r="K19" s="538">
        <v>3298</v>
      </c>
      <c r="L19" s="552">
        <v>3273</v>
      </c>
      <c r="M19" s="388">
        <v>0</v>
      </c>
      <c r="N19" s="742">
        <f t="shared" si="9"/>
        <v>3273</v>
      </c>
      <c r="O19" s="715">
        <f t="shared" si="4"/>
        <v>89.671232876712324</v>
      </c>
      <c r="P19" s="720">
        <f t="shared" si="2"/>
        <v>99.241964827167976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15050</v>
      </c>
      <c r="J20" s="538">
        <v>15050</v>
      </c>
      <c r="K20" s="538">
        <v>15353</v>
      </c>
      <c r="L20" s="552">
        <f>14983-7344</f>
        <v>7639</v>
      </c>
      <c r="M20" s="388">
        <v>7344</v>
      </c>
      <c r="N20" s="742">
        <f t="shared" si="9"/>
        <v>14983</v>
      </c>
      <c r="O20" s="715">
        <f t="shared" si="4"/>
        <v>99.55481727574751</v>
      </c>
      <c r="P20" s="720">
        <f t="shared" si="2"/>
        <v>97.59004754771054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2">
        <v>0</v>
      </c>
      <c r="M21" s="388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2000</v>
      </c>
      <c r="J23" s="538">
        <v>2050</v>
      </c>
      <c r="K23" s="538">
        <v>996</v>
      </c>
      <c r="L23" s="552">
        <v>2040</v>
      </c>
      <c r="M23" s="388">
        <v>0</v>
      </c>
      <c r="N23" s="742">
        <f t="shared" si="9"/>
        <v>2040</v>
      </c>
      <c r="O23" s="715">
        <f t="shared" si="4"/>
        <v>99.512195121951223</v>
      </c>
      <c r="P23" s="720">
        <f t="shared" si="2"/>
        <v>204.81927710843374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613800</v>
      </c>
      <c r="G25" s="354"/>
      <c r="H25" s="20" t="s">
        <v>159</v>
      </c>
      <c r="I25" s="538">
        <f t="shared" si="10"/>
        <v>0</v>
      </c>
      <c r="J25" s="538">
        <f t="shared" si="10"/>
        <v>0</v>
      </c>
      <c r="K25" s="538">
        <v>0</v>
      </c>
      <c r="L25" s="552">
        <v>0</v>
      </c>
      <c r="M25" s="388">
        <v>0</v>
      </c>
      <c r="N25" s="742">
        <f t="shared" si="9"/>
        <v>0</v>
      </c>
      <c r="O25" s="715" t="str">
        <f t="shared" si="4"/>
        <v/>
      </c>
      <c r="P25" s="720" t="str">
        <f t="shared" si="2"/>
        <v/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0" t="s">
        <v>150</v>
      </c>
      <c r="I26" s="538">
        <v>32500</v>
      </c>
      <c r="J26" s="538">
        <v>32500</v>
      </c>
      <c r="K26" s="538">
        <v>14319</v>
      </c>
      <c r="L26" s="552">
        <v>31169</v>
      </c>
      <c r="M26" s="388">
        <v>0</v>
      </c>
      <c r="N26" s="742">
        <f t="shared" si="9"/>
        <v>31169</v>
      </c>
      <c r="O26" s="715">
        <f t="shared" si="4"/>
        <v>95.904615384615383</v>
      </c>
      <c r="P26" s="720">
        <f t="shared" si="2"/>
        <v>217.67581535023396</v>
      </c>
    </row>
    <row r="27" spans="1:17" ht="12.95" customHeight="1">
      <c r="B27" s="10"/>
      <c r="C27" s="11"/>
      <c r="D27" s="11"/>
      <c r="E27" s="309"/>
      <c r="F27" s="328">
        <v>613900</v>
      </c>
      <c r="G27" s="354" t="s">
        <v>564</v>
      </c>
      <c r="H27" s="20" t="s">
        <v>153</v>
      </c>
      <c r="I27" s="538">
        <v>40000</v>
      </c>
      <c r="J27" s="538">
        <v>40000</v>
      </c>
      <c r="K27" s="538">
        <v>45932</v>
      </c>
      <c r="L27" s="552">
        <v>38797</v>
      </c>
      <c r="M27" s="388">
        <v>0</v>
      </c>
      <c r="N27" s="742">
        <f t="shared" si="9"/>
        <v>38797</v>
      </c>
      <c r="O27" s="715">
        <f t="shared" si="4"/>
        <v>96.992500000000007</v>
      </c>
      <c r="P27" s="720">
        <f t="shared" si="2"/>
        <v>84.466167377862931</v>
      </c>
    </row>
    <row r="28" spans="1:17" ht="12.95" customHeight="1">
      <c r="B28" s="10"/>
      <c r="C28" s="11"/>
      <c r="D28" s="11"/>
      <c r="E28" s="309"/>
      <c r="F28" s="328">
        <v>613900</v>
      </c>
      <c r="G28" s="354"/>
      <c r="H28" s="211" t="s">
        <v>452</v>
      </c>
      <c r="I28" s="538">
        <f t="shared" si="10"/>
        <v>0</v>
      </c>
      <c r="J28" s="538">
        <f t="shared" si="10"/>
        <v>0</v>
      </c>
      <c r="K28" s="538">
        <v>0</v>
      </c>
      <c r="L28" s="552">
        <v>0</v>
      </c>
      <c r="M28" s="388">
        <v>0</v>
      </c>
      <c r="N28" s="742">
        <f t="shared" si="9"/>
        <v>0</v>
      </c>
      <c r="O28" s="715" t="str">
        <f t="shared" si="4"/>
        <v/>
      </c>
      <c r="P28" s="720" t="str">
        <f t="shared" si="2"/>
        <v/>
      </c>
    </row>
    <row r="29" spans="1:17" ht="8.1" customHeight="1">
      <c r="B29" s="10"/>
      <c r="C29" s="11"/>
      <c r="D29" s="11"/>
      <c r="E29" s="309"/>
      <c r="F29" s="328"/>
      <c r="G29" s="354"/>
      <c r="H29" s="11"/>
      <c r="I29" s="538"/>
      <c r="J29" s="538"/>
      <c r="K29" s="538"/>
      <c r="L29" s="608"/>
      <c r="M29" s="319"/>
      <c r="N29" s="743"/>
      <c r="O29" s="715" t="str">
        <f t="shared" si="4"/>
        <v/>
      </c>
      <c r="P29" s="720" t="str">
        <f t="shared" si="2"/>
        <v/>
      </c>
    </row>
    <row r="30" spans="1:17" s="1" customFormat="1" ht="12.95" customHeight="1">
      <c r="A30" s="304"/>
      <c r="B30" s="12"/>
      <c r="C30" s="8"/>
      <c r="D30" s="8"/>
      <c r="E30" s="655"/>
      <c r="F30" s="327">
        <v>614000</v>
      </c>
      <c r="G30" s="353"/>
      <c r="H30" s="8" t="s">
        <v>173</v>
      </c>
      <c r="I30" s="537">
        <f t="shared" ref="I30:J30" si="11">SUM(I31:I40)</f>
        <v>1158800</v>
      </c>
      <c r="J30" s="537">
        <f t="shared" si="11"/>
        <v>1158800</v>
      </c>
      <c r="K30" s="537">
        <f t="shared" ref="K30:N30" si="12">SUM(K31:K40)</f>
        <v>1242593</v>
      </c>
      <c r="L30" s="574">
        <f t="shared" si="12"/>
        <v>1151507</v>
      </c>
      <c r="M30" s="318">
        <f t="shared" si="12"/>
        <v>0</v>
      </c>
      <c r="N30" s="732">
        <f t="shared" si="12"/>
        <v>1151507</v>
      </c>
      <c r="O30" s="714">
        <f t="shared" si="4"/>
        <v>99.370642043493277</v>
      </c>
      <c r="P30" s="719">
        <f t="shared" si="2"/>
        <v>92.669683476407812</v>
      </c>
    </row>
    <row r="31" spans="1:17" s="109" customFormat="1" ht="28.5" customHeight="1">
      <c r="B31" s="104"/>
      <c r="C31" s="105"/>
      <c r="D31" s="106"/>
      <c r="E31" s="656" t="s">
        <v>791</v>
      </c>
      <c r="F31" s="332">
        <v>614100</v>
      </c>
      <c r="G31" s="358" t="s">
        <v>565</v>
      </c>
      <c r="H31" s="107" t="s">
        <v>187</v>
      </c>
      <c r="I31" s="558">
        <v>125000</v>
      </c>
      <c r="J31" s="558">
        <v>125000</v>
      </c>
      <c r="K31" s="558">
        <v>128996</v>
      </c>
      <c r="L31" s="616">
        <v>124820</v>
      </c>
      <c r="M31" s="298">
        <v>0</v>
      </c>
      <c r="N31" s="742">
        <f t="shared" ref="N31:N38" si="13">SUM(L31:M31)</f>
        <v>124820</v>
      </c>
      <c r="O31" s="715">
        <f t="shared" si="4"/>
        <v>99.855999999999995</v>
      </c>
      <c r="P31" s="720">
        <f t="shared" si="2"/>
        <v>96.762690315978801</v>
      </c>
      <c r="Q31" s="108"/>
    </row>
    <row r="32" spans="1:17" s="307" customFormat="1" ht="12.95" customHeight="1">
      <c r="B32" s="308"/>
      <c r="C32" s="309"/>
      <c r="D32" s="309"/>
      <c r="E32" s="657"/>
      <c r="F32" s="333">
        <v>614100</v>
      </c>
      <c r="G32" s="359" t="s">
        <v>662</v>
      </c>
      <c r="H32" s="528" t="s">
        <v>830</v>
      </c>
      <c r="I32" s="538">
        <v>0</v>
      </c>
      <c r="J32" s="538">
        <v>0</v>
      </c>
      <c r="K32" s="558">
        <v>280000</v>
      </c>
      <c r="L32" s="608">
        <v>0</v>
      </c>
      <c r="M32" s="319">
        <v>0</v>
      </c>
      <c r="N32" s="742">
        <f t="shared" si="13"/>
        <v>0</v>
      </c>
      <c r="O32" s="715" t="str">
        <f t="shared" si="4"/>
        <v/>
      </c>
      <c r="P32" s="720">
        <f t="shared" si="2"/>
        <v>0</v>
      </c>
    </row>
    <row r="33" spans="1:19" s="307" customFormat="1" ht="12.95" customHeight="1">
      <c r="B33" s="308"/>
      <c r="C33" s="309"/>
      <c r="D33" s="309"/>
      <c r="E33" s="657"/>
      <c r="F33" s="333">
        <v>614100</v>
      </c>
      <c r="G33" s="359" t="s">
        <v>663</v>
      </c>
      <c r="H33" s="260" t="s">
        <v>566</v>
      </c>
      <c r="I33" s="538">
        <v>0</v>
      </c>
      <c r="J33" s="538">
        <v>0</v>
      </c>
      <c r="K33" s="558">
        <v>70000</v>
      </c>
      <c r="L33" s="608">
        <v>0</v>
      </c>
      <c r="M33" s="319">
        <v>0</v>
      </c>
      <c r="N33" s="742">
        <f t="shared" si="13"/>
        <v>0</v>
      </c>
      <c r="O33" s="715" t="str">
        <f t="shared" si="4"/>
        <v/>
      </c>
      <c r="P33" s="720">
        <f t="shared" si="2"/>
        <v>0</v>
      </c>
    </row>
    <row r="34" spans="1:19" ht="12.95" customHeight="1">
      <c r="B34" s="10"/>
      <c r="C34" s="11"/>
      <c r="D34" s="11"/>
      <c r="E34" s="657"/>
      <c r="F34" s="333">
        <v>614100</v>
      </c>
      <c r="G34" s="359" t="s">
        <v>567</v>
      </c>
      <c r="H34" s="83" t="s">
        <v>328</v>
      </c>
      <c r="I34" s="538">
        <v>228800</v>
      </c>
      <c r="J34" s="538">
        <v>228800</v>
      </c>
      <c r="K34" s="558">
        <v>344897</v>
      </c>
      <c r="L34" s="608">
        <v>223767</v>
      </c>
      <c r="M34" s="319">
        <v>0</v>
      </c>
      <c r="N34" s="742">
        <f t="shared" si="13"/>
        <v>223767</v>
      </c>
      <c r="O34" s="715">
        <f t="shared" si="4"/>
        <v>97.80026223776224</v>
      </c>
      <c r="P34" s="720">
        <f t="shared" si="2"/>
        <v>64.87936978286271</v>
      </c>
    </row>
    <row r="35" spans="1:19" ht="12.95" customHeight="1">
      <c r="B35" s="10"/>
      <c r="C35" s="11"/>
      <c r="D35" s="11"/>
      <c r="E35" s="658" t="s">
        <v>791</v>
      </c>
      <c r="F35" s="328">
        <v>614200</v>
      </c>
      <c r="G35" s="354" t="s">
        <v>568</v>
      </c>
      <c r="H35" s="23" t="s">
        <v>109</v>
      </c>
      <c r="I35" s="538">
        <v>150000</v>
      </c>
      <c r="J35" s="538">
        <v>150000</v>
      </c>
      <c r="K35" s="558">
        <v>143700</v>
      </c>
      <c r="L35" s="608">
        <v>148800</v>
      </c>
      <c r="M35" s="319">
        <v>0</v>
      </c>
      <c r="N35" s="742">
        <f t="shared" si="13"/>
        <v>148800</v>
      </c>
      <c r="O35" s="715">
        <f t="shared" si="4"/>
        <v>99.2</v>
      </c>
      <c r="P35" s="720">
        <f t="shared" si="2"/>
        <v>103.54906054279749</v>
      </c>
    </row>
    <row r="36" spans="1:19" s="109" customFormat="1" ht="27.75" customHeight="1">
      <c r="B36" s="104"/>
      <c r="C36" s="105"/>
      <c r="D36" s="105"/>
      <c r="E36" s="659" t="s">
        <v>794</v>
      </c>
      <c r="F36" s="332">
        <v>614200</v>
      </c>
      <c r="G36" s="358" t="s">
        <v>569</v>
      </c>
      <c r="H36" s="110" t="s">
        <v>652</v>
      </c>
      <c r="I36" s="558">
        <v>15000</v>
      </c>
      <c r="J36" s="558">
        <v>15000</v>
      </c>
      <c r="K36" s="558">
        <v>15000</v>
      </c>
      <c r="L36" s="616">
        <v>15000</v>
      </c>
      <c r="M36" s="298">
        <v>0</v>
      </c>
      <c r="N36" s="742">
        <f t="shared" si="13"/>
        <v>15000</v>
      </c>
      <c r="O36" s="737">
        <f t="shared" si="4"/>
        <v>100</v>
      </c>
      <c r="P36" s="369">
        <f t="shared" si="2"/>
        <v>100</v>
      </c>
    </row>
    <row r="37" spans="1:19" ht="12.95" customHeight="1">
      <c r="B37" s="10"/>
      <c r="C37" s="11"/>
      <c r="D37" s="11"/>
      <c r="E37" s="658" t="s">
        <v>795</v>
      </c>
      <c r="F37" s="328">
        <v>614300</v>
      </c>
      <c r="G37" s="354" t="s">
        <v>570</v>
      </c>
      <c r="H37" s="23" t="s">
        <v>99</v>
      </c>
      <c r="I37" s="538">
        <v>100000</v>
      </c>
      <c r="J37" s="538">
        <v>100000</v>
      </c>
      <c r="K37" s="558">
        <v>40000</v>
      </c>
      <c r="L37" s="608">
        <v>100000</v>
      </c>
      <c r="M37" s="319">
        <v>0</v>
      </c>
      <c r="N37" s="742">
        <f t="shared" si="13"/>
        <v>100000</v>
      </c>
      <c r="O37" s="737">
        <f t="shared" si="4"/>
        <v>100</v>
      </c>
      <c r="P37" s="369">
        <f t="shared" si="2"/>
        <v>250</v>
      </c>
    </row>
    <row r="38" spans="1:19" ht="12.95" customHeight="1">
      <c r="B38" s="10"/>
      <c r="C38" s="11"/>
      <c r="D38" s="11"/>
      <c r="E38" s="658" t="s">
        <v>796</v>
      </c>
      <c r="F38" s="328">
        <v>614300</v>
      </c>
      <c r="G38" s="354" t="s">
        <v>571</v>
      </c>
      <c r="H38" s="23" t="s">
        <v>100</v>
      </c>
      <c r="I38" s="538">
        <v>220000</v>
      </c>
      <c r="J38" s="538">
        <v>220000</v>
      </c>
      <c r="K38" s="558">
        <v>220000</v>
      </c>
      <c r="L38" s="608">
        <v>219820</v>
      </c>
      <c r="M38" s="319">
        <v>0</v>
      </c>
      <c r="N38" s="742">
        <f t="shared" si="13"/>
        <v>219820</v>
      </c>
      <c r="O38" s="737">
        <f t="shared" si="4"/>
        <v>99.918181818181822</v>
      </c>
      <c r="P38" s="369">
        <f t="shared" si="2"/>
        <v>99.918181818181822</v>
      </c>
      <c r="Q38" s="77"/>
    </row>
    <row r="39" spans="1:19" s="307" customFormat="1" ht="12.95" customHeight="1">
      <c r="B39" s="308"/>
      <c r="C39" s="309"/>
      <c r="D39" s="309"/>
      <c r="E39" s="657" t="s">
        <v>793</v>
      </c>
      <c r="F39" s="333">
        <v>614300</v>
      </c>
      <c r="G39" s="359" t="s">
        <v>685</v>
      </c>
      <c r="H39" s="528" t="s">
        <v>668</v>
      </c>
      <c r="I39" s="538">
        <v>240000</v>
      </c>
      <c r="J39" s="538">
        <v>240000</v>
      </c>
      <c r="K39" s="558">
        <v>0</v>
      </c>
      <c r="L39" s="608">
        <v>240000</v>
      </c>
      <c r="M39" s="319">
        <v>0</v>
      </c>
      <c r="N39" s="742">
        <f t="shared" ref="N39:N40" si="14">SUM(L39:M39)</f>
        <v>240000</v>
      </c>
      <c r="O39" s="737">
        <f t="shared" ref="O39:O40" si="15">IF(J39=0,"",N39/J39*100)</f>
        <v>100</v>
      </c>
      <c r="P39" s="369" t="str">
        <f t="shared" si="2"/>
        <v/>
      </c>
    </row>
    <row r="40" spans="1:19" s="307" customFormat="1" ht="12.95" customHeight="1">
      <c r="B40" s="308"/>
      <c r="C40" s="309"/>
      <c r="D40" s="309"/>
      <c r="E40" s="657" t="s">
        <v>792</v>
      </c>
      <c r="F40" s="333">
        <v>614300</v>
      </c>
      <c r="G40" s="359" t="s">
        <v>686</v>
      </c>
      <c r="H40" s="528" t="s">
        <v>566</v>
      </c>
      <c r="I40" s="538">
        <v>80000</v>
      </c>
      <c r="J40" s="538">
        <v>80000</v>
      </c>
      <c r="K40" s="558">
        <v>0</v>
      </c>
      <c r="L40" s="608">
        <v>79300</v>
      </c>
      <c r="M40" s="319">
        <v>0</v>
      </c>
      <c r="N40" s="742">
        <f t="shared" si="14"/>
        <v>79300</v>
      </c>
      <c r="O40" s="737">
        <f t="shared" si="15"/>
        <v>99.125</v>
      </c>
      <c r="P40" s="369" t="str">
        <f t="shared" si="2"/>
        <v/>
      </c>
    </row>
    <row r="41" spans="1:19" ht="8.1" customHeight="1">
      <c r="B41" s="10"/>
      <c r="C41" s="11"/>
      <c r="D41" s="11"/>
      <c r="E41" s="658"/>
      <c r="F41" s="328"/>
      <c r="G41" s="354"/>
      <c r="H41" s="23"/>
      <c r="I41" s="538"/>
      <c r="J41" s="538"/>
      <c r="K41" s="538"/>
      <c r="L41" s="608"/>
      <c r="M41" s="319"/>
      <c r="N41" s="743"/>
      <c r="O41" s="737" t="str">
        <f t="shared" si="4"/>
        <v/>
      </c>
      <c r="P41" s="369" t="str">
        <f t="shared" si="2"/>
        <v/>
      </c>
      <c r="Q41" s="77"/>
    </row>
    <row r="42" spans="1:19" ht="12.95" customHeight="1">
      <c r="B42" s="10"/>
      <c r="C42" s="11"/>
      <c r="D42" s="11"/>
      <c r="E42" s="658"/>
      <c r="F42" s="327">
        <v>616000</v>
      </c>
      <c r="G42" s="353"/>
      <c r="H42" s="26" t="s">
        <v>174</v>
      </c>
      <c r="I42" s="537">
        <f t="shared" ref="I42:J42" si="16">I43</f>
        <v>0</v>
      </c>
      <c r="J42" s="537">
        <f t="shared" si="16"/>
        <v>0</v>
      </c>
      <c r="K42" s="537">
        <f>K43</f>
        <v>2415</v>
      </c>
      <c r="L42" s="574">
        <f>L43</f>
        <v>0</v>
      </c>
      <c r="M42" s="318">
        <f>M43</f>
        <v>0</v>
      </c>
      <c r="N42" s="732">
        <f>N43</f>
        <v>0</v>
      </c>
      <c r="O42" s="736" t="str">
        <f t="shared" si="4"/>
        <v/>
      </c>
      <c r="P42" s="368">
        <f t="shared" si="2"/>
        <v>0</v>
      </c>
    </row>
    <row r="43" spans="1:19" ht="12.95" customHeight="1">
      <c r="B43" s="10"/>
      <c r="C43" s="11"/>
      <c r="D43" s="11"/>
      <c r="E43" s="658"/>
      <c r="F43" s="328">
        <v>616300</v>
      </c>
      <c r="G43" s="354"/>
      <c r="H43" s="44" t="s">
        <v>183</v>
      </c>
      <c r="I43" s="538">
        <v>0</v>
      </c>
      <c r="J43" s="538">
        <v>0</v>
      </c>
      <c r="K43" s="538">
        <v>2415</v>
      </c>
      <c r="L43" s="608">
        <v>0</v>
      </c>
      <c r="M43" s="319">
        <v>0</v>
      </c>
      <c r="N43" s="742">
        <f>SUM(L43:M43)</f>
        <v>0</v>
      </c>
      <c r="O43" s="737" t="str">
        <f t="shared" si="4"/>
        <v/>
      </c>
      <c r="P43" s="369">
        <f t="shared" si="2"/>
        <v>0</v>
      </c>
    </row>
    <row r="44" spans="1:19" ht="8.1" customHeight="1">
      <c r="B44" s="10"/>
      <c r="C44" s="11"/>
      <c r="D44" s="11"/>
      <c r="E44" s="658"/>
      <c r="F44" s="328"/>
      <c r="G44" s="354"/>
      <c r="H44" s="11"/>
      <c r="I44" s="538"/>
      <c r="J44" s="538"/>
      <c r="K44" s="538"/>
      <c r="L44" s="569"/>
      <c r="M44" s="303"/>
      <c r="N44" s="743"/>
      <c r="O44" s="737" t="str">
        <f t="shared" si="4"/>
        <v/>
      </c>
      <c r="P44" s="369" t="str">
        <f t="shared" si="2"/>
        <v/>
      </c>
    </row>
    <row r="45" spans="1:19" s="1" customFormat="1" ht="12.95" customHeight="1">
      <c r="A45" s="304"/>
      <c r="B45" s="12"/>
      <c r="C45" s="8"/>
      <c r="D45" s="8"/>
      <c r="E45" s="655"/>
      <c r="F45" s="327">
        <v>821000</v>
      </c>
      <c r="G45" s="353"/>
      <c r="H45" s="8" t="s">
        <v>89</v>
      </c>
      <c r="I45" s="537">
        <f t="shared" ref="I45" si="17">SUM(I46:I47)</f>
        <v>503730</v>
      </c>
      <c r="J45" s="537">
        <f t="shared" ref="J45" si="18">SUM(J46:J47)</f>
        <v>503730</v>
      </c>
      <c r="K45" s="537">
        <f>SUM(K46:K47)</f>
        <v>68348</v>
      </c>
      <c r="L45" s="574">
        <f>SUM(L46:L47)</f>
        <v>152509</v>
      </c>
      <c r="M45" s="318">
        <f>SUM(M46:M47)</f>
        <v>351206</v>
      </c>
      <c r="N45" s="732">
        <f>SUM(N46:N47)</f>
        <v>503715</v>
      </c>
      <c r="O45" s="736">
        <f t="shared" si="4"/>
        <v>99.997022214281458</v>
      </c>
      <c r="P45" s="829">
        <f t="shared" si="2"/>
        <v>736.98572013811679</v>
      </c>
      <c r="R45" s="828"/>
      <c r="S45" s="81"/>
    </row>
    <row r="46" spans="1:19" ht="12.95" customHeight="1">
      <c r="B46" s="10"/>
      <c r="C46" s="11"/>
      <c r="D46" s="11"/>
      <c r="E46" s="658"/>
      <c r="F46" s="328">
        <v>821200</v>
      </c>
      <c r="G46" s="354"/>
      <c r="H46" s="11" t="s">
        <v>90</v>
      </c>
      <c r="I46" s="538">
        <v>483870</v>
      </c>
      <c r="J46" s="538">
        <v>483860</v>
      </c>
      <c r="K46" s="538">
        <v>64760</v>
      </c>
      <c r="L46" s="569">
        <f>483853-332942</f>
        <v>150911</v>
      </c>
      <c r="M46" s="303">
        <v>332942</v>
      </c>
      <c r="N46" s="742">
        <f t="shared" ref="N46:N47" si="19">SUM(L46:M46)</f>
        <v>483853</v>
      </c>
      <c r="O46" s="737">
        <f t="shared" si="4"/>
        <v>99.998553300541488</v>
      </c>
      <c r="P46" s="369">
        <f t="shared" si="2"/>
        <v>747.1479308214947</v>
      </c>
      <c r="R46" s="80"/>
      <c r="S46" s="80"/>
    </row>
    <row r="47" spans="1:19" ht="12.95" customHeight="1">
      <c r="B47" s="10"/>
      <c r="C47" s="11"/>
      <c r="D47" s="11"/>
      <c r="E47" s="658"/>
      <c r="F47" s="328">
        <v>821300</v>
      </c>
      <c r="G47" s="354"/>
      <c r="H47" s="11" t="s">
        <v>91</v>
      </c>
      <c r="I47" s="538">
        <v>19860</v>
      </c>
      <c r="J47" s="538">
        <v>19870</v>
      </c>
      <c r="K47" s="538">
        <v>3588</v>
      </c>
      <c r="L47" s="608">
        <f>19862-18264</f>
        <v>1598</v>
      </c>
      <c r="M47" s="319">
        <f>11852+5598+814</f>
        <v>18264</v>
      </c>
      <c r="N47" s="742">
        <f t="shared" si="19"/>
        <v>19862</v>
      </c>
      <c r="O47" s="737">
        <f t="shared" si="4"/>
        <v>99.959738298943137</v>
      </c>
      <c r="P47" s="369">
        <f t="shared" si="2"/>
        <v>553.56744704570792</v>
      </c>
      <c r="R47" s="80"/>
      <c r="S47" s="80"/>
    </row>
    <row r="48" spans="1:19" ht="8.1" customHeight="1">
      <c r="B48" s="10"/>
      <c r="C48" s="11"/>
      <c r="D48" s="11"/>
      <c r="E48" s="309"/>
      <c r="F48" s="328"/>
      <c r="G48" s="354"/>
      <c r="H48" s="11"/>
      <c r="I48" s="538"/>
      <c r="J48" s="538"/>
      <c r="K48" s="538"/>
      <c r="L48" s="569"/>
      <c r="M48" s="303"/>
      <c r="N48" s="743"/>
      <c r="O48" s="737" t="str">
        <f t="shared" si="4"/>
        <v/>
      </c>
      <c r="P48" s="369" t="str">
        <f t="shared" si="2"/>
        <v/>
      </c>
      <c r="R48" s="80"/>
      <c r="S48" s="80"/>
    </row>
    <row r="49" spans="1:19" ht="12.95" customHeight="1">
      <c r="B49" s="10"/>
      <c r="C49" s="11"/>
      <c r="D49" s="11"/>
      <c r="E49" s="309"/>
      <c r="F49" s="327">
        <v>823000</v>
      </c>
      <c r="G49" s="353"/>
      <c r="H49" s="8" t="s">
        <v>175</v>
      </c>
      <c r="I49" s="537">
        <f t="shared" ref="I49:J49" si="20">I50</f>
        <v>0</v>
      </c>
      <c r="J49" s="537">
        <f t="shared" si="20"/>
        <v>0</v>
      </c>
      <c r="K49" s="537">
        <f>K50</f>
        <v>71318</v>
      </c>
      <c r="L49" s="574">
        <f>L50</f>
        <v>0</v>
      </c>
      <c r="M49" s="318">
        <f>M50</f>
        <v>0</v>
      </c>
      <c r="N49" s="732">
        <f>N50</f>
        <v>0</v>
      </c>
      <c r="O49" s="736" t="str">
        <f t="shared" si="4"/>
        <v/>
      </c>
      <c r="P49" s="368">
        <f t="shared" si="2"/>
        <v>0</v>
      </c>
      <c r="R49" s="80"/>
      <c r="S49" s="80"/>
    </row>
    <row r="50" spans="1:19" ht="12.95" customHeight="1">
      <c r="B50" s="10"/>
      <c r="C50" s="11"/>
      <c r="D50" s="11"/>
      <c r="E50" s="309"/>
      <c r="F50" s="328">
        <v>823300</v>
      </c>
      <c r="G50" s="354"/>
      <c r="H50" s="20" t="s">
        <v>158</v>
      </c>
      <c r="I50" s="538">
        <v>0</v>
      </c>
      <c r="J50" s="538">
        <v>0</v>
      </c>
      <c r="K50" s="538">
        <v>71318</v>
      </c>
      <c r="L50" s="608">
        <v>0</v>
      </c>
      <c r="M50" s="319">
        <v>0</v>
      </c>
      <c r="N50" s="742">
        <f>SUM(L50:M50)</f>
        <v>0</v>
      </c>
      <c r="O50" s="737" t="str">
        <f t="shared" si="4"/>
        <v/>
      </c>
      <c r="P50" s="369">
        <f t="shared" si="2"/>
        <v>0</v>
      </c>
      <c r="R50" s="80"/>
      <c r="S50" s="80"/>
    </row>
    <row r="51" spans="1:19" ht="8.1" customHeight="1">
      <c r="B51" s="10"/>
      <c r="C51" s="11"/>
      <c r="D51" s="11"/>
      <c r="E51" s="309"/>
      <c r="F51" s="328"/>
      <c r="G51" s="354"/>
      <c r="H51" s="20"/>
      <c r="I51" s="538"/>
      <c r="J51" s="538"/>
      <c r="K51" s="538"/>
      <c r="L51" s="569"/>
      <c r="M51" s="303"/>
      <c r="N51" s="743"/>
      <c r="O51" s="737" t="str">
        <f t="shared" si="4"/>
        <v/>
      </c>
      <c r="P51" s="369" t="str">
        <f t="shared" si="2"/>
        <v/>
      </c>
      <c r="R51" s="80"/>
      <c r="S51" s="80"/>
    </row>
    <row r="52" spans="1:19" s="1" customFormat="1" ht="12.95" customHeight="1">
      <c r="A52" s="304"/>
      <c r="B52" s="12"/>
      <c r="C52" s="8"/>
      <c r="D52" s="8"/>
      <c r="E52" s="8"/>
      <c r="F52" s="327"/>
      <c r="G52" s="353"/>
      <c r="H52" s="8" t="s">
        <v>92</v>
      </c>
      <c r="I52" s="537">
        <v>11</v>
      </c>
      <c r="J52" s="537"/>
      <c r="K52" s="537">
        <v>11</v>
      </c>
      <c r="L52" s="568">
        <v>11</v>
      </c>
      <c r="M52" s="311"/>
      <c r="N52" s="732">
        <v>11</v>
      </c>
      <c r="O52" s="737"/>
      <c r="P52" s="369"/>
      <c r="R52" s="81"/>
      <c r="S52" s="81"/>
    </row>
    <row r="53" spans="1:19" s="1" customFormat="1" ht="12.95" customHeight="1">
      <c r="A53" s="304"/>
      <c r="B53" s="12"/>
      <c r="C53" s="8"/>
      <c r="D53" s="8"/>
      <c r="E53" s="8"/>
      <c r="F53" s="327"/>
      <c r="G53" s="353"/>
      <c r="H53" s="8" t="s">
        <v>110</v>
      </c>
      <c r="I53" s="561">
        <f t="shared" ref="I53:N53" si="21">I8+I13+I16+I30+I42+I45+I49</f>
        <v>2095340</v>
      </c>
      <c r="J53" s="311">
        <f t="shared" si="21"/>
        <v>2094340</v>
      </c>
      <c r="K53" s="561">
        <f t="shared" si="21"/>
        <v>1801380</v>
      </c>
      <c r="L53" s="568">
        <f t="shared" si="21"/>
        <v>1723636</v>
      </c>
      <c r="M53" s="311">
        <f t="shared" si="21"/>
        <v>358550</v>
      </c>
      <c r="N53" s="732">
        <f t="shared" si="21"/>
        <v>2082186</v>
      </c>
      <c r="O53" s="736">
        <f t="shared" si="4"/>
        <v>99.419673978437118</v>
      </c>
      <c r="P53" s="368">
        <f t="shared" si="2"/>
        <v>115.58838224028246</v>
      </c>
      <c r="R53" s="81"/>
      <c r="S53" s="81"/>
    </row>
    <row r="54" spans="1:19" s="1" customFormat="1" ht="12.95" customHeight="1">
      <c r="A54" s="304"/>
      <c r="B54" s="12"/>
      <c r="C54" s="8"/>
      <c r="D54" s="8"/>
      <c r="E54" s="8"/>
      <c r="F54" s="327"/>
      <c r="G54" s="353"/>
      <c r="H54" s="8" t="s">
        <v>93</v>
      </c>
      <c r="I54" s="11"/>
      <c r="J54" s="11"/>
      <c r="K54" s="24"/>
      <c r="L54" s="308"/>
      <c r="M54" s="309"/>
      <c r="N54" s="734"/>
      <c r="O54" s="738"/>
      <c r="P54" s="370"/>
      <c r="R54" s="81"/>
      <c r="S54" s="81"/>
    </row>
    <row r="55" spans="1:19" s="1" customFormat="1" ht="12.95" customHeight="1">
      <c r="A55" s="304"/>
      <c r="B55" s="12"/>
      <c r="C55" s="8"/>
      <c r="D55" s="8"/>
      <c r="E55" s="8"/>
      <c r="F55" s="327"/>
      <c r="G55" s="353"/>
      <c r="H55" s="8" t="s">
        <v>94</v>
      </c>
      <c r="I55" s="11"/>
      <c r="J55" s="11"/>
      <c r="K55" s="24"/>
      <c r="L55" s="308"/>
      <c r="M55" s="309"/>
      <c r="N55" s="734"/>
      <c r="O55" s="738"/>
      <c r="P55" s="370"/>
      <c r="R55" s="81"/>
      <c r="S55" s="81"/>
    </row>
    <row r="56" spans="1:19" ht="8.1" customHeight="1" thickBot="1">
      <c r="B56" s="16"/>
      <c r="C56" s="17"/>
      <c r="D56" s="17"/>
      <c r="E56" s="17"/>
      <c r="F56" s="329"/>
      <c r="G56" s="355"/>
      <c r="H56" s="17"/>
      <c r="I56" s="17"/>
      <c r="J56" s="17"/>
      <c r="K56" s="27"/>
      <c r="L56" s="16"/>
      <c r="M56" s="17"/>
      <c r="N56" s="735"/>
      <c r="O56" s="739"/>
      <c r="P56" s="371"/>
    </row>
    <row r="57" spans="1:19" ht="12.95" customHeight="1">
      <c r="F57" s="330"/>
      <c r="G57" s="356"/>
      <c r="N57" s="409"/>
    </row>
    <row r="58" spans="1:19" ht="17.100000000000001" customHeight="1">
      <c r="F58" s="330"/>
      <c r="G58" s="356"/>
      <c r="N58" s="409"/>
    </row>
    <row r="59" spans="1:19" ht="17.100000000000001" customHeight="1">
      <c r="B59" s="55"/>
      <c r="F59" s="330"/>
      <c r="G59" s="356"/>
      <c r="N59" s="409"/>
    </row>
    <row r="60" spans="1:19" ht="17.100000000000001" customHeight="1">
      <c r="B60" s="55"/>
      <c r="F60" s="330"/>
      <c r="G60" s="356"/>
      <c r="N60" s="409"/>
    </row>
    <row r="61" spans="1:19" ht="14.25">
      <c r="B61" s="55"/>
      <c r="F61" s="330"/>
      <c r="G61" s="356"/>
      <c r="N61" s="409"/>
    </row>
    <row r="62" spans="1:19" ht="14.25">
      <c r="B62" s="55"/>
      <c r="F62" s="330"/>
      <c r="G62" s="356"/>
      <c r="N62" s="409"/>
    </row>
    <row r="63" spans="1:19" ht="14.25">
      <c r="F63" s="330"/>
      <c r="G63" s="356"/>
      <c r="N63" s="409"/>
    </row>
    <row r="64" spans="1:19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30"/>
      <c r="N72" s="409"/>
    </row>
    <row r="73" spans="6:14" ht="14.25">
      <c r="F73" s="330"/>
      <c r="G73" s="330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>
      <c r="G89" s="330"/>
    </row>
    <row r="90" spans="6:14">
      <c r="G90" s="33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S96"/>
  <sheetViews>
    <sheetView zoomScaleNormal="100" zoomScaleSheetLayoutView="100" workbookViewId="0">
      <selection activeCell="R39" sqref="R39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7" width="9.140625" style="9"/>
    <col min="18" max="18" width="10.140625" style="9" bestFit="1" customWidth="1"/>
    <col min="19" max="16384" width="9.140625" style="9"/>
  </cols>
  <sheetData>
    <row r="1" spans="1:19" ht="13.5" thickBot="1"/>
    <row r="2" spans="1:19" s="109" customFormat="1" ht="20.100000000000001" customHeight="1" thickTop="1" thickBot="1">
      <c r="B2" s="906" t="s">
        <v>753</v>
      </c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08"/>
      <c r="R2" s="403"/>
    </row>
    <row r="3" spans="1:19" s="1" customFormat="1" ht="8.1" customHeight="1" thickTop="1" thickBot="1">
      <c r="A3" s="304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9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9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9" s="304" customFormat="1" ht="27" customHeight="1">
      <c r="B5" s="914"/>
      <c r="C5" s="916"/>
      <c r="D5" s="916"/>
      <c r="E5" s="916"/>
      <c r="F5" s="920"/>
      <c r="G5" s="916"/>
      <c r="H5" s="920"/>
      <c r="I5" s="924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9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507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9" s="2" customFormat="1" ht="12.95" customHeight="1">
      <c r="A7" s="305"/>
      <c r="B7" s="6" t="s">
        <v>131</v>
      </c>
      <c r="C7" s="7" t="s">
        <v>124</v>
      </c>
      <c r="D7" s="7" t="s">
        <v>113</v>
      </c>
      <c r="E7" s="653" t="s">
        <v>797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9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1041690</v>
      </c>
      <c r="J8" s="537">
        <f t="shared" ref="J8" si="1">SUM(J9:J12)</f>
        <v>1020190</v>
      </c>
      <c r="K8" s="537">
        <f>SUM(K9:K11)</f>
        <v>1030109</v>
      </c>
      <c r="L8" s="564">
        <f>SUM(L9:L12)</f>
        <v>1017773</v>
      </c>
      <c r="M8" s="233">
        <f>SUM(M9:M12)</f>
        <v>0</v>
      </c>
      <c r="N8" s="741">
        <f>SUM(N9:N12)</f>
        <v>1017773</v>
      </c>
      <c r="O8" s="714">
        <f>IF(J8=0,"",N8/J8*100)</f>
        <v>99.763083347219634</v>
      </c>
      <c r="P8" s="719">
        <f>IF(K8=0,"",N8/K8*100)</f>
        <v>98.80245682738429</v>
      </c>
      <c r="R8" s="64"/>
      <c r="S8" s="64"/>
    </row>
    <row r="9" spans="1:19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864880</v>
      </c>
      <c r="J9" s="538">
        <v>852880</v>
      </c>
      <c r="K9" s="538">
        <v>845105</v>
      </c>
      <c r="L9" s="611">
        <v>850643</v>
      </c>
      <c r="M9" s="235">
        <v>0</v>
      </c>
      <c r="N9" s="742">
        <f>SUM(L9:M9)</f>
        <v>850643</v>
      </c>
      <c r="O9" s="715">
        <f>IF(J9=0,"",N9/J9*100)</f>
        <v>99.737712222118006</v>
      </c>
      <c r="P9" s="720">
        <f t="shared" ref="P9:P33" si="2">IF(K9=0,"",N9/K9*100)</f>
        <v>100.65530318717792</v>
      </c>
    </row>
    <row r="10" spans="1:19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176810</v>
      </c>
      <c r="J10" s="538">
        <v>167310</v>
      </c>
      <c r="K10" s="538">
        <v>185004</v>
      </c>
      <c r="L10" s="611">
        <v>167130</v>
      </c>
      <c r="M10" s="235">
        <v>0</v>
      </c>
      <c r="N10" s="742">
        <f t="shared" ref="N10:N11" si="3">SUM(L10:M10)</f>
        <v>167130</v>
      </c>
      <c r="O10" s="715">
        <f t="shared" ref="O10:P35" si="4">IF(J10=0,"",N10/J10*100)</f>
        <v>99.892415277030665</v>
      </c>
      <c r="P10" s="720">
        <f t="shared" si="2"/>
        <v>90.338587273788676</v>
      </c>
      <c r="R10" s="63"/>
    </row>
    <row r="11" spans="1:19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9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9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93330</v>
      </c>
      <c r="J13" s="537">
        <f t="shared" si="6"/>
        <v>91830</v>
      </c>
      <c r="K13" s="537">
        <f>K14</f>
        <v>92960</v>
      </c>
      <c r="L13" s="564">
        <f>L14</f>
        <v>91394</v>
      </c>
      <c r="M13" s="233">
        <f>M14</f>
        <v>0</v>
      </c>
      <c r="N13" s="741">
        <f>N14</f>
        <v>91394</v>
      </c>
      <c r="O13" s="714">
        <f t="shared" si="4"/>
        <v>99.525209626483729</v>
      </c>
      <c r="P13" s="719">
        <f t="shared" si="2"/>
        <v>98.315404475043039</v>
      </c>
    </row>
    <row r="14" spans="1:19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93330</v>
      </c>
      <c r="J14" s="538">
        <v>91830</v>
      </c>
      <c r="K14" s="538">
        <v>92960</v>
      </c>
      <c r="L14" s="611">
        <v>91394</v>
      </c>
      <c r="M14" s="235">
        <v>0</v>
      </c>
      <c r="N14" s="742">
        <f>SUM(L14:M14)</f>
        <v>91394</v>
      </c>
      <c r="O14" s="715">
        <f t="shared" si="4"/>
        <v>99.525209626483729</v>
      </c>
      <c r="P14" s="720">
        <f t="shared" si="2"/>
        <v>98.315404475043039</v>
      </c>
    </row>
    <row r="15" spans="1:19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9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161800</v>
      </c>
      <c r="J16" s="537">
        <f t="shared" ref="J16" si="8">SUM(J17:J26)</f>
        <v>155700</v>
      </c>
      <c r="K16" s="537">
        <f>SUM(K17:K26)</f>
        <v>171154</v>
      </c>
      <c r="L16" s="567">
        <f>SUM(L17:L26)</f>
        <v>153201</v>
      </c>
      <c r="M16" s="316">
        <f>SUM(M17:M26)</f>
        <v>0</v>
      </c>
      <c r="N16" s="732">
        <f>SUM(N17:N26)</f>
        <v>153201</v>
      </c>
      <c r="O16" s="714">
        <f t="shared" si="4"/>
        <v>98.394990366088635</v>
      </c>
      <c r="P16" s="719">
        <f t="shared" si="2"/>
        <v>89.510616170232666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1300</v>
      </c>
      <c r="J17" s="538">
        <v>1300</v>
      </c>
      <c r="K17" s="538">
        <v>5480</v>
      </c>
      <c r="L17" s="551">
        <v>761</v>
      </c>
      <c r="M17" s="386">
        <v>0</v>
      </c>
      <c r="N17" s="742">
        <f t="shared" ref="N17:N26" si="9">SUM(L17:M17)</f>
        <v>761</v>
      </c>
      <c r="O17" s="715">
        <f t="shared" si="4"/>
        <v>58.53846153846154</v>
      </c>
      <c r="P17" s="720">
        <f t="shared" si="2"/>
        <v>13.886861313868613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80000</v>
      </c>
      <c r="J18" s="538">
        <v>73900</v>
      </c>
      <c r="K18" s="538">
        <v>88574</v>
      </c>
      <c r="L18" s="551">
        <v>73727</v>
      </c>
      <c r="M18" s="386">
        <v>0</v>
      </c>
      <c r="N18" s="742">
        <f t="shared" si="9"/>
        <v>73727</v>
      </c>
      <c r="O18" s="715">
        <f t="shared" si="4"/>
        <v>99.765899864682012</v>
      </c>
      <c r="P18" s="720">
        <f t="shared" si="2"/>
        <v>83.237744710637429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8500</v>
      </c>
      <c r="J19" s="538">
        <v>8030</v>
      </c>
      <c r="K19" s="538">
        <v>8305</v>
      </c>
      <c r="L19" s="551">
        <v>6734</v>
      </c>
      <c r="M19" s="386">
        <v>0</v>
      </c>
      <c r="N19" s="742">
        <f t="shared" si="9"/>
        <v>6734</v>
      </c>
      <c r="O19" s="715">
        <f t="shared" si="4"/>
        <v>83.860523038605223</v>
      </c>
      <c r="P19" s="720">
        <f t="shared" si="2"/>
        <v>81.083684527393146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18000</v>
      </c>
      <c r="J20" s="538">
        <v>19350</v>
      </c>
      <c r="K20" s="538">
        <v>21987</v>
      </c>
      <c r="L20" s="551">
        <v>19318</v>
      </c>
      <c r="M20" s="386">
        <v>0</v>
      </c>
      <c r="N20" s="742">
        <f t="shared" si="9"/>
        <v>19318</v>
      </c>
      <c r="O20" s="715">
        <f t="shared" si="4"/>
        <v>99.834625322997411</v>
      </c>
      <c r="P20" s="720">
        <f t="shared" si="2"/>
        <v>87.861008777914222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2000</v>
      </c>
      <c r="J21" s="538">
        <v>2170</v>
      </c>
      <c r="K21" s="538">
        <v>1991</v>
      </c>
      <c r="L21" s="552">
        <v>2035</v>
      </c>
      <c r="M21" s="388">
        <v>0</v>
      </c>
      <c r="N21" s="742">
        <f t="shared" si="9"/>
        <v>2035</v>
      </c>
      <c r="O21" s="715">
        <f t="shared" si="4"/>
        <v>93.778801843317979</v>
      </c>
      <c r="P21" s="720">
        <f t="shared" si="2"/>
        <v>102.20994475138122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15000</v>
      </c>
      <c r="J23" s="538">
        <v>15000</v>
      </c>
      <c r="K23" s="538">
        <v>14977</v>
      </c>
      <c r="L23" s="551">
        <v>14961</v>
      </c>
      <c r="M23" s="386">
        <v>0</v>
      </c>
      <c r="N23" s="742">
        <f t="shared" si="9"/>
        <v>14961</v>
      </c>
      <c r="O23" s="715">
        <f t="shared" si="4"/>
        <v>99.74</v>
      </c>
      <c r="P23" s="720">
        <f t="shared" si="2"/>
        <v>99.893169526607466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1">
        <v>0</v>
      </c>
      <c r="M24" s="386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37000</v>
      </c>
      <c r="J25" s="538">
        <v>35950</v>
      </c>
      <c r="K25" s="538">
        <v>29840</v>
      </c>
      <c r="L25" s="552">
        <v>35665</v>
      </c>
      <c r="M25" s="388">
        <v>0</v>
      </c>
      <c r="N25" s="742">
        <f t="shared" si="9"/>
        <v>35665</v>
      </c>
      <c r="O25" s="715">
        <f t="shared" si="4"/>
        <v>99.207232267037554</v>
      </c>
      <c r="P25" s="720">
        <f t="shared" si="2"/>
        <v>119.52077747989276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9">
        <v>0</v>
      </c>
      <c r="M26" s="382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7"/>
      <c r="M27" s="314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SUM(I29:I31)</f>
        <v>5000</v>
      </c>
      <c r="J28" s="537">
        <f t="shared" ref="J28" si="12">SUM(J29:J31)</f>
        <v>5000</v>
      </c>
      <c r="K28" s="537">
        <f>SUM(K29:K30)</f>
        <v>26809</v>
      </c>
      <c r="L28" s="568">
        <f>SUM(L29:L31)</f>
        <v>4912</v>
      </c>
      <c r="M28" s="311">
        <f>SUM(M29:M31)</f>
        <v>0</v>
      </c>
      <c r="N28" s="732">
        <f>SUM(N29:N31)</f>
        <v>4912</v>
      </c>
      <c r="O28" s="714">
        <f t="shared" si="4"/>
        <v>98.240000000000009</v>
      </c>
      <c r="P28" s="719">
        <f t="shared" si="2"/>
        <v>18.32220522958708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0</v>
      </c>
      <c r="J29" s="538">
        <v>0</v>
      </c>
      <c r="K29" s="538">
        <v>4953</v>
      </c>
      <c r="L29" s="608">
        <v>0</v>
      </c>
      <c r="M29" s="319">
        <v>0</v>
      </c>
      <c r="N29" s="742">
        <f t="shared" ref="N29:N30" si="13">SUM(L29:M29)</f>
        <v>0</v>
      </c>
      <c r="O29" s="715" t="str">
        <f t="shared" si="4"/>
        <v/>
      </c>
      <c r="P29" s="720">
        <f t="shared" si="2"/>
        <v>0</v>
      </c>
      <c r="Q29" s="55"/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5000</v>
      </c>
      <c r="J30" s="538">
        <v>5000</v>
      </c>
      <c r="K30" s="538">
        <v>21856</v>
      </c>
      <c r="L30" s="608">
        <v>4912</v>
      </c>
      <c r="M30" s="319">
        <v>0</v>
      </c>
      <c r="N30" s="742">
        <f t="shared" si="13"/>
        <v>4912</v>
      </c>
      <c r="O30" s="715">
        <f t="shared" si="4"/>
        <v>98.240000000000009</v>
      </c>
      <c r="P30" s="720">
        <f t="shared" si="2"/>
        <v>22.474377745241579</v>
      </c>
    </row>
    <row r="31" spans="1:17" ht="12.95" customHeight="1">
      <c r="B31" s="10"/>
      <c r="C31" s="11"/>
      <c r="D31" s="11"/>
      <c r="E31" s="309"/>
      <c r="F31" s="328"/>
      <c r="G31" s="354"/>
      <c r="H31" s="20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891</v>
      </c>
      <c r="J32" s="539"/>
      <c r="K32" s="539" t="s">
        <v>898</v>
      </c>
      <c r="L32" s="612" t="s">
        <v>911</v>
      </c>
      <c r="M32" s="301"/>
      <c r="N32" s="744" t="s">
        <v>911</v>
      </c>
      <c r="O32" s="715"/>
      <c r="P32" s="720"/>
    </row>
    <row r="33" spans="1:19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1301820</v>
      </c>
      <c r="J33" s="311">
        <f>J8+J13+J16+J28</f>
        <v>1272720</v>
      </c>
      <c r="K33" s="561">
        <f t="shared" ref="K33" si="14">K8+K13+K16+K28</f>
        <v>1321032</v>
      </c>
      <c r="L33" s="568">
        <f>L8+L13+L16+L28</f>
        <v>1267280</v>
      </c>
      <c r="M33" s="311">
        <f>M8+M13+M16+M28</f>
        <v>0</v>
      </c>
      <c r="N33" s="732">
        <f>N8+N13+N16+N28</f>
        <v>1267280</v>
      </c>
      <c r="O33" s="714">
        <f t="shared" si="4"/>
        <v>99.572568986108493</v>
      </c>
      <c r="P33" s="719">
        <f t="shared" si="2"/>
        <v>95.931059959183429</v>
      </c>
    </row>
    <row r="34" spans="1:19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  <c r="S34" s="1" t="s">
        <v>151</v>
      </c>
    </row>
    <row r="35" spans="1:19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572"/>
      <c r="J35" s="302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9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9" ht="12.95" customHeight="1">
      <c r="F37" s="330"/>
      <c r="G37" s="356"/>
      <c r="N37" s="410"/>
    </row>
    <row r="38" spans="1:19" ht="12.95" customHeight="1">
      <c r="B38" s="55"/>
      <c r="F38" s="330"/>
      <c r="G38" s="356"/>
      <c r="N38" s="410"/>
    </row>
    <row r="39" spans="1:19" ht="12.95" customHeight="1">
      <c r="B39" s="55"/>
      <c r="F39" s="330"/>
      <c r="G39" s="356"/>
      <c r="N39" s="410"/>
    </row>
    <row r="40" spans="1:19" ht="12.95" customHeight="1">
      <c r="B40" s="55"/>
      <c r="F40" s="330"/>
      <c r="G40" s="356"/>
      <c r="N40" s="410"/>
    </row>
    <row r="41" spans="1:19" ht="12.95" customHeight="1">
      <c r="B41" s="55"/>
      <c r="F41" s="330"/>
      <c r="G41" s="356"/>
      <c r="N41" s="410"/>
    </row>
    <row r="42" spans="1:19" ht="12.95" customHeight="1">
      <c r="B42" s="55"/>
      <c r="F42" s="330"/>
      <c r="G42" s="356"/>
      <c r="N42" s="410"/>
    </row>
    <row r="43" spans="1:19" ht="12.95" customHeight="1">
      <c r="B43" s="55"/>
      <c r="F43" s="330"/>
      <c r="G43" s="356"/>
      <c r="N43" s="410"/>
    </row>
    <row r="44" spans="1:19" ht="12.95" customHeight="1">
      <c r="B44" s="55"/>
      <c r="F44" s="330"/>
      <c r="G44" s="356"/>
      <c r="N44" s="410"/>
    </row>
    <row r="45" spans="1:19" ht="12.95" customHeight="1">
      <c r="B45" s="55"/>
      <c r="F45" s="330"/>
      <c r="G45" s="356"/>
      <c r="N45" s="410"/>
    </row>
    <row r="46" spans="1:19" ht="12.95" customHeight="1">
      <c r="B46" s="55"/>
      <c r="F46" s="330"/>
      <c r="G46" s="356"/>
      <c r="N46" s="410"/>
    </row>
    <row r="47" spans="1:19" ht="12.95" customHeight="1">
      <c r="B47" s="55"/>
      <c r="F47" s="330"/>
      <c r="G47" s="356"/>
      <c r="N47" s="410"/>
    </row>
    <row r="48" spans="1:19" ht="12.95" customHeight="1">
      <c r="B48" s="55"/>
      <c r="F48" s="330"/>
      <c r="G48" s="356"/>
      <c r="N48" s="410"/>
    </row>
    <row r="49" spans="2:14" ht="12.95" customHeight="1">
      <c r="B49" s="55"/>
      <c r="F49" s="330"/>
      <c r="G49" s="356"/>
      <c r="N49" s="410"/>
    </row>
    <row r="50" spans="2:14" ht="12.95" customHeight="1">
      <c r="B50" s="55"/>
      <c r="F50" s="330"/>
      <c r="G50" s="356"/>
      <c r="N50" s="410"/>
    </row>
    <row r="51" spans="2:14" ht="12.95" customHeight="1">
      <c r="B51" s="55"/>
      <c r="F51" s="330"/>
      <c r="G51" s="356"/>
      <c r="N51" s="410"/>
    </row>
    <row r="52" spans="2:14" ht="12.95" customHeight="1">
      <c r="F52" s="330"/>
      <c r="G52" s="356"/>
      <c r="N52" s="410"/>
    </row>
    <row r="53" spans="2:14" ht="12.95" customHeight="1">
      <c r="F53" s="330"/>
      <c r="G53" s="356"/>
      <c r="N53" s="410"/>
    </row>
    <row r="54" spans="2:14" ht="12.95" customHeight="1">
      <c r="F54" s="330"/>
      <c r="G54" s="356"/>
      <c r="N54" s="410"/>
    </row>
    <row r="55" spans="2:14" ht="12.95" customHeight="1">
      <c r="F55" s="330"/>
      <c r="G55" s="356"/>
      <c r="N55" s="410"/>
    </row>
    <row r="56" spans="2:14" ht="12.95" customHeight="1">
      <c r="F56" s="330"/>
      <c r="G56" s="356"/>
      <c r="N56" s="410"/>
    </row>
    <row r="57" spans="2:14" ht="12.95" customHeight="1">
      <c r="F57" s="330"/>
      <c r="G57" s="356"/>
      <c r="N57" s="410"/>
    </row>
    <row r="58" spans="2:14" ht="12.95" customHeight="1">
      <c r="F58" s="330"/>
      <c r="G58" s="356"/>
      <c r="N58" s="410"/>
    </row>
    <row r="59" spans="2:14" ht="12.95" customHeight="1">
      <c r="F59" s="330"/>
      <c r="G59" s="356"/>
      <c r="N59" s="410"/>
    </row>
    <row r="60" spans="2:14" ht="17.100000000000001" customHeight="1">
      <c r="F60" s="330"/>
      <c r="G60" s="356"/>
      <c r="N60" s="410"/>
    </row>
    <row r="61" spans="2:14" ht="14.25">
      <c r="F61" s="330"/>
      <c r="G61" s="356"/>
      <c r="N61" s="410"/>
    </row>
    <row r="62" spans="2:14" ht="14.25">
      <c r="F62" s="330"/>
      <c r="G62" s="356"/>
      <c r="N62" s="410"/>
    </row>
    <row r="63" spans="2:14" ht="14.25">
      <c r="F63" s="330"/>
      <c r="G63" s="356"/>
      <c r="N63" s="410"/>
    </row>
    <row r="64" spans="2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4">
    <mergeCell ref="P4:P5"/>
    <mergeCell ref="B2:P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R96"/>
  <sheetViews>
    <sheetView zoomScaleNormal="100" zoomScaleSheetLayoutView="100" workbookViewId="0">
      <selection activeCell="R28" sqref="R28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752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89" t="s">
        <v>131</v>
      </c>
      <c r="C7" s="90" t="s">
        <v>124</v>
      </c>
      <c r="D7" s="90" t="s">
        <v>118</v>
      </c>
      <c r="E7" s="654" t="s">
        <v>797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1053340</v>
      </c>
      <c r="J8" s="537">
        <f t="shared" ref="J8" si="1">SUM(J9:J12)</f>
        <v>1031340</v>
      </c>
      <c r="K8" s="537">
        <f>SUM(K9:K11)</f>
        <v>1038120</v>
      </c>
      <c r="L8" s="564">
        <f>SUM(L9:L12)</f>
        <v>1030739</v>
      </c>
      <c r="M8" s="233">
        <f>SUM(M9:M12)</f>
        <v>0</v>
      </c>
      <c r="N8" s="741">
        <f>SUM(N9:N12)</f>
        <v>1030739</v>
      </c>
      <c r="O8" s="714">
        <f>IF(J8=0,"",N8/J8*100)</f>
        <v>99.941726297826122</v>
      </c>
      <c r="P8" s="719">
        <f>IF(K8=0,"",N8/K8*100)</f>
        <v>99.289003198088849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855600</v>
      </c>
      <c r="J9" s="538">
        <v>843600</v>
      </c>
      <c r="K9" s="538">
        <v>836326</v>
      </c>
      <c r="L9" s="611">
        <v>843376</v>
      </c>
      <c r="M9" s="235">
        <v>0</v>
      </c>
      <c r="N9" s="742">
        <f>SUM(L9:M9)</f>
        <v>843376</v>
      </c>
      <c r="O9" s="715">
        <f>IF(J9=0,"",N9/J9*100)</f>
        <v>99.973447131341857</v>
      </c>
      <c r="P9" s="720">
        <f t="shared" ref="P9:P33" si="2">IF(K9=0,"",N9/K9*100)</f>
        <v>100.84297271638094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197740</v>
      </c>
      <c r="J10" s="538">
        <v>187740</v>
      </c>
      <c r="K10" s="538">
        <v>201794</v>
      </c>
      <c r="L10" s="611">
        <v>187363</v>
      </c>
      <c r="M10" s="235">
        <v>0</v>
      </c>
      <c r="N10" s="742">
        <f t="shared" ref="N10:N11" si="3">SUM(L10:M10)</f>
        <v>187363</v>
      </c>
      <c r="O10" s="715">
        <f t="shared" ref="O10:P35" si="4">IF(J10=0,"",N10/J10*100)</f>
        <v>99.799190369660167</v>
      </c>
      <c r="P10" s="720">
        <f t="shared" si="2"/>
        <v>92.848647630752154</v>
      </c>
      <c r="R10" s="55"/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90220</v>
      </c>
      <c r="J13" s="537">
        <f t="shared" si="6"/>
        <v>89220</v>
      </c>
      <c r="K13" s="537">
        <f>K14</f>
        <v>89863</v>
      </c>
      <c r="L13" s="564">
        <f>L14</f>
        <v>89076</v>
      </c>
      <c r="M13" s="233">
        <f>M14</f>
        <v>0</v>
      </c>
      <c r="N13" s="741">
        <f>N14</f>
        <v>89076</v>
      </c>
      <c r="O13" s="714">
        <f t="shared" si="4"/>
        <v>99.838601210490921</v>
      </c>
      <c r="P13" s="719">
        <f t="shared" si="2"/>
        <v>99.12422242747293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90220</v>
      </c>
      <c r="J14" s="538">
        <v>89220</v>
      </c>
      <c r="K14" s="538">
        <v>89863</v>
      </c>
      <c r="L14" s="611">
        <v>89076</v>
      </c>
      <c r="M14" s="235">
        <v>0</v>
      </c>
      <c r="N14" s="742">
        <f>SUM(L14:M14)</f>
        <v>89076</v>
      </c>
      <c r="O14" s="715">
        <f t="shared" si="4"/>
        <v>99.838601210490921</v>
      </c>
      <c r="P14" s="720">
        <f t="shared" si="2"/>
        <v>99.12422242747293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160450</v>
      </c>
      <c r="J16" s="537">
        <f t="shared" ref="J16" si="8">SUM(J17:J26)</f>
        <v>166550</v>
      </c>
      <c r="K16" s="537">
        <f>SUM(K17:K26)</f>
        <v>212399</v>
      </c>
      <c r="L16" s="567">
        <f>SUM(L17:L26)</f>
        <v>166256</v>
      </c>
      <c r="M16" s="316">
        <f>SUM(M17:M26)</f>
        <v>0</v>
      </c>
      <c r="N16" s="732">
        <f>SUM(N17:N26)</f>
        <v>166256</v>
      </c>
      <c r="O16" s="714">
        <f t="shared" si="4"/>
        <v>99.823476433503458</v>
      </c>
      <c r="P16" s="719">
        <f t="shared" si="2"/>
        <v>78.275321446899468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1300</v>
      </c>
      <c r="J17" s="538">
        <v>800</v>
      </c>
      <c r="K17" s="538">
        <v>5683</v>
      </c>
      <c r="L17" s="552">
        <v>775</v>
      </c>
      <c r="M17" s="388">
        <v>0</v>
      </c>
      <c r="N17" s="742">
        <f t="shared" ref="N17:N26" si="9">SUM(L17:M17)</f>
        <v>775</v>
      </c>
      <c r="O17" s="715">
        <f t="shared" si="4"/>
        <v>96.875</v>
      </c>
      <c r="P17" s="720">
        <f t="shared" si="2"/>
        <v>13.63716346999824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80000</v>
      </c>
      <c r="J18" s="538">
        <v>89300</v>
      </c>
      <c r="K18" s="538">
        <v>123691</v>
      </c>
      <c r="L18" s="551">
        <v>89215</v>
      </c>
      <c r="M18" s="386">
        <v>0</v>
      </c>
      <c r="N18" s="742">
        <f t="shared" si="9"/>
        <v>89215</v>
      </c>
      <c r="O18" s="715">
        <f t="shared" si="4"/>
        <v>99.904815229563269</v>
      </c>
      <c r="P18" s="720">
        <f t="shared" si="2"/>
        <v>72.127317266413883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15000</v>
      </c>
      <c r="J19" s="538">
        <v>13500</v>
      </c>
      <c r="K19" s="538">
        <v>11979</v>
      </c>
      <c r="L19" s="552">
        <v>13492</v>
      </c>
      <c r="M19" s="388">
        <v>0</v>
      </c>
      <c r="N19" s="742">
        <f t="shared" si="9"/>
        <v>13492</v>
      </c>
      <c r="O19" s="715">
        <f t="shared" si="4"/>
        <v>99.940740740740736</v>
      </c>
      <c r="P19" s="720">
        <f t="shared" si="2"/>
        <v>112.63043659737875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21000</v>
      </c>
      <c r="J20" s="538">
        <v>21500</v>
      </c>
      <c r="K20" s="538">
        <v>28750</v>
      </c>
      <c r="L20" s="552">
        <v>21422</v>
      </c>
      <c r="M20" s="388">
        <v>0</v>
      </c>
      <c r="N20" s="742">
        <f t="shared" si="9"/>
        <v>21422</v>
      </c>
      <c r="O20" s="715">
        <f t="shared" si="4"/>
        <v>99.637209302325573</v>
      </c>
      <c r="P20" s="720">
        <f t="shared" si="2"/>
        <v>74.511304347826098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150</v>
      </c>
      <c r="J21" s="538">
        <v>150</v>
      </c>
      <c r="K21" s="538">
        <v>204</v>
      </c>
      <c r="L21" s="552">
        <v>125</v>
      </c>
      <c r="M21" s="388">
        <v>0</v>
      </c>
      <c r="N21" s="742">
        <f t="shared" si="9"/>
        <v>125</v>
      </c>
      <c r="O21" s="715">
        <f t="shared" si="4"/>
        <v>83.333333333333343</v>
      </c>
      <c r="P21" s="720">
        <f t="shared" si="2"/>
        <v>61.274509803921575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29000</v>
      </c>
      <c r="J23" s="538">
        <v>27300</v>
      </c>
      <c r="K23" s="538">
        <v>28855</v>
      </c>
      <c r="L23" s="552">
        <v>27295</v>
      </c>
      <c r="M23" s="388">
        <v>0</v>
      </c>
      <c r="N23" s="742">
        <f t="shared" si="9"/>
        <v>27295</v>
      </c>
      <c r="O23" s="715">
        <f t="shared" si="4"/>
        <v>99.981684981684978</v>
      </c>
      <c r="P23" s="720">
        <f t="shared" si="2"/>
        <v>94.593657944896904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14000</v>
      </c>
      <c r="J25" s="538">
        <v>14000</v>
      </c>
      <c r="K25" s="538">
        <v>13237</v>
      </c>
      <c r="L25" s="552">
        <v>13932</v>
      </c>
      <c r="M25" s="388">
        <v>0</v>
      </c>
      <c r="N25" s="742">
        <f t="shared" si="9"/>
        <v>13932</v>
      </c>
      <c r="O25" s="715">
        <f t="shared" si="4"/>
        <v>99.514285714285705</v>
      </c>
      <c r="P25" s="720">
        <f t="shared" si="2"/>
        <v>105.2504343884566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3">
        <v>0</v>
      </c>
      <c r="M26" s="384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21750</v>
      </c>
      <c r="J28" s="537">
        <f t="shared" ref="J28" si="12">SUM(J29:J30)</f>
        <v>21750</v>
      </c>
      <c r="K28" s="537">
        <f>SUM(K29:K30)</f>
        <v>9938</v>
      </c>
      <c r="L28" s="574">
        <f>SUM(L29:L30)</f>
        <v>8128</v>
      </c>
      <c r="M28" s="318">
        <f>SUM(M29:M30)</f>
        <v>12743</v>
      </c>
      <c r="N28" s="732">
        <f>SUM(N29:N30)</f>
        <v>20871</v>
      </c>
      <c r="O28" s="714">
        <f t="shared" si="4"/>
        <v>95.958620689655177</v>
      </c>
      <c r="P28" s="719">
        <f t="shared" si="2"/>
        <v>210.01207486415777</v>
      </c>
    </row>
    <row r="29" spans="1:17" ht="12.95" customHeight="1">
      <c r="B29" s="10"/>
      <c r="C29" s="11"/>
      <c r="D29" s="11"/>
      <c r="E29" s="309"/>
      <c r="F29" s="331">
        <v>821200</v>
      </c>
      <c r="G29" s="357"/>
      <c r="H29" s="14" t="s">
        <v>90</v>
      </c>
      <c r="I29" s="538">
        <v>0</v>
      </c>
      <c r="J29" s="538">
        <v>0</v>
      </c>
      <c r="K29" s="538">
        <v>4938</v>
      </c>
      <c r="L29" s="608">
        <v>0</v>
      </c>
      <c r="M29" s="319">
        <v>0</v>
      </c>
      <c r="N29" s="742">
        <f t="shared" ref="N29:N30" si="13">SUM(L29:M29)</f>
        <v>0</v>
      </c>
      <c r="O29" s="715" t="str">
        <f t="shared" si="4"/>
        <v/>
      </c>
      <c r="P29" s="720">
        <f t="shared" si="2"/>
        <v>0</v>
      </c>
      <c r="Q29" s="55"/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21750</v>
      </c>
      <c r="J30" s="538">
        <v>21750</v>
      </c>
      <c r="K30" s="538">
        <v>5000</v>
      </c>
      <c r="L30" s="608">
        <f>20871-12743</f>
        <v>8128</v>
      </c>
      <c r="M30" s="319">
        <f>7309+5434</f>
        <v>12743</v>
      </c>
      <c r="N30" s="742">
        <f t="shared" si="13"/>
        <v>20871</v>
      </c>
      <c r="O30" s="715">
        <f t="shared" si="4"/>
        <v>95.958620689655177</v>
      </c>
      <c r="P30" s="720">
        <f t="shared" si="2"/>
        <v>417.42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8"/>
      <c r="M31" s="319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892</v>
      </c>
      <c r="J32" s="539"/>
      <c r="K32" s="539" t="s">
        <v>899</v>
      </c>
      <c r="L32" s="570" t="s">
        <v>912</v>
      </c>
      <c r="M32" s="301"/>
      <c r="N32" s="744" t="s">
        <v>912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1325760</v>
      </c>
      <c r="J33" s="311">
        <f>J8+J13+J16+J28</f>
        <v>1308860</v>
      </c>
      <c r="K33" s="561">
        <f t="shared" ref="K33" si="14">K8+K13+K16+K28</f>
        <v>1350320</v>
      </c>
      <c r="L33" s="568">
        <f>L8+L13+L16+L28</f>
        <v>1294199</v>
      </c>
      <c r="M33" s="311">
        <f>M8+M13+M16+M28</f>
        <v>12743</v>
      </c>
      <c r="N33" s="732">
        <f>N8+N13+N16+N28</f>
        <v>1306942</v>
      </c>
      <c r="O33" s="714">
        <f t="shared" si="4"/>
        <v>99.853460263129747</v>
      </c>
      <c r="P33" s="719">
        <f t="shared" si="2"/>
        <v>96.787576278215539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/>
      <c r="J34" s="15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B42" s="55"/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R95"/>
  <sheetViews>
    <sheetView zoomScaleNormal="100" zoomScaleSheetLayoutView="100" workbookViewId="0">
      <selection activeCell="P37" sqref="P37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7" width="9.140625" style="9"/>
    <col min="18" max="18" width="9.5703125" style="9" bestFit="1" customWidth="1"/>
    <col min="19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751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89" t="s">
        <v>131</v>
      </c>
      <c r="C7" s="90" t="s">
        <v>124</v>
      </c>
      <c r="D7" s="90" t="s">
        <v>119</v>
      </c>
      <c r="E7" s="654" t="s">
        <v>797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852030</v>
      </c>
      <c r="J8" s="537">
        <f t="shared" ref="J8" si="1">SUM(J9:J12)</f>
        <v>843030</v>
      </c>
      <c r="K8" s="537">
        <f>SUM(K9:K11)</f>
        <v>835673</v>
      </c>
      <c r="L8" s="564">
        <f>SUM(L9:L12)</f>
        <v>842822</v>
      </c>
      <c r="M8" s="233">
        <f>SUM(M9:M12)</f>
        <v>0</v>
      </c>
      <c r="N8" s="741">
        <f>SUM(N9:N12)</f>
        <v>842822</v>
      </c>
      <c r="O8" s="714">
        <f>IF(J8=0,"",N8/J8*100)</f>
        <v>99.975327093934979</v>
      </c>
      <c r="P8" s="719">
        <f>IF(K8=0,"",N8/K8*100)</f>
        <v>100.85547815951934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705900</v>
      </c>
      <c r="J9" s="538">
        <v>699400</v>
      </c>
      <c r="K9" s="538">
        <v>689970</v>
      </c>
      <c r="L9" s="611">
        <v>699286</v>
      </c>
      <c r="M9" s="235">
        <v>0</v>
      </c>
      <c r="N9" s="742">
        <f>SUM(L9:M9)</f>
        <v>699286</v>
      </c>
      <c r="O9" s="715">
        <f>IF(J9=0,"",N9/J9*100)</f>
        <v>99.983700314555335</v>
      </c>
      <c r="P9" s="720">
        <f t="shared" ref="P9:P34" si="2">IF(K9=0,"",N9/K9*100)</f>
        <v>101.35020363204197</v>
      </c>
      <c r="Q9" s="55"/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146130</v>
      </c>
      <c r="J10" s="538">
        <v>143630</v>
      </c>
      <c r="K10" s="538">
        <v>145703</v>
      </c>
      <c r="L10" s="611">
        <v>143536</v>
      </c>
      <c r="M10" s="235">
        <v>0</v>
      </c>
      <c r="N10" s="742">
        <f t="shared" ref="N10:N11" si="3">SUM(L10:M10)</f>
        <v>143536</v>
      </c>
      <c r="O10" s="715">
        <f t="shared" ref="O10:O34" si="4">IF(J10=0,"",N10/J10*100)</f>
        <v>99.934554062521755</v>
      </c>
      <c r="P10" s="720">
        <f t="shared" si="2"/>
        <v>98.512727946576248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/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76500</v>
      </c>
      <c r="J13" s="537">
        <f t="shared" si="6"/>
        <v>76500</v>
      </c>
      <c r="K13" s="537">
        <f>K14</f>
        <v>74198</v>
      </c>
      <c r="L13" s="564">
        <f>L14</f>
        <v>75772</v>
      </c>
      <c r="M13" s="233">
        <f>M14</f>
        <v>0</v>
      </c>
      <c r="N13" s="741">
        <f>N14</f>
        <v>75772</v>
      </c>
      <c r="O13" s="714">
        <f t="shared" si="4"/>
        <v>99.048366013071899</v>
      </c>
      <c r="P13" s="719">
        <f t="shared" si="2"/>
        <v>102.12135097981077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76500</v>
      </c>
      <c r="J14" s="538">
        <v>76500</v>
      </c>
      <c r="K14" s="538">
        <v>74198</v>
      </c>
      <c r="L14" s="611">
        <v>75772</v>
      </c>
      <c r="M14" s="235">
        <v>0</v>
      </c>
      <c r="N14" s="742">
        <f>SUM(L14:M14)</f>
        <v>75772</v>
      </c>
      <c r="O14" s="715">
        <f t="shared" si="4"/>
        <v>99.048366013071899</v>
      </c>
      <c r="P14" s="720">
        <f t="shared" si="2"/>
        <v>102.12135097981077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:J16" si="7">SUM(I17:I26)</f>
        <v>119100</v>
      </c>
      <c r="J16" s="537">
        <f t="shared" si="7"/>
        <v>119100</v>
      </c>
      <c r="K16" s="537">
        <f t="shared" ref="K16:N16" si="8">SUM(K17:K26)</f>
        <v>120915</v>
      </c>
      <c r="L16" s="567">
        <f t="shared" si="8"/>
        <v>111217</v>
      </c>
      <c r="M16" s="316">
        <f t="shared" si="8"/>
        <v>0</v>
      </c>
      <c r="N16" s="732">
        <f t="shared" si="8"/>
        <v>111217</v>
      </c>
      <c r="O16" s="714">
        <f t="shared" si="4"/>
        <v>93.381192275398831</v>
      </c>
      <c r="P16" s="719">
        <f t="shared" si="2"/>
        <v>91.979489724186408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1000</v>
      </c>
      <c r="K17" s="538">
        <v>3930</v>
      </c>
      <c r="L17" s="552">
        <v>773</v>
      </c>
      <c r="M17" s="388">
        <v>0</v>
      </c>
      <c r="N17" s="742">
        <f t="shared" ref="N17:N26" si="9">SUM(L17:M17)</f>
        <v>773</v>
      </c>
      <c r="O17" s="715">
        <f t="shared" si="4"/>
        <v>77.3</v>
      </c>
      <c r="P17" s="720">
        <f t="shared" si="2"/>
        <v>19.669211195928753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50000</v>
      </c>
      <c r="J18" s="538">
        <v>52600</v>
      </c>
      <c r="K18" s="538">
        <v>54371</v>
      </c>
      <c r="L18" s="551">
        <v>52111</v>
      </c>
      <c r="M18" s="386">
        <v>0</v>
      </c>
      <c r="N18" s="742">
        <f t="shared" si="9"/>
        <v>52111</v>
      </c>
      <c r="O18" s="715">
        <f t="shared" si="4"/>
        <v>99.070342205323186</v>
      </c>
      <c r="P18" s="720">
        <f t="shared" si="2"/>
        <v>95.843372386014607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6200</v>
      </c>
      <c r="J19" s="538">
        <v>6200</v>
      </c>
      <c r="K19" s="538">
        <v>6158</v>
      </c>
      <c r="L19" s="551">
        <v>6001</v>
      </c>
      <c r="M19" s="386">
        <v>0</v>
      </c>
      <c r="N19" s="742">
        <f t="shared" si="9"/>
        <v>6001</v>
      </c>
      <c r="O19" s="715">
        <f t="shared" si="4"/>
        <v>96.790322580645167</v>
      </c>
      <c r="P19" s="720">
        <f t="shared" si="2"/>
        <v>97.450470932120808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15000</v>
      </c>
      <c r="J20" s="538">
        <v>15000</v>
      </c>
      <c r="K20" s="538">
        <v>16082</v>
      </c>
      <c r="L20" s="551">
        <v>12491</v>
      </c>
      <c r="M20" s="386">
        <v>0</v>
      </c>
      <c r="N20" s="742">
        <f t="shared" si="9"/>
        <v>12491</v>
      </c>
      <c r="O20" s="715">
        <f t="shared" si="4"/>
        <v>83.273333333333326</v>
      </c>
      <c r="P20" s="720">
        <f t="shared" si="2"/>
        <v>77.670687725407277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1400</v>
      </c>
      <c r="J21" s="538">
        <v>1400</v>
      </c>
      <c r="K21" s="538">
        <v>2992</v>
      </c>
      <c r="L21" s="552">
        <v>1126</v>
      </c>
      <c r="M21" s="388">
        <v>0</v>
      </c>
      <c r="N21" s="742">
        <f t="shared" si="9"/>
        <v>1126</v>
      </c>
      <c r="O21" s="715">
        <f t="shared" si="4"/>
        <v>80.428571428571431</v>
      </c>
      <c r="P21" s="720">
        <f t="shared" si="2"/>
        <v>37.633689839572192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12000</v>
      </c>
      <c r="J23" s="538">
        <v>9400</v>
      </c>
      <c r="K23" s="538">
        <v>13880</v>
      </c>
      <c r="L23" s="552">
        <v>8430</v>
      </c>
      <c r="M23" s="388">
        <v>0</v>
      </c>
      <c r="N23" s="742">
        <f t="shared" si="9"/>
        <v>8430</v>
      </c>
      <c r="O23" s="715">
        <f t="shared" si="4"/>
        <v>89.680851063829792</v>
      </c>
      <c r="P23" s="720">
        <f t="shared" si="2"/>
        <v>60.734870317002887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33500</v>
      </c>
      <c r="J25" s="538">
        <v>33500</v>
      </c>
      <c r="K25" s="538">
        <v>23502</v>
      </c>
      <c r="L25" s="554">
        <v>30285</v>
      </c>
      <c r="M25" s="383">
        <v>0</v>
      </c>
      <c r="N25" s="742">
        <f t="shared" si="9"/>
        <v>30285</v>
      </c>
      <c r="O25" s="715">
        <f t="shared" si="4"/>
        <v>90.402985074626869</v>
      </c>
      <c r="P25" s="720">
        <f t="shared" si="2"/>
        <v>128.86137350012766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3">
        <v>0</v>
      </c>
      <c r="M26" s="384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4960</v>
      </c>
      <c r="J28" s="537">
        <f t="shared" ref="J28" si="12">SUM(J29:J30)</f>
        <v>4960</v>
      </c>
      <c r="K28" s="537">
        <f>SUM(K29:K30)</f>
        <v>36837</v>
      </c>
      <c r="L28" s="574">
        <f>SUM(L29:L30)</f>
        <v>4953</v>
      </c>
      <c r="M28" s="318">
        <f>SUM(M29:M30)</f>
        <v>0</v>
      </c>
      <c r="N28" s="732">
        <f>SUM(N29:N30)</f>
        <v>4953</v>
      </c>
      <c r="O28" s="714">
        <f t="shared" si="4"/>
        <v>99.858870967741936</v>
      </c>
      <c r="P28" s="719">
        <f t="shared" si="2"/>
        <v>13.44572033553221</v>
      </c>
    </row>
    <row r="29" spans="1:17" ht="12.95" customHeight="1">
      <c r="B29" s="10"/>
      <c r="C29" s="11"/>
      <c r="D29" s="11"/>
      <c r="E29" s="309"/>
      <c r="F29" s="331">
        <v>821200</v>
      </c>
      <c r="G29" s="357"/>
      <c r="H29" s="14" t="s">
        <v>90</v>
      </c>
      <c r="I29" s="538">
        <f t="shared" ref="I29:J29" si="13">SUM(G29:H29)</f>
        <v>0</v>
      </c>
      <c r="J29" s="538">
        <f t="shared" si="13"/>
        <v>0</v>
      </c>
      <c r="K29" s="538">
        <v>1521</v>
      </c>
      <c r="L29" s="608">
        <v>0</v>
      </c>
      <c r="M29" s="319">
        <v>0</v>
      </c>
      <c r="N29" s="742">
        <f t="shared" ref="N29:N30" si="14">SUM(L29:M29)</f>
        <v>0</v>
      </c>
      <c r="O29" s="715" t="str">
        <f t="shared" si="4"/>
        <v/>
      </c>
      <c r="P29" s="720">
        <f t="shared" si="2"/>
        <v>0</v>
      </c>
      <c r="Q29" s="55"/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4960</v>
      </c>
      <c r="J30" s="538">
        <v>4960</v>
      </c>
      <c r="K30" s="538">
        <v>35316</v>
      </c>
      <c r="L30" s="608">
        <v>4953</v>
      </c>
      <c r="M30" s="319">
        <v>0</v>
      </c>
      <c r="N30" s="742">
        <f t="shared" si="14"/>
        <v>4953</v>
      </c>
      <c r="O30" s="715">
        <f t="shared" si="4"/>
        <v>99.858870967741936</v>
      </c>
      <c r="P30" s="720">
        <f t="shared" si="2"/>
        <v>14.024804621134896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893</v>
      </c>
      <c r="J32" s="539"/>
      <c r="K32" s="539" t="s">
        <v>900</v>
      </c>
      <c r="L32" s="570" t="s">
        <v>893</v>
      </c>
      <c r="M32" s="301"/>
      <c r="N32" s="744" t="s">
        <v>893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 t="shared" ref="I33:N33" si="15">I8+I13+I16+I28</f>
        <v>1052590</v>
      </c>
      <c r="J33" s="311">
        <f t="shared" si="15"/>
        <v>1043590</v>
      </c>
      <c r="K33" s="561">
        <f t="shared" si="15"/>
        <v>1067623</v>
      </c>
      <c r="L33" s="568">
        <f t="shared" si="15"/>
        <v>1034764</v>
      </c>
      <c r="M33" s="311">
        <f t="shared" si="15"/>
        <v>0</v>
      </c>
      <c r="N33" s="732">
        <f t="shared" si="15"/>
        <v>1034764</v>
      </c>
      <c r="O33" s="714">
        <f>IF(J33=0,"",N33/J33*100)</f>
        <v>99.154265564062513</v>
      </c>
      <c r="P33" s="719">
        <f t="shared" si="2"/>
        <v>96.922228164810988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I33+'22'!I33+'21'!I33</f>
        <v>3680170</v>
      </c>
      <c r="J34" s="311">
        <f>J33+'22'!J33+'21'!J33</f>
        <v>3625170</v>
      </c>
      <c r="K34" s="561">
        <f>K33+'22'!K33+'21'!K33</f>
        <v>3738975</v>
      </c>
      <c r="L34" s="568">
        <f>L33+'22'!L33+'21'!L33</f>
        <v>3596243</v>
      </c>
      <c r="M34" s="311">
        <f>M33+'22'!M33+'21'!M33</f>
        <v>12743</v>
      </c>
      <c r="N34" s="732">
        <f>N33+'22'!N33+'21'!N33</f>
        <v>3608986</v>
      </c>
      <c r="O34" s="714">
        <f t="shared" si="4"/>
        <v>99.553565763812458</v>
      </c>
      <c r="P34" s="719">
        <f t="shared" si="2"/>
        <v>96.523405478774265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7"/>
      <c r="P35" s="722"/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B42" s="55"/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7.100000000000001" customHeight="1">
      <c r="F59" s="330"/>
      <c r="G59" s="356"/>
      <c r="N59" s="409"/>
    </row>
    <row r="60" spans="6:14" ht="14.25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30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>
      <c r="G90" s="33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E302"/>
  <sheetViews>
    <sheetView topLeftCell="A8" zoomScaleNormal="100" workbookViewId="0">
      <selection activeCell="M36" sqref="M36"/>
    </sheetView>
  </sheetViews>
  <sheetFormatPr defaultRowHeight="15" customHeight="1"/>
  <cols>
    <col min="2" max="2" width="58.7109375" customWidth="1"/>
    <col min="3" max="3" width="11.42578125" customWidth="1"/>
    <col min="4" max="5" width="15.7109375" customWidth="1"/>
    <col min="6" max="6" width="15.7109375" style="671" customWidth="1"/>
    <col min="7" max="7" width="19.85546875" customWidth="1"/>
    <col min="8" max="8" width="8.7109375" customWidth="1"/>
    <col min="9" max="9" width="8.7109375" style="671" customWidth="1"/>
    <col min="10" max="10" width="6.42578125" customWidth="1"/>
    <col min="12" max="13" width="15.7109375" customWidth="1"/>
    <col min="14" max="14" width="8.7109375" customWidth="1"/>
  </cols>
  <sheetData>
    <row r="1" spans="2:31" ht="15" customHeight="1">
      <c r="B1" s="871"/>
      <c r="C1" s="872"/>
      <c r="D1" s="848"/>
      <c r="E1" s="848"/>
      <c r="F1" s="848"/>
      <c r="G1" s="848"/>
      <c r="H1" s="848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5" customHeight="1">
      <c r="B2" s="848"/>
      <c r="C2" s="848"/>
      <c r="D2" s="848"/>
      <c r="E2" s="848"/>
      <c r="F2" s="848"/>
      <c r="G2" s="848"/>
      <c r="H2" s="84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ht="12" customHeight="1">
      <c r="B3" s="848"/>
      <c r="C3" s="848"/>
      <c r="D3" s="848"/>
      <c r="E3" s="848"/>
      <c r="F3" s="848"/>
      <c r="G3" s="848"/>
      <c r="H3" s="848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ht="9" hidden="1" customHeight="1">
      <c r="B4" s="848"/>
      <c r="C4" s="848"/>
      <c r="D4" s="848"/>
      <c r="E4" s="848"/>
      <c r="F4" s="848"/>
      <c r="G4" s="848"/>
      <c r="H4" s="848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2:31" ht="18.75" customHeight="1">
      <c r="B5" s="876" t="s">
        <v>816</v>
      </c>
      <c r="C5" s="876"/>
      <c r="D5" s="876"/>
      <c r="E5" s="876"/>
      <c r="F5" s="876"/>
      <c r="G5" s="876"/>
      <c r="H5" s="876"/>
      <c r="I5" s="877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2:31" ht="15" customHeight="1">
      <c r="B6" s="878" t="s">
        <v>882</v>
      </c>
      <c r="C6" s="878"/>
      <c r="D6" s="878"/>
      <c r="E6" s="878"/>
      <c r="F6" s="878"/>
      <c r="G6" s="878"/>
      <c r="H6" s="878"/>
      <c r="I6" s="87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2:31" ht="15" customHeight="1">
      <c r="B7" s="146"/>
      <c r="C7" s="146"/>
      <c r="D7" s="45"/>
      <c r="E7" s="45"/>
      <c r="F7" s="45"/>
      <c r="G7" s="45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2:31" ht="6.75" customHeight="1">
      <c r="B8" s="37"/>
      <c r="C8" s="37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2:31" ht="15" customHeight="1">
      <c r="B9" s="37"/>
      <c r="C9" s="37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2:31" ht="17.25" customHeight="1">
      <c r="B10" s="873"/>
      <c r="C10" s="874"/>
      <c r="D10" s="874"/>
      <c r="E10" s="875"/>
      <c r="F10" s="875"/>
      <c r="G10" s="875"/>
      <c r="H10" s="875"/>
      <c r="I10" s="673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2:31" ht="6" customHeight="1">
      <c r="B11" s="47"/>
      <c r="C11" s="47"/>
      <c r="D11" s="47"/>
      <c r="E11" s="47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s="451" customFormat="1" ht="54" customHeight="1">
      <c r="B12" s="452" t="s">
        <v>208</v>
      </c>
      <c r="C12" s="453" t="s">
        <v>586</v>
      </c>
      <c r="D12" s="453" t="s">
        <v>857</v>
      </c>
      <c r="E12" s="453" t="s">
        <v>855</v>
      </c>
      <c r="F12" s="494" t="s">
        <v>883</v>
      </c>
      <c r="G12" s="832" t="s">
        <v>884</v>
      </c>
      <c r="H12" s="453" t="s">
        <v>885</v>
      </c>
      <c r="I12" s="453" t="s">
        <v>886</v>
      </c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</row>
    <row r="13" spans="2:31" s="502" customFormat="1" ht="11.25" customHeight="1">
      <c r="B13" s="503">
        <v>1</v>
      </c>
      <c r="C13" s="503"/>
      <c r="D13" s="504">
        <v>2</v>
      </c>
      <c r="E13" s="504">
        <v>3</v>
      </c>
      <c r="F13" s="504">
        <v>4</v>
      </c>
      <c r="G13" s="504">
        <v>5</v>
      </c>
      <c r="H13" s="503">
        <v>6</v>
      </c>
      <c r="I13" s="503">
        <v>7</v>
      </c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</row>
    <row r="14" spans="2:31" s="451" customFormat="1" ht="14.1" customHeight="1">
      <c r="B14" s="455" t="s">
        <v>599</v>
      </c>
      <c r="C14" s="455"/>
      <c r="D14" s="456">
        <f>D15+D16+D17+D18+D19</f>
        <v>43704550</v>
      </c>
      <c r="E14" s="456">
        <f>E15+E16+E17+E18+E19</f>
        <v>43704550</v>
      </c>
      <c r="F14" s="495">
        <f>F15+F16+F17+F18+F19</f>
        <v>42048250</v>
      </c>
      <c r="G14" s="495">
        <f>G15+G16+G17+G18+G19</f>
        <v>43869523</v>
      </c>
      <c r="H14" s="457">
        <f>IF(E14=0,,G14/E14*100)</f>
        <v>100.37747328367412</v>
      </c>
      <c r="I14" s="457">
        <f>IF(F14=0,,G14/F14*100)</f>
        <v>104.33138834553162</v>
      </c>
      <c r="J14" s="170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</row>
    <row r="15" spans="2:31" s="451" customFormat="1" ht="12.95" customHeight="1">
      <c r="B15" s="458" t="s">
        <v>587</v>
      </c>
      <c r="C15" s="459">
        <v>710</v>
      </c>
      <c r="D15" s="460">
        <f>Prihodi!D5</f>
        <v>32350710</v>
      </c>
      <c r="E15" s="460">
        <f>Prihodi!E5</f>
        <v>32350710</v>
      </c>
      <c r="F15" s="448">
        <f>Prihodi!F5</f>
        <v>38101415</v>
      </c>
      <c r="G15" s="448">
        <f>Prihodi!G5</f>
        <v>33427465</v>
      </c>
      <c r="H15" s="461">
        <f t="shared" ref="H15:H42" si="0">IF(E15=0,,G15/E15*100)</f>
        <v>103.32838135546329</v>
      </c>
      <c r="I15" s="461">
        <f t="shared" ref="I15:I42" si="1">IF(F15=0,,G15/F15*100)</f>
        <v>87.732870288413181</v>
      </c>
      <c r="J15" s="170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</row>
    <row r="16" spans="2:31" s="451" customFormat="1" ht="12.95" customHeight="1">
      <c r="B16" s="458" t="s">
        <v>588</v>
      </c>
      <c r="C16" s="459">
        <v>720</v>
      </c>
      <c r="D16" s="460">
        <f>Prihodi!D62</f>
        <v>2731240</v>
      </c>
      <c r="E16" s="460">
        <f>Prihodi!E62</f>
        <v>2731240</v>
      </c>
      <c r="F16" s="448">
        <f>Prihodi!F62</f>
        <v>2824894</v>
      </c>
      <c r="G16" s="448">
        <f>Prihodi!G62</f>
        <v>2596325</v>
      </c>
      <c r="H16" s="461">
        <f t="shared" si="0"/>
        <v>95.060302280282954</v>
      </c>
      <c r="I16" s="461">
        <f t="shared" si="1"/>
        <v>91.90875834633087</v>
      </c>
      <c r="J16" s="170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</row>
    <row r="17" spans="2:31" s="451" customFormat="1" ht="12.95" customHeight="1">
      <c r="B17" s="458" t="s">
        <v>589</v>
      </c>
      <c r="C17" s="459">
        <v>730</v>
      </c>
      <c r="D17" s="460">
        <f>Prihodi!D167</f>
        <v>8254570</v>
      </c>
      <c r="E17" s="460">
        <f>Prihodi!E167</f>
        <v>8254570</v>
      </c>
      <c r="F17" s="448">
        <f>Prihodi!F167</f>
        <v>968494</v>
      </c>
      <c r="G17" s="448">
        <f>Prihodi!G167</f>
        <v>7477698</v>
      </c>
      <c r="H17" s="461">
        <f t="shared" si="0"/>
        <v>90.588583051570225</v>
      </c>
      <c r="I17" s="461">
        <f t="shared" si="1"/>
        <v>772.0954388979178</v>
      </c>
      <c r="J17" s="170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</row>
    <row r="18" spans="2:31" s="451" customFormat="1" ht="12.95" customHeight="1">
      <c r="B18" s="458" t="s">
        <v>590</v>
      </c>
      <c r="C18" s="459">
        <v>740</v>
      </c>
      <c r="D18" s="460">
        <f>Prihodi!D196</f>
        <v>367700</v>
      </c>
      <c r="E18" s="460">
        <f>Prihodi!E196</f>
        <v>367700</v>
      </c>
      <c r="F18" s="448">
        <f>Prihodi!F196</f>
        <v>152132</v>
      </c>
      <c r="G18" s="448">
        <f>Prihodi!G196</f>
        <v>367672</v>
      </c>
      <c r="H18" s="461">
        <f t="shared" si="0"/>
        <v>99.992385096546101</v>
      </c>
      <c r="I18" s="461">
        <f t="shared" si="1"/>
        <v>241.67959403675755</v>
      </c>
      <c r="J18" s="170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</row>
    <row r="19" spans="2:31" s="451" customFormat="1" ht="12.95" customHeight="1">
      <c r="B19" s="458" t="s">
        <v>591</v>
      </c>
      <c r="C19" s="459">
        <v>770</v>
      </c>
      <c r="D19" s="460">
        <f>Prihodi!D231</f>
        <v>330</v>
      </c>
      <c r="E19" s="460">
        <f>Prihodi!E231</f>
        <v>330</v>
      </c>
      <c r="F19" s="448">
        <f>Prihodi!F231</f>
        <v>1315</v>
      </c>
      <c r="G19" s="448">
        <f>Prihodi!G231</f>
        <v>363</v>
      </c>
      <c r="H19" s="461">
        <f t="shared" si="0"/>
        <v>110.00000000000001</v>
      </c>
      <c r="I19" s="461">
        <f t="shared" si="1"/>
        <v>27.604562737642585</v>
      </c>
      <c r="J19" s="170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</row>
    <row r="20" spans="2:31" s="451" customFormat="1" ht="14.1" customHeight="1">
      <c r="B20" s="466" t="s">
        <v>600</v>
      </c>
      <c r="C20" s="467"/>
      <c r="D20" s="468">
        <f>SUM(D21:D27)</f>
        <v>41112850</v>
      </c>
      <c r="E20" s="468">
        <f>SUM(E21:E27)</f>
        <v>41112850</v>
      </c>
      <c r="F20" s="496">
        <f>SUM(F21:F27)</f>
        <v>39369411</v>
      </c>
      <c r="G20" s="496">
        <f>SUM(G21:G27)</f>
        <v>40794621</v>
      </c>
      <c r="H20" s="469">
        <f t="shared" si="0"/>
        <v>99.225962199166446</v>
      </c>
      <c r="I20" s="469">
        <f t="shared" si="1"/>
        <v>103.62009479897985</v>
      </c>
      <c r="J20" s="170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</row>
    <row r="21" spans="2:31" s="470" customFormat="1" ht="12.95" customHeight="1">
      <c r="B21" s="462" t="s">
        <v>592</v>
      </c>
      <c r="C21" s="463">
        <v>600</v>
      </c>
      <c r="D21" s="460">
        <f>Rashodi!F9</f>
        <v>548000</v>
      </c>
      <c r="E21" s="460">
        <f>Rashodi!G9</f>
        <v>548000</v>
      </c>
      <c r="F21" s="448">
        <f>Rashodi!H9</f>
        <v>609613</v>
      </c>
      <c r="G21" s="448">
        <f>Rashodi!K9</f>
        <v>546291</v>
      </c>
      <c r="H21" s="465">
        <f t="shared" si="0"/>
        <v>99.688138686131396</v>
      </c>
      <c r="I21" s="465">
        <f t="shared" si="1"/>
        <v>89.612754321184099</v>
      </c>
      <c r="J21" s="471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</row>
    <row r="22" spans="2:31" s="470" customFormat="1" ht="12.95" customHeight="1">
      <c r="B22" s="462" t="s">
        <v>593</v>
      </c>
      <c r="C22" s="463">
        <v>611</v>
      </c>
      <c r="D22" s="460">
        <f>Rashodi!F15</f>
        <v>21853470</v>
      </c>
      <c r="E22" s="460">
        <f>Rashodi!G15</f>
        <v>21655780</v>
      </c>
      <c r="F22" s="448">
        <f>Rashodi!H15</f>
        <v>21036637</v>
      </c>
      <c r="G22" s="448">
        <f>Rashodi!K15</f>
        <v>21625749</v>
      </c>
      <c r="H22" s="465">
        <f t="shared" si="0"/>
        <v>99.861325706116332</v>
      </c>
      <c r="I22" s="465">
        <f t="shared" si="1"/>
        <v>102.80040959018307</v>
      </c>
      <c r="J22" s="471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</row>
    <row r="23" spans="2:31" s="451" customFormat="1" ht="12.95" customHeight="1">
      <c r="B23" s="462" t="s">
        <v>594</v>
      </c>
      <c r="C23" s="463">
        <v>612</v>
      </c>
      <c r="D23" s="464">
        <f>Rashodi!F21</f>
        <v>2163210</v>
      </c>
      <c r="E23" s="464">
        <f>Rashodi!G21</f>
        <v>2155300</v>
      </c>
      <c r="F23" s="449">
        <f>Rashodi!H21</f>
        <v>2072125</v>
      </c>
      <c r="G23" s="449">
        <f>Rashodi!K21</f>
        <v>2145348</v>
      </c>
      <c r="H23" s="465">
        <f t="shared" si="0"/>
        <v>99.538254535331504</v>
      </c>
      <c r="I23" s="465">
        <f t="shared" si="1"/>
        <v>103.53371538879171</v>
      </c>
      <c r="J23" s="170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</row>
    <row r="24" spans="2:31" s="451" customFormat="1" ht="12.95" customHeight="1">
      <c r="B24" s="462" t="s">
        <v>595</v>
      </c>
      <c r="C24" s="463">
        <v>613</v>
      </c>
      <c r="D24" s="464">
        <f>Rashodi!F24</f>
        <v>4006650</v>
      </c>
      <c r="E24" s="464">
        <f>Rashodi!G24</f>
        <v>3907250</v>
      </c>
      <c r="F24" s="449">
        <f>Rashodi!H24</f>
        <v>3945194</v>
      </c>
      <c r="G24" s="449">
        <f>Rashodi!K24</f>
        <v>3743343</v>
      </c>
      <c r="H24" s="465">
        <f>IF(E24=0,,G24/E24*100)</f>
        <v>95.805054705995261</v>
      </c>
      <c r="I24" s="465">
        <f t="shared" si="1"/>
        <v>94.883622959986241</v>
      </c>
      <c r="J24" s="170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</row>
    <row r="25" spans="2:31" s="451" customFormat="1" ht="12.95" customHeight="1">
      <c r="B25" s="462" t="s">
        <v>596</v>
      </c>
      <c r="C25" s="463">
        <v>614</v>
      </c>
      <c r="D25" s="464">
        <f>Rashodi!F47</f>
        <v>11854800</v>
      </c>
      <c r="E25" s="464">
        <f>Rashodi!G47</f>
        <v>11869800</v>
      </c>
      <c r="F25" s="449">
        <f>Rashodi!H47</f>
        <v>11254222</v>
      </c>
      <c r="G25" s="449">
        <f>Rashodi!K47</f>
        <v>11764501</v>
      </c>
      <c r="H25" s="465">
        <f t="shared" si="0"/>
        <v>99.112883115132519</v>
      </c>
      <c r="I25" s="465">
        <f t="shared" si="1"/>
        <v>104.53411173157949</v>
      </c>
      <c r="J25" s="170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</row>
    <row r="26" spans="2:31" s="451" customFormat="1" ht="12.95" customHeight="1">
      <c r="B26" s="462" t="s">
        <v>597</v>
      </c>
      <c r="C26" s="463">
        <v>615</v>
      </c>
      <c r="D26" s="464">
        <f>Rashodi!F93</f>
        <v>645000</v>
      </c>
      <c r="E26" s="464">
        <f>Rashodi!G93</f>
        <v>935000</v>
      </c>
      <c r="F26" s="449">
        <f>Rashodi!H93</f>
        <v>400000</v>
      </c>
      <c r="G26" s="449">
        <f>Rashodi!K93</f>
        <v>927695</v>
      </c>
      <c r="H26" s="465">
        <f>IF(E26=0,,G26/E26*100)</f>
        <v>99.218716577540107</v>
      </c>
      <c r="I26" s="465">
        <f t="shared" si="1"/>
        <v>231.92374999999998</v>
      </c>
      <c r="J26" s="170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</row>
    <row r="27" spans="2:31" s="451" customFormat="1" ht="12.95" customHeight="1" thickBot="1">
      <c r="B27" s="473" t="s">
        <v>598</v>
      </c>
      <c r="C27" s="474">
        <v>616</v>
      </c>
      <c r="D27" s="475">
        <f>Rashodi!F99</f>
        <v>41720</v>
      </c>
      <c r="E27" s="475">
        <f>Rashodi!G99</f>
        <v>41720</v>
      </c>
      <c r="F27" s="450">
        <f>Rashodi!H99</f>
        <v>51620</v>
      </c>
      <c r="G27" s="450">
        <f>Rashodi!K99</f>
        <v>41694</v>
      </c>
      <c r="H27" s="476">
        <f t="shared" si="0"/>
        <v>99.937679769894544</v>
      </c>
      <c r="I27" s="476">
        <f t="shared" si="1"/>
        <v>80.771018984889579</v>
      </c>
      <c r="J27" s="170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</row>
    <row r="28" spans="2:31" s="451" customFormat="1" ht="14.1" customHeight="1" thickTop="1" thickBot="1">
      <c r="B28" s="477" t="s">
        <v>601</v>
      </c>
      <c r="C28" s="478"/>
      <c r="D28" s="479">
        <f>D14-D20</f>
        <v>2591700</v>
      </c>
      <c r="E28" s="479">
        <f>E14-E20</f>
        <v>2591700</v>
      </c>
      <c r="F28" s="497">
        <f>F14-F20</f>
        <v>2678839</v>
      </c>
      <c r="G28" s="497">
        <f>G14-G20</f>
        <v>3074902</v>
      </c>
      <c r="H28" s="480">
        <f t="shared" si="0"/>
        <v>118.64421036385384</v>
      </c>
      <c r="I28" s="480">
        <f t="shared" si="1"/>
        <v>114.78487508954439</v>
      </c>
      <c r="J28" s="170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</row>
    <row r="29" spans="2:31" s="451" customFormat="1" ht="14.1" customHeight="1" thickTop="1">
      <c r="B29" s="466" t="s">
        <v>602</v>
      </c>
      <c r="C29" s="467">
        <v>811</v>
      </c>
      <c r="D29" s="468">
        <f>Prihodi!D237</f>
        <v>11580</v>
      </c>
      <c r="E29" s="468">
        <f>Prihodi!E237</f>
        <v>11580</v>
      </c>
      <c r="F29" s="496">
        <f>Prihodi!F237</f>
        <v>5436</v>
      </c>
      <c r="G29" s="496">
        <f>Prihodi!G237</f>
        <v>11566</v>
      </c>
      <c r="H29" s="469">
        <f t="shared" si="0"/>
        <v>99.87910189982729</v>
      </c>
      <c r="I29" s="469">
        <f t="shared" si="1"/>
        <v>212.76674025018397</v>
      </c>
      <c r="J29" s="170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</row>
    <row r="30" spans="2:31" s="451" customFormat="1" ht="14.1" customHeight="1">
      <c r="B30" s="466" t="s">
        <v>603</v>
      </c>
      <c r="C30" s="467">
        <v>821</v>
      </c>
      <c r="D30" s="468">
        <f>D31</f>
        <v>2087010</v>
      </c>
      <c r="E30" s="468">
        <f>E31</f>
        <v>2087010</v>
      </c>
      <c r="F30" s="496">
        <f>F31</f>
        <v>1108166</v>
      </c>
      <c r="G30" s="496">
        <f>G31</f>
        <v>1889370</v>
      </c>
      <c r="H30" s="469">
        <f t="shared" si="0"/>
        <v>90.529992668937851</v>
      </c>
      <c r="I30" s="469">
        <f t="shared" si="1"/>
        <v>170.49521461586079</v>
      </c>
      <c r="J30" s="170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</row>
    <row r="31" spans="2:31" s="451" customFormat="1" ht="12.95" customHeight="1" thickBot="1">
      <c r="B31" s="462" t="s">
        <v>448</v>
      </c>
      <c r="C31" s="463">
        <v>821</v>
      </c>
      <c r="D31" s="464">
        <f>Rashodi!F106</f>
        <v>2087010</v>
      </c>
      <c r="E31" s="464">
        <f>Rashodi!G106</f>
        <v>2087010</v>
      </c>
      <c r="F31" s="449">
        <f>Rashodi!H106</f>
        <v>1108166</v>
      </c>
      <c r="G31" s="449">
        <f>Rashodi!K106</f>
        <v>1889370</v>
      </c>
      <c r="H31" s="465">
        <f>IF(E31=0,,G31/E31*100)</f>
        <v>90.529992668937851</v>
      </c>
      <c r="I31" s="465">
        <f t="shared" si="1"/>
        <v>170.49521461586079</v>
      </c>
      <c r="J31" s="170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</row>
    <row r="32" spans="2:31" s="451" customFormat="1" ht="14.1" customHeight="1" thickTop="1" thickBot="1">
      <c r="B32" s="481" t="s">
        <v>604</v>
      </c>
      <c r="C32" s="482"/>
      <c r="D32" s="483">
        <f>D29-D30</f>
        <v>-2075430</v>
      </c>
      <c r="E32" s="483">
        <f>E29-E30</f>
        <v>-2075430</v>
      </c>
      <c r="F32" s="498">
        <f>F29-F30</f>
        <v>-1102730</v>
      </c>
      <c r="G32" s="498">
        <f>G29-G30</f>
        <v>-1877804</v>
      </c>
      <c r="H32" s="484">
        <f t="shared" si="0"/>
        <v>90.477828690921882</v>
      </c>
      <c r="I32" s="484">
        <f t="shared" si="1"/>
        <v>170.28683358573721</v>
      </c>
      <c r="J32" s="170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</row>
    <row r="33" spans="2:31" s="451" customFormat="1" ht="19.5" customHeight="1" thickTop="1" thickBot="1">
      <c r="B33" s="477" t="s">
        <v>605</v>
      </c>
      <c r="C33" s="478"/>
      <c r="D33" s="485">
        <f>D28+D32</f>
        <v>516270</v>
      </c>
      <c r="E33" s="485">
        <f>E28+E32</f>
        <v>516270</v>
      </c>
      <c r="F33" s="499">
        <f>F28+F32</f>
        <v>1576109</v>
      </c>
      <c r="G33" s="499">
        <f>G28+G32</f>
        <v>1197098</v>
      </c>
      <c r="H33" s="480">
        <f t="shared" si="0"/>
        <v>231.87440680264203</v>
      </c>
      <c r="I33" s="480">
        <f t="shared" si="1"/>
        <v>75.952741847169207</v>
      </c>
      <c r="J33" s="170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</row>
    <row r="34" spans="2:31" s="451" customFormat="1" ht="14.1" customHeight="1" thickTop="1">
      <c r="B34" s="466" t="s">
        <v>606</v>
      </c>
      <c r="C34" s="467" t="s">
        <v>585</v>
      </c>
      <c r="D34" s="468">
        <f>0</f>
        <v>0</v>
      </c>
      <c r="E34" s="468">
        <f>0</f>
        <v>0</v>
      </c>
      <c r="F34" s="496">
        <f>0</f>
        <v>0</v>
      </c>
      <c r="G34" s="496">
        <f>0</f>
        <v>0</v>
      </c>
      <c r="H34" s="469">
        <f t="shared" si="0"/>
        <v>0</v>
      </c>
      <c r="I34" s="469">
        <f t="shared" si="1"/>
        <v>0</v>
      </c>
      <c r="J34" s="170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</row>
    <row r="35" spans="2:31" s="451" customFormat="1" ht="14.1" customHeight="1">
      <c r="B35" s="486" t="s">
        <v>607</v>
      </c>
      <c r="C35" s="487" t="s">
        <v>584</v>
      </c>
      <c r="D35" s="488">
        <f>D36</f>
        <v>515000</v>
      </c>
      <c r="E35" s="488">
        <f>E36</f>
        <v>515000</v>
      </c>
      <c r="F35" s="500">
        <f>F36</f>
        <v>591016</v>
      </c>
      <c r="G35" s="500">
        <f>G36</f>
        <v>514991</v>
      </c>
      <c r="H35" s="469">
        <f t="shared" si="0"/>
        <v>99.998252427184468</v>
      </c>
      <c r="I35" s="469">
        <f t="shared" si="1"/>
        <v>87.136558062725882</v>
      </c>
      <c r="J35" s="170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</row>
    <row r="36" spans="2:31" s="451" customFormat="1" ht="12.95" customHeight="1" thickBot="1">
      <c r="B36" s="462" t="s">
        <v>320</v>
      </c>
      <c r="C36" s="463">
        <v>823</v>
      </c>
      <c r="D36" s="464">
        <f>Rashodi!F114</f>
        <v>515000</v>
      </c>
      <c r="E36" s="464">
        <f>Rashodi!G114</f>
        <v>515000</v>
      </c>
      <c r="F36" s="449">
        <f>Rashodi!H114</f>
        <v>591016</v>
      </c>
      <c r="G36" s="449">
        <f>Rashodi!K114</f>
        <v>514991</v>
      </c>
      <c r="H36" s="465">
        <f t="shared" si="0"/>
        <v>99.998252427184468</v>
      </c>
      <c r="I36" s="465">
        <f t="shared" si="1"/>
        <v>87.136558062725882</v>
      </c>
      <c r="J36" s="170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</row>
    <row r="37" spans="2:31" s="451" customFormat="1" ht="14.1" customHeight="1" thickTop="1" thickBot="1">
      <c r="B37" s="481" t="s">
        <v>608</v>
      </c>
      <c r="C37" s="482"/>
      <c r="D37" s="483">
        <f>D34-D35</f>
        <v>-515000</v>
      </c>
      <c r="E37" s="483">
        <f>E34-E35</f>
        <v>-515000</v>
      </c>
      <c r="F37" s="498">
        <f>F34-F35</f>
        <v>-591016</v>
      </c>
      <c r="G37" s="498">
        <f>G34-G35</f>
        <v>-514991</v>
      </c>
      <c r="H37" s="484">
        <f t="shared" si="0"/>
        <v>99.998252427184468</v>
      </c>
      <c r="I37" s="484">
        <f t="shared" si="1"/>
        <v>87.136558062725882</v>
      </c>
      <c r="J37" s="170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</row>
    <row r="38" spans="2:31" s="451" customFormat="1" ht="14.1" customHeight="1" thickTop="1" thickBot="1">
      <c r="B38" s="481" t="s">
        <v>609</v>
      </c>
      <c r="C38" s="482"/>
      <c r="D38" s="483">
        <f>D33+D37</f>
        <v>1270</v>
      </c>
      <c r="E38" s="483">
        <f>E33+E37</f>
        <v>1270</v>
      </c>
      <c r="F38" s="498">
        <f>F33+F37</f>
        <v>985093</v>
      </c>
      <c r="G38" s="498">
        <f>G33+G37</f>
        <v>682107</v>
      </c>
      <c r="H38" s="484">
        <f t="shared" si="0"/>
        <v>53709.212598425198</v>
      </c>
      <c r="I38" s="484">
        <f t="shared" si="1"/>
        <v>69.242903969472934</v>
      </c>
      <c r="J38" s="170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</row>
    <row r="39" spans="2:31" s="451" customFormat="1" ht="9" customHeight="1" thickTop="1">
      <c r="B39" s="489"/>
      <c r="C39" s="490"/>
      <c r="D39" s="491"/>
      <c r="E39" s="491"/>
      <c r="F39" s="501"/>
      <c r="G39" s="501"/>
      <c r="H39" s="492"/>
      <c r="I39" s="492"/>
      <c r="J39" s="170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</row>
    <row r="40" spans="2:31" s="451" customFormat="1" ht="14.1" customHeight="1">
      <c r="B40" s="466" t="s">
        <v>610</v>
      </c>
      <c r="C40" s="467"/>
      <c r="D40" s="468">
        <f>D14+D29+D34</f>
        <v>43716130</v>
      </c>
      <c r="E40" s="468">
        <f>E14+E29+E34</f>
        <v>43716130</v>
      </c>
      <c r="F40" s="496">
        <f>F14+F29+F34</f>
        <v>42053686</v>
      </c>
      <c r="G40" s="496">
        <f>G14+G29+G34</f>
        <v>43881089</v>
      </c>
      <c r="H40" s="469">
        <f t="shared" si="0"/>
        <v>100.37734126968697</v>
      </c>
      <c r="I40" s="469">
        <f t="shared" si="1"/>
        <v>104.34540506152065</v>
      </c>
      <c r="J40" s="170"/>
      <c r="K40" s="493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</row>
    <row r="41" spans="2:31" s="451" customFormat="1" ht="14.1" customHeight="1">
      <c r="B41" s="466" t="s">
        <v>611</v>
      </c>
      <c r="C41" s="467"/>
      <c r="D41" s="468">
        <f>D20+D30+D35</f>
        <v>43714860</v>
      </c>
      <c r="E41" s="468">
        <f>E20+E30+E35</f>
        <v>43714860</v>
      </c>
      <c r="F41" s="496">
        <f>F20+F30+F35</f>
        <v>41068593</v>
      </c>
      <c r="G41" s="496">
        <f>G20+G30+G35</f>
        <v>43198982</v>
      </c>
      <c r="H41" s="469">
        <f t="shared" si="0"/>
        <v>98.819902431347145</v>
      </c>
      <c r="I41" s="469">
        <f t="shared" si="1"/>
        <v>105.18739222451569</v>
      </c>
      <c r="J41" s="170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</row>
    <row r="42" spans="2:31" s="451" customFormat="1" ht="14.1" customHeight="1">
      <c r="B42" s="466" t="s">
        <v>612</v>
      </c>
      <c r="C42" s="467"/>
      <c r="D42" s="468">
        <f>D40-D41</f>
        <v>1270</v>
      </c>
      <c r="E42" s="468">
        <f>E40-E41</f>
        <v>1270</v>
      </c>
      <c r="F42" s="496">
        <f>F40-F41</f>
        <v>985093</v>
      </c>
      <c r="G42" s="496">
        <f>G40-G41</f>
        <v>682107</v>
      </c>
      <c r="H42" s="469">
        <f t="shared" si="0"/>
        <v>53709.212598425198</v>
      </c>
      <c r="I42" s="469">
        <f t="shared" si="1"/>
        <v>69.242903969472934</v>
      </c>
      <c r="K42" s="454"/>
      <c r="L42" s="493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</row>
    <row r="43" spans="2:31" ht="7.5" customHeight="1">
      <c r="B43" s="147"/>
      <c r="C43" s="147"/>
      <c r="D43" s="212"/>
      <c r="E43" s="212"/>
      <c r="F43" s="212"/>
      <c r="G43" s="212"/>
      <c r="H43" s="213"/>
      <c r="I43" s="213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2:31" ht="15" customHeight="1">
      <c r="B44" s="37"/>
      <c r="C44" s="37"/>
      <c r="F44" s="74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2:31" ht="15" customHeight="1">
      <c r="B45" s="873"/>
      <c r="C45" s="874"/>
      <c r="D45" s="874"/>
      <c r="E45" s="875"/>
      <c r="F45" s="875"/>
      <c r="G45" s="875"/>
      <c r="H45" s="875"/>
      <c r="I45" s="673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2:31" ht="15.75" customHeight="1">
      <c r="B46" s="59"/>
      <c r="C46" s="59"/>
      <c r="D46" s="59"/>
      <c r="E46" s="59"/>
      <c r="F46" s="676"/>
      <c r="G46" s="59"/>
      <c r="H46" s="59"/>
      <c r="I46" s="676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2:31" ht="15" customHeight="1">
      <c r="B47" s="60"/>
      <c r="C47" s="60"/>
      <c r="D47" s="59"/>
      <c r="E47" s="59"/>
      <c r="F47" s="676"/>
      <c r="G47" s="59"/>
      <c r="H47" s="59"/>
      <c r="I47" s="676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2:31" ht="15" customHeight="1">
      <c r="B48" s="59"/>
      <c r="C48" s="59"/>
      <c r="D48" s="59"/>
      <c r="E48" s="59"/>
      <c r="F48" s="676"/>
      <c r="G48" s="59"/>
      <c r="H48" s="59"/>
      <c r="I48" s="676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2:31" ht="15" customHeight="1">
      <c r="B49" s="59"/>
      <c r="C49" s="59"/>
      <c r="D49" s="59"/>
      <c r="E49" s="59"/>
      <c r="F49" s="676"/>
      <c r="G49" s="59"/>
      <c r="H49" s="59"/>
      <c r="I49" s="676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2:31" ht="15" customHeight="1">
      <c r="B50" s="59"/>
      <c r="C50" s="59"/>
      <c r="D50" s="59"/>
      <c r="E50" s="59"/>
      <c r="F50" s="676"/>
      <c r="G50" s="59"/>
      <c r="H50" s="59"/>
      <c r="I50" s="676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2:31" ht="15" customHeight="1">
      <c r="B51" s="59"/>
      <c r="C51" s="59"/>
      <c r="D51" s="59"/>
      <c r="E51" s="59"/>
      <c r="F51" s="676"/>
      <c r="G51" s="59"/>
      <c r="H51" s="59"/>
      <c r="I51" s="676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2:31" ht="15" customHeight="1">
      <c r="B52" s="59"/>
      <c r="C52" s="59"/>
      <c r="D52" s="59"/>
      <c r="E52" s="59"/>
      <c r="F52" s="676"/>
      <c r="G52" s="59"/>
      <c r="H52" s="59"/>
      <c r="I52" s="676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2:31" ht="15" customHeight="1">
      <c r="B53" s="59"/>
      <c r="C53" s="59"/>
      <c r="D53" s="59"/>
      <c r="E53" s="59"/>
      <c r="F53" s="676"/>
      <c r="G53" s="59"/>
      <c r="H53" s="59"/>
      <c r="I53" s="676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2:31" ht="15" customHeight="1">
      <c r="B54" s="59"/>
      <c r="C54" s="59"/>
      <c r="D54" s="59"/>
      <c r="E54" s="59"/>
      <c r="F54" s="676"/>
      <c r="G54" s="59"/>
      <c r="H54" s="59"/>
      <c r="I54" s="676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2:31" ht="15" customHeight="1">
      <c r="B55" s="59"/>
      <c r="C55" s="59"/>
      <c r="D55" s="59"/>
      <c r="E55" s="59"/>
      <c r="F55" s="676"/>
      <c r="G55" s="59"/>
      <c r="H55" s="59"/>
      <c r="I55" s="676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2:31" ht="15" customHeight="1">
      <c r="B56" s="59"/>
      <c r="C56" s="59"/>
      <c r="D56" s="59"/>
      <c r="E56" s="59"/>
      <c r="F56" s="676"/>
      <c r="G56" s="59"/>
      <c r="H56" s="59"/>
      <c r="I56" s="676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2:31" ht="15" customHeight="1">
      <c r="B57" s="59"/>
      <c r="C57" s="59"/>
      <c r="D57" s="59"/>
      <c r="E57" s="59"/>
      <c r="F57" s="676"/>
      <c r="G57" s="59"/>
      <c r="H57" s="59"/>
      <c r="I57" s="676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2:31" ht="15" customHeight="1">
      <c r="B58" s="59"/>
      <c r="C58" s="59"/>
      <c r="D58" s="59"/>
      <c r="E58" s="59"/>
      <c r="F58" s="676"/>
      <c r="G58" s="59"/>
      <c r="H58" s="59"/>
      <c r="I58" s="676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2:31" ht="15" customHeight="1">
      <c r="B59" s="59"/>
      <c r="C59" s="59"/>
      <c r="D59" s="59"/>
      <c r="E59" s="59"/>
      <c r="F59" s="676"/>
      <c r="G59" s="59"/>
      <c r="H59" s="59"/>
      <c r="I59" s="676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2:31" ht="15" customHeight="1">
      <c r="B60" s="59"/>
      <c r="C60" s="59"/>
      <c r="D60" s="59"/>
      <c r="E60" s="59"/>
      <c r="F60" s="676"/>
      <c r="G60" s="59"/>
      <c r="H60" s="59"/>
      <c r="I60" s="676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2:31" ht="15" customHeight="1">
      <c r="B61" s="59"/>
      <c r="C61" s="59"/>
      <c r="D61" s="59"/>
      <c r="E61" s="59"/>
      <c r="F61" s="676"/>
      <c r="G61" s="59"/>
      <c r="H61" s="59"/>
      <c r="I61" s="676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2:31" ht="15" customHeight="1">
      <c r="B62" s="59"/>
      <c r="C62" s="59"/>
      <c r="D62" s="59"/>
      <c r="E62" s="59"/>
      <c r="F62" s="676"/>
      <c r="G62" s="59"/>
      <c r="H62" s="59"/>
      <c r="I62" s="676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2:31" ht="15" customHeight="1">
      <c r="B63" s="59"/>
      <c r="C63" s="59"/>
      <c r="D63" s="59"/>
      <c r="E63" s="59"/>
      <c r="F63" s="676"/>
      <c r="G63" s="59"/>
      <c r="H63" s="59"/>
      <c r="I63" s="676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2:31" ht="15" customHeight="1">
      <c r="B64" s="59"/>
      <c r="C64" s="59"/>
      <c r="D64" s="59"/>
      <c r="E64" s="59"/>
      <c r="F64" s="676"/>
      <c r="G64" s="59"/>
      <c r="H64" s="59"/>
      <c r="I64" s="676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2:31" ht="15" customHeight="1">
      <c r="B65" s="59"/>
      <c r="C65" s="59"/>
      <c r="D65" s="59"/>
      <c r="E65" s="59"/>
      <c r="F65" s="676"/>
      <c r="G65" s="59"/>
      <c r="H65" s="59"/>
      <c r="I65" s="676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2:31" ht="15" customHeight="1">
      <c r="B66" s="59"/>
      <c r="C66" s="59"/>
      <c r="D66" s="59"/>
      <c r="E66" s="59"/>
      <c r="F66" s="676"/>
      <c r="G66" s="59"/>
      <c r="H66" s="59"/>
      <c r="I66" s="676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2:31" ht="15" customHeight="1">
      <c r="B67" s="59"/>
      <c r="C67" s="59"/>
      <c r="D67" s="59"/>
      <c r="E67" s="59"/>
      <c r="F67" s="676"/>
      <c r="G67" s="59"/>
      <c r="H67" s="59"/>
      <c r="I67" s="676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2:31" ht="15" customHeight="1">
      <c r="B68" s="59"/>
      <c r="C68" s="59"/>
      <c r="D68" s="59"/>
      <c r="E68" s="59"/>
      <c r="F68" s="676"/>
      <c r="G68" s="59"/>
      <c r="H68" s="59"/>
      <c r="I68" s="676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2:31" ht="15" customHeight="1">
      <c r="B69" s="59"/>
      <c r="C69" s="59"/>
      <c r="D69" s="59"/>
      <c r="E69" s="59"/>
      <c r="F69" s="676"/>
      <c r="G69" s="59"/>
      <c r="H69" s="59"/>
      <c r="I69" s="676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2:31" ht="15" customHeight="1">
      <c r="B70" s="59"/>
      <c r="C70" s="59"/>
      <c r="D70" s="59"/>
      <c r="E70" s="59"/>
      <c r="F70" s="676"/>
      <c r="G70" s="59"/>
      <c r="H70" s="59"/>
      <c r="I70" s="676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2:31" ht="15" customHeight="1">
      <c r="B71" s="59"/>
      <c r="C71" s="59"/>
      <c r="D71" s="59"/>
      <c r="E71" s="59"/>
      <c r="F71" s="676"/>
      <c r="G71" s="59"/>
      <c r="H71" s="59"/>
      <c r="I71" s="676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2:31" ht="15" customHeight="1">
      <c r="B72" s="59"/>
      <c r="C72" s="59"/>
      <c r="D72" s="59"/>
      <c r="E72" s="59"/>
      <c r="F72" s="676"/>
      <c r="G72" s="59"/>
      <c r="H72" s="59"/>
      <c r="I72" s="676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2:31" ht="15" customHeight="1">
      <c r="B73" s="59"/>
      <c r="C73" s="59"/>
      <c r="D73" s="59"/>
      <c r="E73" s="59"/>
      <c r="F73" s="676"/>
      <c r="G73" s="59"/>
      <c r="H73" s="59"/>
      <c r="I73" s="676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2:31" ht="15" customHeight="1">
      <c r="B74" s="59"/>
      <c r="C74" s="59"/>
      <c r="D74" s="59"/>
      <c r="E74" s="59"/>
      <c r="F74" s="676"/>
      <c r="G74" s="59"/>
      <c r="H74" s="59"/>
      <c r="I74" s="676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2:31" ht="15" customHeight="1">
      <c r="B75" s="59"/>
      <c r="C75" s="59"/>
      <c r="D75" s="59"/>
      <c r="E75" s="59"/>
      <c r="F75" s="676"/>
      <c r="G75" s="59"/>
      <c r="H75" s="59"/>
      <c r="I75" s="676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</row>
    <row r="76" spans="2:31" ht="15" customHeight="1">
      <c r="B76" s="59"/>
      <c r="C76" s="59"/>
      <c r="D76" s="59"/>
      <c r="E76" s="59"/>
      <c r="F76" s="676"/>
      <c r="G76" s="59"/>
      <c r="H76" s="59"/>
      <c r="I76" s="676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2:31" ht="15" customHeight="1">
      <c r="B77" s="59"/>
      <c r="C77" s="59"/>
      <c r="D77" s="59"/>
      <c r="E77" s="59"/>
      <c r="F77" s="676"/>
      <c r="G77" s="59"/>
      <c r="H77" s="59"/>
      <c r="I77" s="676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2:31" ht="15" customHeight="1">
      <c r="B78" s="59"/>
      <c r="C78" s="59"/>
      <c r="D78" s="59"/>
      <c r="E78" s="59"/>
      <c r="F78" s="676"/>
      <c r="G78" s="59"/>
      <c r="H78" s="59"/>
      <c r="I78" s="676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2:31" ht="15" customHeight="1">
      <c r="B79" s="59"/>
      <c r="C79" s="59"/>
      <c r="D79" s="59"/>
      <c r="E79" s="59"/>
      <c r="F79" s="676"/>
      <c r="G79" s="59"/>
      <c r="H79" s="59"/>
      <c r="I79" s="676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2:31" ht="15" customHeight="1">
      <c r="B80" s="59"/>
      <c r="C80" s="59"/>
      <c r="D80" s="59"/>
      <c r="E80" s="59"/>
      <c r="F80" s="676"/>
      <c r="G80" s="59"/>
      <c r="H80" s="59"/>
      <c r="I80" s="676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</row>
    <row r="81" spans="2:31" ht="15" customHeight="1">
      <c r="B81" s="59"/>
      <c r="C81" s="59"/>
      <c r="D81" s="59"/>
      <c r="E81" s="59"/>
      <c r="F81" s="676"/>
      <c r="G81" s="59"/>
      <c r="H81" s="59"/>
      <c r="I81" s="676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2:31" ht="15" customHeight="1">
      <c r="B82" s="59"/>
      <c r="C82" s="59"/>
      <c r="D82" s="59"/>
      <c r="E82" s="59"/>
      <c r="F82" s="676"/>
      <c r="G82" s="59"/>
      <c r="H82" s="59"/>
      <c r="I82" s="676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2:31" ht="15" customHeight="1">
      <c r="B83" s="59"/>
      <c r="C83" s="59"/>
      <c r="D83" s="59"/>
      <c r="E83" s="59"/>
      <c r="F83" s="676"/>
      <c r="G83" s="59"/>
      <c r="H83" s="59"/>
      <c r="I83" s="676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2:31" ht="15" customHeight="1">
      <c r="B84" s="59"/>
      <c r="C84" s="59"/>
      <c r="D84" s="59"/>
      <c r="E84" s="59"/>
      <c r="F84" s="676"/>
      <c r="G84" s="59"/>
      <c r="H84" s="59"/>
      <c r="I84" s="676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</row>
    <row r="85" spans="2:31" ht="15" customHeight="1">
      <c r="B85" s="59"/>
      <c r="C85" s="59"/>
      <c r="D85" s="59"/>
      <c r="E85" s="59"/>
      <c r="F85" s="676"/>
      <c r="G85" s="59"/>
      <c r="H85" s="59"/>
      <c r="I85" s="676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2:31" ht="15" customHeight="1">
      <c r="B86" s="59"/>
      <c r="C86" s="59"/>
      <c r="D86" s="59"/>
      <c r="E86" s="59"/>
      <c r="F86" s="676"/>
      <c r="G86" s="59"/>
      <c r="H86" s="59"/>
      <c r="I86" s="676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2:31" ht="15" customHeight="1">
      <c r="B87" s="59"/>
      <c r="C87" s="59"/>
      <c r="D87" s="59"/>
      <c r="E87" s="59"/>
      <c r="F87" s="676"/>
      <c r="G87" s="59"/>
      <c r="H87" s="59"/>
      <c r="I87" s="676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</row>
    <row r="88" spans="2:31" ht="15" customHeight="1">
      <c r="B88" s="59"/>
      <c r="C88" s="59"/>
      <c r="D88" s="59"/>
      <c r="E88" s="59"/>
      <c r="F88" s="676"/>
      <c r="G88" s="59"/>
      <c r="H88" s="59"/>
      <c r="I88" s="676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2:31" ht="15" customHeight="1">
      <c r="B89" s="59"/>
      <c r="C89" s="59"/>
      <c r="D89" s="59"/>
      <c r="E89" s="59"/>
      <c r="F89" s="676"/>
      <c r="G89" s="59"/>
      <c r="H89" s="59"/>
      <c r="I89" s="676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2:31" ht="15" customHeight="1">
      <c r="B90" s="59"/>
      <c r="C90" s="59"/>
      <c r="D90" s="59"/>
      <c r="E90" s="59"/>
      <c r="F90" s="676"/>
      <c r="G90" s="59"/>
      <c r="H90" s="59"/>
      <c r="I90" s="676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2:31" ht="15" customHeight="1">
      <c r="B91" s="59"/>
      <c r="C91" s="59"/>
      <c r="D91" s="59"/>
      <c r="E91" s="59"/>
      <c r="F91" s="676"/>
      <c r="G91" s="59"/>
      <c r="H91" s="59"/>
      <c r="I91" s="676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2:31" ht="15" customHeight="1">
      <c r="B92" s="59"/>
      <c r="C92" s="59"/>
      <c r="D92" s="59"/>
      <c r="E92" s="59"/>
      <c r="F92" s="676"/>
      <c r="G92" s="59"/>
      <c r="H92" s="59"/>
      <c r="I92" s="676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</row>
    <row r="93" spans="2:31" ht="15" customHeight="1">
      <c r="B93" s="59"/>
      <c r="C93" s="59"/>
      <c r="D93" s="59"/>
      <c r="E93" s="59"/>
      <c r="F93" s="676"/>
      <c r="G93" s="59"/>
      <c r="H93" s="59"/>
      <c r="I93" s="676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</row>
    <row r="94" spans="2:31" ht="15" customHeight="1">
      <c r="B94" s="59"/>
      <c r="C94" s="59"/>
      <c r="D94" s="59"/>
      <c r="E94" s="59"/>
      <c r="F94" s="676"/>
      <c r="G94" s="59"/>
      <c r="H94" s="59"/>
      <c r="I94" s="676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</row>
    <row r="95" spans="2:31" ht="15" customHeight="1">
      <c r="B95" s="59"/>
      <c r="C95" s="59"/>
      <c r="D95" s="59"/>
      <c r="E95" s="59"/>
      <c r="F95" s="676"/>
      <c r="G95" s="59"/>
      <c r="H95" s="59"/>
      <c r="I95" s="676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</row>
    <row r="96" spans="2:31" ht="15" customHeight="1">
      <c r="B96" s="59"/>
      <c r="C96" s="59"/>
      <c r="D96" s="59"/>
      <c r="E96" s="59"/>
      <c r="F96" s="676"/>
      <c r="G96" s="59"/>
      <c r="H96" s="59"/>
      <c r="I96" s="676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</row>
    <row r="97" spans="2:31" ht="15" customHeight="1">
      <c r="B97" s="59"/>
      <c r="C97" s="59"/>
      <c r="D97" s="59"/>
      <c r="E97" s="59"/>
      <c r="F97" s="676"/>
      <c r="G97" s="59"/>
      <c r="H97" s="59"/>
      <c r="I97" s="676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</row>
    <row r="98" spans="2:31" ht="15" customHeight="1">
      <c r="B98" s="59"/>
      <c r="C98" s="59"/>
      <c r="D98" s="59"/>
      <c r="E98" s="59"/>
      <c r="F98" s="676"/>
      <c r="G98" s="59"/>
      <c r="H98" s="59"/>
      <c r="I98" s="676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</row>
    <row r="99" spans="2:31" ht="15" customHeight="1">
      <c r="B99" s="59"/>
      <c r="C99" s="59"/>
      <c r="D99" s="59"/>
      <c r="E99" s="59"/>
      <c r="F99" s="676"/>
      <c r="G99" s="59"/>
      <c r="H99" s="59"/>
      <c r="I99" s="676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</row>
    <row r="100" spans="2:31" ht="15" customHeight="1">
      <c r="B100" s="59"/>
      <c r="C100" s="59"/>
      <c r="D100" s="59"/>
      <c r="E100" s="59"/>
      <c r="F100" s="676"/>
      <c r="G100" s="59"/>
      <c r="H100" s="59"/>
      <c r="I100" s="676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</row>
    <row r="101" spans="2:31" ht="15" customHeight="1">
      <c r="B101" s="59"/>
      <c r="C101" s="59"/>
      <c r="D101" s="59"/>
      <c r="E101" s="59"/>
      <c r="F101" s="676"/>
      <c r="G101" s="59"/>
      <c r="H101" s="59"/>
      <c r="I101" s="676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</row>
    <row r="102" spans="2:31" ht="15" customHeight="1">
      <c r="B102" s="59"/>
      <c r="C102" s="59"/>
      <c r="D102" s="59"/>
      <c r="E102" s="59"/>
      <c r="F102" s="676"/>
      <c r="G102" s="59"/>
      <c r="H102" s="59"/>
      <c r="I102" s="676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</row>
    <row r="103" spans="2:31" ht="15" customHeight="1">
      <c r="B103" s="59"/>
      <c r="C103" s="59"/>
      <c r="D103" s="59"/>
      <c r="E103" s="59"/>
      <c r="F103" s="676"/>
      <c r="G103" s="59"/>
      <c r="H103" s="59"/>
      <c r="I103" s="676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</row>
    <row r="104" spans="2:31" ht="15" customHeight="1">
      <c r="B104" s="59"/>
      <c r="C104" s="59"/>
      <c r="D104" s="59"/>
      <c r="E104" s="59"/>
      <c r="F104" s="676"/>
      <c r="G104" s="59"/>
      <c r="H104" s="59"/>
      <c r="I104" s="676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</row>
    <row r="105" spans="2:31" ht="15" customHeight="1">
      <c r="B105" s="59"/>
      <c r="C105" s="59"/>
      <c r="D105" s="59"/>
      <c r="E105" s="59"/>
      <c r="F105" s="676"/>
      <c r="G105" s="59"/>
      <c r="H105" s="59"/>
      <c r="I105" s="676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</row>
    <row r="106" spans="2:31" ht="15" customHeight="1">
      <c r="B106" s="59"/>
      <c r="C106" s="59"/>
      <c r="D106" s="59"/>
      <c r="E106" s="59"/>
      <c r="F106" s="676"/>
      <c r="G106" s="59"/>
      <c r="H106" s="59"/>
      <c r="I106" s="676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</row>
    <row r="107" spans="2:31" ht="15" customHeight="1">
      <c r="B107" s="59"/>
      <c r="C107" s="59"/>
      <c r="D107" s="59"/>
      <c r="E107" s="59"/>
      <c r="F107" s="676"/>
      <c r="G107" s="59"/>
      <c r="H107" s="59"/>
      <c r="I107" s="676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</row>
    <row r="108" spans="2:31" ht="15" customHeight="1">
      <c r="B108" s="59"/>
      <c r="C108" s="59"/>
      <c r="D108" s="59"/>
      <c r="E108" s="59"/>
      <c r="F108" s="676"/>
      <c r="G108" s="59"/>
      <c r="H108" s="59"/>
      <c r="I108" s="676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</row>
    <row r="109" spans="2:31" ht="15" customHeight="1">
      <c r="B109" s="59"/>
      <c r="C109" s="59"/>
      <c r="D109" s="59"/>
      <c r="E109" s="59"/>
      <c r="F109" s="676"/>
      <c r="G109" s="59"/>
      <c r="H109" s="59"/>
      <c r="I109" s="676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</row>
    <row r="110" spans="2:31" ht="15" customHeight="1">
      <c r="B110" s="59"/>
      <c r="C110" s="59"/>
      <c r="D110" s="59"/>
      <c r="E110" s="59"/>
      <c r="F110" s="676"/>
      <c r="G110" s="59"/>
      <c r="H110" s="59"/>
      <c r="I110" s="676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</row>
    <row r="111" spans="2:31" ht="15" customHeight="1">
      <c r="B111" s="59"/>
      <c r="C111" s="59"/>
      <c r="D111" s="59"/>
      <c r="E111" s="59"/>
      <c r="F111" s="676"/>
      <c r="G111" s="59"/>
      <c r="H111" s="59"/>
      <c r="I111" s="676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</row>
    <row r="112" spans="2:31" ht="15" customHeight="1">
      <c r="B112" s="59"/>
      <c r="C112" s="59"/>
      <c r="D112" s="59"/>
      <c r="E112" s="59"/>
      <c r="F112" s="676"/>
      <c r="G112" s="59"/>
      <c r="H112" s="59"/>
      <c r="I112" s="676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</row>
    <row r="113" spans="2:31" ht="15" customHeight="1">
      <c r="B113" s="59"/>
      <c r="C113" s="59"/>
      <c r="D113" s="59"/>
      <c r="E113" s="59"/>
      <c r="F113" s="676"/>
      <c r="G113" s="59"/>
      <c r="H113" s="59"/>
      <c r="I113" s="676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</row>
    <row r="114" spans="2:31" ht="15" customHeight="1">
      <c r="B114" s="59"/>
      <c r="C114" s="59"/>
      <c r="D114" s="59"/>
      <c r="E114" s="59"/>
      <c r="F114" s="676"/>
      <c r="G114" s="59"/>
      <c r="H114" s="59"/>
      <c r="I114" s="676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</row>
    <row r="115" spans="2:31" ht="15" customHeight="1">
      <c r="B115" s="59"/>
      <c r="C115" s="59"/>
      <c r="D115" s="59"/>
      <c r="E115" s="59"/>
      <c r="F115" s="676"/>
      <c r="G115" s="59"/>
      <c r="H115" s="59"/>
      <c r="I115" s="676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</row>
    <row r="116" spans="2:31" ht="15" customHeight="1">
      <c r="B116" s="59"/>
      <c r="C116" s="59"/>
      <c r="D116" s="59"/>
      <c r="E116" s="59"/>
      <c r="F116" s="676"/>
      <c r="G116" s="59"/>
      <c r="H116" s="59"/>
      <c r="I116" s="676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</row>
    <row r="117" spans="2:31" ht="15" customHeight="1">
      <c r="B117" s="59"/>
      <c r="C117" s="59"/>
      <c r="D117" s="59"/>
      <c r="E117" s="59"/>
      <c r="F117" s="676"/>
      <c r="G117" s="59"/>
      <c r="H117" s="59"/>
      <c r="I117" s="676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</row>
    <row r="118" spans="2:31" ht="15" customHeight="1">
      <c r="B118" s="59"/>
      <c r="C118" s="59"/>
      <c r="D118" s="59"/>
      <c r="E118" s="59"/>
      <c r="F118" s="676"/>
      <c r="G118" s="59"/>
      <c r="H118" s="59"/>
      <c r="I118" s="676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</row>
    <row r="119" spans="2:31" ht="15" customHeight="1">
      <c r="B119" s="59"/>
      <c r="C119" s="59"/>
      <c r="D119" s="59"/>
      <c r="E119" s="59"/>
      <c r="F119" s="676"/>
      <c r="G119" s="59"/>
      <c r="H119" s="59"/>
      <c r="I119" s="676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</row>
    <row r="120" spans="2:31" ht="15" customHeight="1">
      <c r="B120" s="59"/>
      <c r="C120" s="59"/>
      <c r="D120" s="59"/>
      <c r="E120" s="59"/>
      <c r="F120" s="676"/>
      <c r="G120" s="59"/>
      <c r="H120" s="59"/>
      <c r="I120" s="676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</row>
    <row r="121" spans="2:31" ht="15" customHeight="1">
      <c r="B121" s="59"/>
      <c r="C121" s="59"/>
      <c r="D121" s="59"/>
      <c r="E121" s="59"/>
      <c r="F121" s="676"/>
      <c r="G121" s="59"/>
      <c r="H121" s="59"/>
      <c r="I121" s="676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</row>
    <row r="122" spans="2:31" ht="15" customHeight="1">
      <c r="B122" s="59"/>
      <c r="C122" s="59"/>
      <c r="D122" s="59"/>
      <c r="E122" s="59"/>
      <c r="F122" s="676"/>
      <c r="G122" s="59"/>
      <c r="H122" s="59"/>
      <c r="I122" s="676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</row>
    <row r="123" spans="2:31" ht="15" customHeight="1">
      <c r="B123" s="59"/>
      <c r="C123" s="59"/>
      <c r="D123" s="59"/>
      <c r="E123" s="59"/>
      <c r="F123" s="676"/>
      <c r="G123" s="59"/>
      <c r="H123" s="59"/>
      <c r="I123" s="676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</row>
    <row r="124" spans="2:31" ht="15" customHeight="1">
      <c r="B124" s="59"/>
      <c r="C124" s="59"/>
      <c r="D124" s="59"/>
      <c r="E124" s="59"/>
      <c r="F124" s="676"/>
      <c r="G124" s="59"/>
      <c r="H124" s="59"/>
      <c r="I124" s="676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</row>
    <row r="125" spans="2:31" ht="15" customHeight="1">
      <c r="B125" s="59"/>
      <c r="C125" s="59"/>
      <c r="D125" s="59"/>
      <c r="E125" s="59"/>
      <c r="F125" s="676"/>
      <c r="G125" s="59"/>
      <c r="H125" s="59"/>
      <c r="I125" s="676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</row>
    <row r="126" spans="2:31" ht="15" customHeight="1">
      <c r="B126" s="59"/>
      <c r="C126" s="59"/>
      <c r="D126" s="59"/>
      <c r="E126" s="59"/>
      <c r="F126" s="676"/>
      <c r="G126" s="59"/>
      <c r="H126" s="59"/>
      <c r="I126" s="676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</row>
    <row r="127" spans="2:31" ht="15" customHeight="1">
      <c r="B127" s="59"/>
      <c r="C127" s="59"/>
      <c r="D127" s="59"/>
      <c r="E127" s="59"/>
      <c r="F127" s="676"/>
      <c r="G127" s="59"/>
      <c r="H127" s="59"/>
      <c r="I127" s="676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</row>
    <row r="128" spans="2:31" ht="15" customHeight="1">
      <c r="B128" s="59"/>
      <c r="C128" s="59"/>
      <c r="D128" s="59"/>
      <c r="E128" s="59"/>
      <c r="F128" s="676"/>
      <c r="G128" s="59"/>
      <c r="H128" s="59"/>
      <c r="I128" s="676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</row>
    <row r="129" spans="2:31" ht="15" customHeight="1">
      <c r="B129" s="59"/>
      <c r="C129" s="59"/>
      <c r="D129" s="59"/>
      <c r="E129" s="59"/>
      <c r="F129" s="676"/>
      <c r="G129" s="59"/>
      <c r="H129" s="59"/>
      <c r="I129" s="676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</row>
    <row r="130" spans="2:31" ht="15" customHeight="1">
      <c r="B130" s="59"/>
      <c r="C130" s="59"/>
      <c r="D130" s="59"/>
      <c r="E130" s="59"/>
      <c r="F130" s="676"/>
      <c r="G130" s="59"/>
      <c r="H130" s="59"/>
      <c r="I130" s="676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</row>
    <row r="131" spans="2:31" ht="15" customHeight="1">
      <c r="B131" s="59"/>
      <c r="C131" s="59"/>
      <c r="D131" s="59"/>
      <c r="E131" s="59"/>
      <c r="F131" s="676"/>
      <c r="G131" s="59"/>
      <c r="H131" s="59"/>
      <c r="I131" s="676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</row>
    <row r="132" spans="2:31" ht="15" customHeight="1">
      <c r="B132" s="59"/>
      <c r="C132" s="59"/>
      <c r="D132" s="59"/>
      <c r="E132" s="59"/>
      <c r="F132" s="676"/>
      <c r="G132" s="59"/>
      <c r="H132" s="59"/>
      <c r="I132" s="676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</row>
    <row r="133" spans="2:31" ht="15" customHeight="1">
      <c r="B133" s="59"/>
      <c r="C133" s="59"/>
      <c r="D133" s="59"/>
      <c r="E133" s="59"/>
      <c r="F133" s="676"/>
      <c r="G133" s="59"/>
      <c r="H133" s="59"/>
      <c r="I133" s="676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</row>
    <row r="134" spans="2:31" ht="15" customHeight="1">
      <c r="B134" s="59"/>
      <c r="C134" s="59"/>
      <c r="D134" s="59"/>
      <c r="E134" s="59"/>
      <c r="F134" s="676"/>
      <c r="G134" s="59"/>
      <c r="H134" s="59"/>
      <c r="I134" s="676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</row>
    <row r="135" spans="2:31" ht="15" customHeight="1">
      <c r="B135" s="59"/>
      <c r="C135" s="59"/>
      <c r="D135" s="59"/>
      <c r="E135" s="59"/>
      <c r="F135" s="676"/>
      <c r="G135" s="59"/>
      <c r="H135" s="59"/>
      <c r="I135" s="676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</row>
    <row r="136" spans="2:31" ht="15" customHeight="1">
      <c r="B136" s="59"/>
      <c r="C136" s="59"/>
      <c r="D136" s="59"/>
      <c r="E136" s="59"/>
      <c r="F136" s="676"/>
      <c r="G136" s="59"/>
      <c r="H136" s="59"/>
      <c r="I136" s="676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</row>
    <row r="137" spans="2:31" ht="15" customHeight="1">
      <c r="B137" s="59"/>
      <c r="C137" s="59"/>
      <c r="D137" s="59"/>
      <c r="E137" s="59"/>
      <c r="F137" s="676"/>
      <c r="G137" s="59"/>
      <c r="H137" s="59"/>
      <c r="I137" s="676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</row>
    <row r="138" spans="2:31" ht="15" customHeight="1">
      <c r="B138" s="59"/>
      <c r="C138" s="59"/>
      <c r="D138" s="59"/>
      <c r="E138" s="59"/>
      <c r="F138" s="676"/>
      <c r="G138" s="59"/>
      <c r="H138" s="59"/>
      <c r="I138" s="676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</row>
    <row r="139" spans="2:31" ht="15" customHeight="1">
      <c r="B139" s="59"/>
      <c r="C139" s="59"/>
      <c r="D139" s="59"/>
      <c r="E139" s="59"/>
      <c r="F139" s="676"/>
      <c r="G139" s="59"/>
      <c r="H139" s="59"/>
      <c r="I139" s="676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</row>
    <row r="140" spans="2:31" ht="15" customHeight="1">
      <c r="B140" s="59"/>
      <c r="C140" s="59"/>
      <c r="D140" s="59"/>
      <c r="E140" s="59"/>
      <c r="F140" s="676"/>
      <c r="G140" s="59"/>
      <c r="H140" s="59"/>
      <c r="I140" s="676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</row>
    <row r="141" spans="2:31" ht="15" customHeight="1">
      <c r="B141" s="59"/>
      <c r="C141" s="59"/>
      <c r="D141" s="59"/>
      <c r="E141" s="59"/>
      <c r="F141" s="676"/>
      <c r="G141" s="59"/>
      <c r="H141" s="59"/>
      <c r="I141" s="676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</row>
    <row r="142" spans="2:31" ht="15" customHeight="1">
      <c r="B142" s="59"/>
      <c r="C142" s="59"/>
      <c r="D142" s="59"/>
      <c r="E142" s="59"/>
      <c r="F142" s="676"/>
      <c r="G142" s="59"/>
      <c r="H142" s="59"/>
      <c r="I142" s="676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</row>
    <row r="143" spans="2:31" ht="15" customHeight="1">
      <c r="B143" s="59"/>
      <c r="C143" s="59"/>
      <c r="D143" s="59"/>
      <c r="E143" s="59"/>
      <c r="F143" s="676"/>
      <c r="G143" s="59"/>
      <c r="H143" s="59"/>
      <c r="I143" s="676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</row>
    <row r="144" spans="2:31" ht="15" customHeight="1">
      <c r="B144" s="59"/>
      <c r="C144" s="59"/>
      <c r="D144" s="59"/>
      <c r="E144" s="59"/>
      <c r="F144" s="676"/>
      <c r="G144" s="59"/>
      <c r="H144" s="59"/>
      <c r="I144" s="676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</row>
    <row r="145" spans="2:31" ht="15" customHeight="1">
      <c r="B145" s="59"/>
      <c r="C145" s="59"/>
      <c r="D145" s="59"/>
      <c r="E145" s="59"/>
      <c r="F145" s="676"/>
      <c r="G145" s="59"/>
      <c r="H145" s="59"/>
      <c r="I145" s="676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</row>
    <row r="146" spans="2:31" ht="15" customHeight="1">
      <c r="B146" s="59"/>
      <c r="C146" s="59"/>
      <c r="D146" s="59"/>
      <c r="E146" s="59"/>
      <c r="F146" s="676"/>
      <c r="G146" s="59"/>
      <c r="H146" s="59"/>
      <c r="I146" s="676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</row>
    <row r="147" spans="2:31" ht="15" customHeight="1">
      <c r="B147" s="59"/>
      <c r="C147" s="59"/>
      <c r="D147" s="59"/>
      <c r="E147" s="59"/>
      <c r="F147" s="676"/>
      <c r="G147" s="59"/>
      <c r="H147" s="59"/>
      <c r="I147" s="676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</row>
    <row r="148" spans="2:31" ht="15" customHeight="1">
      <c r="B148" s="59"/>
      <c r="C148" s="59"/>
      <c r="D148" s="59"/>
      <c r="E148" s="59"/>
      <c r="F148" s="676"/>
      <c r="G148" s="59"/>
      <c r="H148" s="59"/>
      <c r="I148" s="676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</row>
    <row r="149" spans="2:31" ht="15" customHeight="1">
      <c r="B149" s="59"/>
      <c r="C149" s="59"/>
      <c r="D149" s="59"/>
      <c r="E149" s="59"/>
      <c r="F149" s="676"/>
      <c r="G149" s="59"/>
      <c r="H149" s="59"/>
      <c r="I149" s="676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</row>
    <row r="150" spans="2:31" ht="15" customHeight="1">
      <c r="B150" s="59"/>
      <c r="C150" s="59"/>
      <c r="D150" s="59"/>
      <c r="E150" s="59"/>
      <c r="F150" s="676"/>
      <c r="G150" s="59"/>
      <c r="H150" s="59"/>
      <c r="I150" s="676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</row>
    <row r="151" spans="2:31" ht="15" customHeight="1">
      <c r="B151" s="59"/>
      <c r="C151" s="59"/>
      <c r="D151" s="59"/>
      <c r="E151" s="59"/>
      <c r="F151" s="676"/>
      <c r="G151" s="59"/>
      <c r="H151" s="59"/>
      <c r="I151" s="676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</row>
    <row r="152" spans="2:31" ht="15" customHeight="1">
      <c r="B152" s="59"/>
      <c r="C152" s="59"/>
      <c r="D152" s="59"/>
      <c r="E152" s="59"/>
      <c r="F152" s="676"/>
      <c r="G152" s="59"/>
      <c r="H152" s="59"/>
      <c r="I152" s="676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</row>
    <row r="153" spans="2:31" ht="15" customHeight="1">
      <c r="B153" s="59"/>
      <c r="C153" s="59"/>
      <c r="D153" s="59"/>
      <c r="E153" s="59"/>
      <c r="F153" s="676"/>
      <c r="G153" s="59"/>
      <c r="H153" s="59"/>
      <c r="I153" s="676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</row>
    <row r="154" spans="2:31" ht="15" customHeight="1">
      <c r="B154" s="59"/>
      <c r="C154" s="59"/>
      <c r="D154" s="59"/>
      <c r="E154" s="59"/>
      <c r="F154" s="676"/>
      <c r="G154" s="59"/>
      <c r="H154" s="59"/>
      <c r="I154" s="676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</row>
    <row r="155" spans="2:31" ht="15" customHeight="1">
      <c r="B155" s="59"/>
      <c r="C155" s="59"/>
      <c r="D155" s="59"/>
      <c r="E155" s="59"/>
      <c r="F155" s="676"/>
      <c r="G155" s="59"/>
      <c r="H155" s="59"/>
      <c r="I155" s="676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</row>
    <row r="156" spans="2:31" ht="15" customHeight="1">
      <c r="B156" s="59"/>
      <c r="C156" s="59"/>
      <c r="D156" s="59"/>
      <c r="E156" s="59"/>
      <c r="F156" s="676"/>
      <c r="G156" s="59"/>
      <c r="H156" s="59"/>
      <c r="I156" s="676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</row>
    <row r="157" spans="2:31" ht="15" customHeight="1">
      <c r="B157" s="59"/>
      <c r="C157" s="59"/>
      <c r="D157" s="59"/>
      <c r="E157" s="59"/>
      <c r="F157" s="676"/>
      <c r="G157" s="59"/>
      <c r="H157" s="59"/>
      <c r="I157" s="676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</row>
    <row r="158" spans="2:31" ht="15" customHeight="1">
      <c r="B158" s="59"/>
      <c r="C158" s="59"/>
      <c r="D158" s="59"/>
      <c r="E158" s="59"/>
      <c r="F158" s="676"/>
      <c r="G158" s="59"/>
      <c r="H158" s="59"/>
      <c r="I158" s="676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</row>
    <row r="159" spans="2:31" ht="15" customHeight="1">
      <c r="B159" s="59"/>
      <c r="C159" s="59"/>
      <c r="D159" s="59"/>
      <c r="E159" s="59"/>
      <c r="F159" s="676"/>
      <c r="G159" s="59"/>
      <c r="H159" s="59"/>
      <c r="I159" s="676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</row>
    <row r="160" spans="2:31" ht="15" customHeight="1">
      <c r="B160" s="59"/>
      <c r="C160" s="59"/>
      <c r="D160" s="59"/>
      <c r="E160" s="59"/>
      <c r="F160" s="676"/>
      <c r="G160" s="59"/>
      <c r="H160" s="59"/>
      <c r="I160" s="676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</row>
    <row r="161" spans="2:31" ht="15" customHeight="1">
      <c r="B161" s="59"/>
      <c r="C161" s="59"/>
      <c r="D161" s="59"/>
      <c r="E161" s="59"/>
      <c r="F161" s="676"/>
      <c r="G161" s="59"/>
      <c r="H161" s="59"/>
      <c r="I161" s="676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</row>
    <row r="162" spans="2:31" ht="15" customHeight="1">
      <c r="B162" s="59"/>
      <c r="C162" s="59"/>
      <c r="D162" s="59"/>
      <c r="E162" s="59"/>
      <c r="F162" s="676"/>
      <c r="G162" s="59"/>
      <c r="H162" s="59"/>
      <c r="I162" s="676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</row>
    <row r="163" spans="2:31" ht="15" customHeight="1">
      <c r="B163" s="59"/>
      <c r="C163" s="59"/>
      <c r="D163" s="59"/>
      <c r="E163" s="59"/>
      <c r="F163" s="676"/>
      <c r="G163" s="59"/>
      <c r="H163" s="59"/>
      <c r="I163" s="676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</row>
    <row r="164" spans="2:31" ht="15" customHeight="1">
      <c r="B164" s="59"/>
      <c r="C164" s="59"/>
      <c r="D164" s="59"/>
      <c r="E164" s="59"/>
      <c r="F164" s="676"/>
      <c r="G164" s="59"/>
      <c r="H164" s="59"/>
      <c r="I164" s="676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</row>
    <row r="165" spans="2:31" ht="15" customHeight="1">
      <c r="B165" s="59"/>
      <c r="C165" s="59"/>
      <c r="D165" s="59"/>
      <c r="E165" s="59"/>
      <c r="F165" s="676"/>
      <c r="G165" s="59"/>
      <c r="H165" s="59"/>
      <c r="I165" s="676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</row>
    <row r="166" spans="2:31" ht="15" customHeight="1"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</row>
    <row r="167" spans="2:31" ht="15" customHeight="1"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</row>
    <row r="168" spans="2:31" ht="15" customHeight="1"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</row>
    <row r="169" spans="2:31" ht="15" customHeight="1"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</row>
    <row r="170" spans="2:31" ht="15" customHeight="1"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</row>
    <row r="171" spans="2:31" ht="15" customHeight="1"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</row>
    <row r="172" spans="2:31" ht="15" customHeight="1"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</row>
    <row r="173" spans="2:31" ht="15" customHeight="1"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</row>
    <row r="174" spans="2:31" ht="15" customHeight="1"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</row>
    <row r="175" spans="2:31" ht="15" customHeight="1"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</row>
    <row r="176" spans="2:31" ht="15" customHeight="1"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</row>
    <row r="177" spans="11:31" ht="15" customHeight="1"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</row>
    <row r="178" spans="11:31" ht="15" customHeight="1"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</row>
    <row r="179" spans="11:31" ht="15" customHeight="1"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</row>
    <row r="180" spans="11:31" ht="15" customHeight="1"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</row>
    <row r="181" spans="11:31" ht="15" customHeight="1"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</row>
    <row r="182" spans="11:31" ht="15" customHeight="1"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</row>
    <row r="183" spans="11:31" ht="15" customHeight="1"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</row>
    <row r="184" spans="11:31" ht="15" customHeight="1"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</row>
    <row r="185" spans="11:31" ht="15" customHeight="1"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</row>
    <row r="186" spans="11:31" ht="15" customHeight="1"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</row>
    <row r="187" spans="11:31" ht="15" customHeight="1"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</row>
    <row r="188" spans="11:31" ht="15" customHeight="1"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</row>
    <row r="189" spans="11:31" ht="15" customHeight="1"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</row>
    <row r="190" spans="11:31" ht="15" customHeight="1"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</row>
    <row r="191" spans="11:31" ht="15" customHeight="1"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</row>
    <row r="192" spans="11:31" ht="15" customHeight="1"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</row>
    <row r="193" spans="11:31" ht="15" customHeight="1"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</row>
    <row r="194" spans="11:31" ht="15" customHeight="1"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</row>
    <row r="195" spans="11:31" ht="15" customHeight="1"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</row>
    <row r="196" spans="11:31" ht="15" customHeight="1"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</row>
    <row r="197" spans="11:31" ht="15" customHeight="1"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</row>
    <row r="198" spans="11:31" ht="15" customHeight="1"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</row>
    <row r="199" spans="11:31" ht="15" customHeight="1"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</row>
    <row r="200" spans="11:31" ht="15" customHeight="1"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</row>
    <row r="201" spans="11:31" ht="15" customHeight="1"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</row>
    <row r="202" spans="11:31" ht="15" customHeight="1"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</row>
    <row r="203" spans="11:31" ht="15" customHeight="1"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</row>
    <row r="204" spans="11:31" ht="15" customHeight="1"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</row>
    <row r="205" spans="11:31" ht="15" customHeight="1"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</row>
    <row r="206" spans="11:31" ht="15" customHeight="1"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</row>
    <row r="207" spans="11:31" ht="15" customHeight="1"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</row>
    <row r="208" spans="11:31" ht="15" customHeight="1"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</row>
    <row r="209" spans="11:31" ht="15" customHeight="1"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</row>
    <row r="210" spans="11:31" ht="15" customHeight="1"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</row>
    <row r="211" spans="11:31" ht="15" customHeight="1"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</row>
    <row r="212" spans="11:31" ht="15" customHeight="1"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</row>
    <row r="213" spans="11:31" ht="15" customHeight="1"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</row>
    <row r="214" spans="11:31" ht="15" customHeight="1"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</row>
    <row r="215" spans="11:31" ht="15" customHeight="1"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</row>
    <row r="216" spans="11:31" ht="15" customHeight="1"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</row>
    <row r="217" spans="11:31" ht="15" customHeight="1"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</row>
    <row r="218" spans="11:31" ht="15" customHeight="1"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</row>
    <row r="219" spans="11:31" ht="15" customHeight="1"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</row>
    <row r="220" spans="11:31" ht="15" customHeight="1"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</row>
    <row r="221" spans="11:31" ht="15" customHeight="1"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</row>
    <row r="222" spans="11:31" ht="15" customHeight="1"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</row>
    <row r="223" spans="11:31" ht="15" customHeight="1"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</row>
    <row r="224" spans="11:31" ht="15" customHeight="1"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</row>
    <row r="225" spans="11:31" ht="15" customHeight="1"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</row>
    <row r="226" spans="11:31" ht="15" customHeight="1"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</row>
    <row r="227" spans="11:31" ht="15" customHeight="1"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</row>
    <row r="228" spans="11:31" ht="15" customHeight="1"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</row>
    <row r="229" spans="11:31" ht="15" customHeight="1"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</row>
    <row r="230" spans="11:31" ht="15" customHeight="1"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</row>
    <row r="231" spans="11:31" ht="15" customHeight="1"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</row>
    <row r="232" spans="11:31" ht="15" customHeight="1"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</row>
    <row r="233" spans="11:31" ht="15" customHeight="1"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</row>
    <row r="234" spans="11:31" ht="15" customHeight="1"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</row>
    <row r="235" spans="11:31" ht="15" customHeight="1"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</row>
    <row r="236" spans="11:31" ht="15" customHeight="1"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</row>
    <row r="237" spans="11:31" ht="15" customHeight="1"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</row>
    <row r="238" spans="11:31" ht="15" customHeight="1"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</row>
    <row r="239" spans="11:31" ht="15" customHeight="1"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</row>
    <row r="240" spans="11:31" ht="15" customHeight="1"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</row>
    <row r="241" spans="11:31" ht="15" customHeight="1"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</row>
    <row r="242" spans="11:31" ht="15" customHeight="1"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</row>
    <row r="243" spans="11:31" ht="15" customHeight="1"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</row>
    <row r="244" spans="11:31" ht="15" customHeight="1"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</row>
    <row r="245" spans="11:31" ht="15" customHeight="1"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</row>
    <row r="246" spans="11:31" ht="15" customHeight="1"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</row>
    <row r="247" spans="11:31" ht="15" customHeight="1"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</row>
    <row r="248" spans="11:31" ht="15" customHeight="1"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</row>
    <row r="249" spans="11:31" ht="15" customHeight="1"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</row>
    <row r="250" spans="11:31" ht="15" customHeight="1"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</row>
    <row r="251" spans="11:31" ht="15" customHeight="1"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</row>
    <row r="252" spans="11:31" ht="15" customHeight="1"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</row>
    <row r="253" spans="11:31" ht="15" customHeight="1"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</row>
    <row r="254" spans="11:31" ht="15" customHeight="1"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</row>
    <row r="255" spans="11:31" ht="15" customHeight="1"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</row>
    <row r="256" spans="11:31" ht="15" customHeight="1"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</row>
    <row r="257" spans="11:31" ht="15" customHeight="1"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</row>
    <row r="258" spans="11:31" ht="15" customHeight="1"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</row>
    <row r="259" spans="11:31" ht="15" customHeight="1"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</row>
    <row r="260" spans="11:31" ht="15" customHeight="1"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</row>
    <row r="261" spans="11:31" ht="15" customHeight="1"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</row>
    <row r="262" spans="11:31" ht="15" customHeight="1"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</row>
    <row r="263" spans="11:31" ht="15" customHeight="1"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</row>
    <row r="264" spans="11:31" ht="15" customHeight="1"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</row>
    <row r="265" spans="11:31" ht="15" customHeight="1"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</row>
    <row r="266" spans="11:31" ht="15" customHeight="1"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</row>
    <row r="267" spans="11:31" ht="15" customHeight="1"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</row>
    <row r="268" spans="11:31" ht="15" customHeight="1"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</row>
    <row r="269" spans="11:31" ht="15" customHeight="1"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</row>
    <row r="270" spans="11:31" ht="15" customHeight="1"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</row>
    <row r="271" spans="11:31" ht="15" customHeight="1"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</row>
    <row r="272" spans="11:31" ht="15" customHeight="1"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</row>
    <row r="273" spans="11:31" ht="15" customHeight="1"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</row>
    <row r="274" spans="11:31" ht="15" customHeight="1"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</row>
    <row r="275" spans="11:31" ht="15" customHeight="1"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</row>
    <row r="276" spans="11:31" ht="15" customHeight="1"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</row>
    <row r="277" spans="11:31" ht="15" customHeight="1"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</row>
    <row r="278" spans="11:31" ht="15" customHeight="1"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</row>
    <row r="279" spans="11:31" ht="15" customHeight="1"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</row>
    <row r="280" spans="11:31" ht="15" customHeight="1"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</row>
    <row r="281" spans="11:31" ht="15" customHeight="1"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</row>
    <row r="282" spans="11:31" ht="15" customHeight="1"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</row>
    <row r="283" spans="11:31" ht="15" customHeight="1"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</row>
    <row r="284" spans="11:31" ht="15" customHeight="1"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</row>
    <row r="285" spans="11:31" ht="15" customHeight="1"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</row>
    <row r="286" spans="11:31" ht="15" customHeight="1"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</row>
    <row r="287" spans="11:31" ht="15" customHeight="1"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</row>
    <row r="288" spans="11:31" ht="15" customHeight="1"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</row>
    <row r="289" spans="11:31" ht="15" customHeight="1"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</row>
    <row r="290" spans="11:31" ht="15" customHeight="1"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</row>
    <row r="291" spans="11:31" ht="15" customHeight="1"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</row>
    <row r="292" spans="11:31" ht="15" customHeight="1"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</row>
    <row r="293" spans="11:31" ht="15" customHeight="1"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</row>
    <row r="294" spans="11:31" ht="15" customHeight="1"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</row>
    <row r="295" spans="11:31" ht="15" customHeight="1"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</row>
    <row r="296" spans="11:31" ht="15" customHeight="1"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</row>
    <row r="297" spans="11:31" ht="15" customHeight="1"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</row>
    <row r="298" spans="11:31" ht="15" customHeight="1"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</row>
    <row r="299" spans="11:31" ht="15" customHeight="1"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</row>
    <row r="300" spans="11:31" ht="15" customHeight="1"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</row>
    <row r="301" spans="11:31" ht="15" customHeight="1"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</row>
    <row r="302" spans="11:31" ht="15" customHeight="1"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</row>
  </sheetData>
  <mergeCells count="5">
    <mergeCell ref="B1:H4"/>
    <mergeCell ref="B10:H10"/>
    <mergeCell ref="B45:H45"/>
    <mergeCell ref="B5:I5"/>
    <mergeCell ref="B6:I6"/>
  </mergeCells>
  <phoneticPr fontId="0" type="noConversion"/>
  <pageMargins left="0.73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R96"/>
  <sheetViews>
    <sheetView zoomScaleNormal="100" zoomScaleSheetLayoutView="100" workbookViewId="0">
      <selection activeCell="S22" sqref="S2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735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507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81</v>
      </c>
      <c r="E7" s="653" t="s">
        <v>798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1077850</v>
      </c>
      <c r="J8" s="537">
        <f t="shared" ref="J8" si="1">SUM(J9:J12)</f>
        <v>1067850</v>
      </c>
      <c r="K8" s="537">
        <f>SUM(K9:K11)</f>
        <v>1010450</v>
      </c>
      <c r="L8" s="564">
        <f>SUM(L9:L12)</f>
        <v>1067432</v>
      </c>
      <c r="M8" s="233">
        <f>SUM(M9:M12)</f>
        <v>0</v>
      </c>
      <c r="N8" s="741">
        <f>SUM(N9:N12)</f>
        <v>1067432</v>
      </c>
      <c r="O8" s="714">
        <f>IF(J8=0,"",N8/J8*100)</f>
        <v>99.960855925457693</v>
      </c>
      <c r="P8" s="719">
        <f>IF(K8=0,"",N8/K8*100)</f>
        <v>105.63926963234202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904810</v>
      </c>
      <c r="J9" s="538">
        <v>902310</v>
      </c>
      <c r="K9" s="538">
        <v>834984</v>
      </c>
      <c r="L9" s="611">
        <v>902068</v>
      </c>
      <c r="M9" s="235">
        <v>0</v>
      </c>
      <c r="N9" s="742">
        <f>SUM(L9:M9)</f>
        <v>902068</v>
      </c>
      <c r="O9" s="715">
        <f>IF(J9=0,"",N9/J9*100)</f>
        <v>99.973179949241384</v>
      </c>
      <c r="P9" s="720">
        <f t="shared" ref="P9:P33" si="2">IF(K9=0,"",N9/K9*100)</f>
        <v>108.03416592413745</v>
      </c>
      <c r="Q9" s="77"/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173040</v>
      </c>
      <c r="J10" s="538">
        <v>165540</v>
      </c>
      <c r="K10" s="538">
        <v>175466</v>
      </c>
      <c r="L10" s="611">
        <v>165364</v>
      </c>
      <c r="M10" s="235">
        <v>0</v>
      </c>
      <c r="N10" s="742">
        <f t="shared" ref="N10:N11" si="3">SUM(L10:M10)</f>
        <v>165364</v>
      </c>
      <c r="O10" s="715">
        <f t="shared" ref="O10:P35" si="4">IF(J10=0,"",N10/J10*100)</f>
        <v>99.893681285489905</v>
      </c>
      <c r="P10" s="720">
        <f t="shared" si="2"/>
        <v>94.242759281000303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96510</v>
      </c>
      <c r="J13" s="537">
        <f t="shared" si="6"/>
        <v>96510</v>
      </c>
      <c r="K13" s="537">
        <f>K14</f>
        <v>90385</v>
      </c>
      <c r="L13" s="564">
        <f>L14</f>
        <v>95569</v>
      </c>
      <c r="M13" s="233">
        <f>M14</f>
        <v>0</v>
      </c>
      <c r="N13" s="741">
        <f>N14</f>
        <v>95569</v>
      </c>
      <c r="O13" s="714">
        <f t="shared" si="4"/>
        <v>99.024971505543462</v>
      </c>
      <c r="P13" s="719">
        <f t="shared" si="2"/>
        <v>105.73546495546829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96510</v>
      </c>
      <c r="J14" s="538">
        <v>96510</v>
      </c>
      <c r="K14" s="538">
        <v>90385</v>
      </c>
      <c r="L14" s="611">
        <v>95569</v>
      </c>
      <c r="M14" s="235">
        <v>0</v>
      </c>
      <c r="N14" s="742">
        <f>SUM(L14:M14)</f>
        <v>95569</v>
      </c>
      <c r="O14" s="715">
        <f t="shared" si="4"/>
        <v>99.024971505543462</v>
      </c>
      <c r="P14" s="720">
        <f t="shared" si="2"/>
        <v>105.73546495546829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88540</v>
      </c>
      <c r="J16" s="537">
        <f t="shared" ref="J16" si="8">SUM(J17:J26)</f>
        <v>88540</v>
      </c>
      <c r="K16" s="537">
        <f>SUM(K17:K26)</f>
        <v>97035</v>
      </c>
      <c r="L16" s="567">
        <f>SUM(L17:L26)</f>
        <v>83444</v>
      </c>
      <c r="M16" s="316">
        <f>SUM(M17:M26)</f>
        <v>1285</v>
      </c>
      <c r="N16" s="732">
        <f>SUM(N17:N26)</f>
        <v>84729</v>
      </c>
      <c r="O16" s="714">
        <f t="shared" si="4"/>
        <v>95.695730743166934</v>
      </c>
      <c r="P16" s="719">
        <f t="shared" si="2"/>
        <v>87.317978049157517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50</v>
      </c>
      <c r="J17" s="538">
        <v>50</v>
      </c>
      <c r="K17" s="538">
        <v>3630</v>
      </c>
      <c r="L17" s="552">
        <v>13</v>
      </c>
      <c r="M17" s="388">
        <v>0</v>
      </c>
      <c r="N17" s="742">
        <f t="shared" ref="N17:N26" si="9">SUM(L17:M17)</f>
        <v>13</v>
      </c>
      <c r="O17" s="715">
        <f t="shared" si="4"/>
        <v>26</v>
      </c>
      <c r="P17" s="720">
        <f t="shared" si="2"/>
        <v>0.35812672176308541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36000</v>
      </c>
      <c r="J18" s="538">
        <v>36000</v>
      </c>
      <c r="K18" s="538">
        <v>36268</v>
      </c>
      <c r="L18" s="552">
        <v>35867</v>
      </c>
      <c r="M18" s="388">
        <v>0</v>
      </c>
      <c r="N18" s="742">
        <f t="shared" si="9"/>
        <v>35867</v>
      </c>
      <c r="O18" s="715">
        <f t="shared" si="4"/>
        <v>99.63055555555556</v>
      </c>
      <c r="P18" s="720">
        <f t="shared" si="2"/>
        <v>98.894342119775004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6800</v>
      </c>
      <c r="J19" s="538">
        <v>6800</v>
      </c>
      <c r="K19" s="538">
        <v>5200</v>
      </c>
      <c r="L19" s="552">
        <v>6713</v>
      </c>
      <c r="M19" s="388">
        <v>0</v>
      </c>
      <c r="N19" s="742">
        <f t="shared" si="9"/>
        <v>6713</v>
      </c>
      <c r="O19" s="715">
        <f t="shared" si="4"/>
        <v>98.720588235294116</v>
      </c>
      <c r="P19" s="720">
        <f t="shared" si="2"/>
        <v>129.09615384615384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13290</v>
      </c>
      <c r="J20" s="538">
        <v>13290</v>
      </c>
      <c r="K20" s="538">
        <v>13029</v>
      </c>
      <c r="L20" s="552">
        <f>12167-1285</f>
        <v>10882</v>
      </c>
      <c r="M20" s="388">
        <v>1285</v>
      </c>
      <c r="N20" s="742">
        <f t="shared" si="9"/>
        <v>12167</v>
      </c>
      <c r="O20" s="715">
        <f t="shared" si="4"/>
        <v>91.550037622272384</v>
      </c>
      <c r="P20" s="720">
        <f t="shared" si="2"/>
        <v>93.383989561746873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200</v>
      </c>
      <c r="J21" s="538">
        <v>200</v>
      </c>
      <c r="K21" s="538">
        <v>152</v>
      </c>
      <c r="L21" s="552">
        <v>114</v>
      </c>
      <c r="M21" s="388">
        <v>0</v>
      </c>
      <c r="N21" s="742">
        <f t="shared" si="9"/>
        <v>114</v>
      </c>
      <c r="O21" s="715">
        <f t="shared" si="4"/>
        <v>56.999999999999993</v>
      </c>
      <c r="P21" s="720">
        <f t="shared" si="2"/>
        <v>75</v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6700</v>
      </c>
      <c r="J23" s="538">
        <v>6700</v>
      </c>
      <c r="K23" s="538">
        <v>4758</v>
      </c>
      <c r="L23" s="552">
        <v>5295</v>
      </c>
      <c r="M23" s="388">
        <v>0</v>
      </c>
      <c r="N23" s="742">
        <f t="shared" si="9"/>
        <v>5295</v>
      </c>
      <c r="O23" s="715">
        <f t="shared" si="4"/>
        <v>79.029850746268664</v>
      </c>
      <c r="P23" s="720">
        <f t="shared" si="2"/>
        <v>111.28625472887768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25500</v>
      </c>
      <c r="J25" s="538">
        <v>25500</v>
      </c>
      <c r="K25" s="538">
        <v>33998</v>
      </c>
      <c r="L25" s="552">
        <v>24560</v>
      </c>
      <c r="M25" s="388">
        <v>0</v>
      </c>
      <c r="N25" s="742">
        <f t="shared" si="9"/>
        <v>24560</v>
      </c>
      <c r="O25" s="715">
        <f t="shared" si="4"/>
        <v>96.313725490196077</v>
      </c>
      <c r="P25" s="720">
        <f t="shared" si="2"/>
        <v>72.239543502558973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552"/>
      <c r="M27" s="388"/>
      <c r="N27" s="765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5000</v>
      </c>
      <c r="J28" s="537">
        <f t="shared" ref="J28" si="12">SUM(J29:J30)</f>
        <v>5000</v>
      </c>
      <c r="K28" s="537">
        <f>SUM(K29:K30)</f>
        <v>4847</v>
      </c>
      <c r="L28" s="574">
        <f>SUM(L29:L30)</f>
        <v>4899</v>
      </c>
      <c r="M28" s="318">
        <f>SUM(M29:M30)</f>
        <v>0</v>
      </c>
      <c r="N28" s="732">
        <f>SUM(N29:N30)</f>
        <v>4899</v>
      </c>
      <c r="O28" s="714">
        <f t="shared" si="4"/>
        <v>97.98</v>
      </c>
      <c r="P28" s="719">
        <f t="shared" si="2"/>
        <v>101.07282855374457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0</v>
      </c>
      <c r="J29" s="538">
        <v>0</v>
      </c>
      <c r="K29" s="538">
        <v>0</v>
      </c>
      <c r="L29" s="608">
        <v>0</v>
      </c>
      <c r="M29" s="319">
        <v>0</v>
      </c>
      <c r="N29" s="742">
        <f t="shared" ref="N29:N30" si="13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5000</v>
      </c>
      <c r="J30" s="538">
        <v>5000</v>
      </c>
      <c r="K30" s="538">
        <v>4847</v>
      </c>
      <c r="L30" s="608">
        <v>4899</v>
      </c>
      <c r="M30" s="319">
        <v>0</v>
      </c>
      <c r="N30" s="742">
        <f t="shared" si="13"/>
        <v>4899</v>
      </c>
      <c r="O30" s="715">
        <f t="shared" si="4"/>
        <v>97.98</v>
      </c>
      <c r="P30" s="720">
        <f t="shared" si="2"/>
        <v>101.07282855374457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8"/>
      <c r="M31" s="319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892</v>
      </c>
      <c r="J32" s="539"/>
      <c r="K32" s="539" t="s">
        <v>892</v>
      </c>
      <c r="L32" s="570" t="s">
        <v>892</v>
      </c>
      <c r="M32" s="301"/>
      <c r="N32" s="744" t="s">
        <v>892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1267900</v>
      </c>
      <c r="J33" s="311">
        <f>J8+J13+J16+J28</f>
        <v>1257900</v>
      </c>
      <c r="K33" s="561">
        <f t="shared" ref="K33" si="14">K8+K13+K16+K28</f>
        <v>1202717</v>
      </c>
      <c r="L33" s="568">
        <f>L8+L13+L16+L28</f>
        <v>1251344</v>
      </c>
      <c r="M33" s="311">
        <f>M8+M13+M16+M28</f>
        <v>1285</v>
      </c>
      <c r="N33" s="732">
        <f>N8+N13+N16+N28</f>
        <v>1252629</v>
      </c>
      <c r="O33" s="714">
        <f t="shared" si="4"/>
        <v>99.580968280467445</v>
      </c>
      <c r="P33" s="719">
        <f t="shared" si="2"/>
        <v>104.1499371838928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B44" s="55"/>
      <c r="F44" s="330"/>
      <c r="G44" s="356"/>
      <c r="N44" s="410"/>
    </row>
    <row r="45" spans="1:16" ht="12.95" customHeight="1">
      <c r="B45" s="55"/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754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113</v>
      </c>
      <c r="E7" s="653" t="s">
        <v>798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2309800</v>
      </c>
      <c r="J8" s="537">
        <f t="shared" ref="J8" si="1">SUM(J9:J12)</f>
        <v>2290300</v>
      </c>
      <c r="K8" s="537">
        <f>SUM(K9:K11)</f>
        <v>2177447</v>
      </c>
      <c r="L8" s="564">
        <f>SUM(L9:L12)</f>
        <v>2289635</v>
      </c>
      <c r="M8" s="233">
        <f>SUM(M9:M12)</f>
        <v>0</v>
      </c>
      <c r="N8" s="741">
        <f>SUM(N9:N12)</f>
        <v>2289635</v>
      </c>
      <c r="O8" s="714">
        <f>IF(J8=0,"",N8/J8*100)</f>
        <v>99.970964502466927</v>
      </c>
      <c r="P8" s="719">
        <f>IF(K8=0,"",N8/K8*100)</f>
        <v>105.15227236300126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1907880</v>
      </c>
      <c r="J9" s="538">
        <v>1895880</v>
      </c>
      <c r="K9" s="538">
        <v>1792429</v>
      </c>
      <c r="L9" s="565">
        <v>1895408</v>
      </c>
      <c r="M9" s="232">
        <v>0</v>
      </c>
      <c r="N9" s="742">
        <f>SUM(L9:M9)</f>
        <v>1895408</v>
      </c>
      <c r="O9" s="715">
        <f>IF(J9=0,"",N9/J9*100)</f>
        <v>99.975103909530134</v>
      </c>
      <c r="P9" s="720">
        <f t="shared" ref="P9:P33" si="2">IF(K9=0,"",N9/K9*100)</f>
        <v>105.74522059172217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401920</v>
      </c>
      <c r="J10" s="538">
        <v>394420</v>
      </c>
      <c r="K10" s="538">
        <v>385018</v>
      </c>
      <c r="L10" s="565">
        <v>394227</v>
      </c>
      <c r="M10" s="232">
        <v>0</v>
      </c>
      <c r="N10" s="742">
        <f t="shared" ref="N10:N11" si="3">SUM(L10:M10)</f>
        <v>394227</v>
      </c>
      <c r="O10" s="715">
        <f t="shared" ref="O10:P35" si="4">IF(J10=0,"",N10/J10*100)</f>
        <v>99.951067390091779</v>
      </c>
      <c r="P10" s="720">
        <f t="shared" si="2"/>
        <v>102.39183622583879</v>
      </c>
      <c r="R10" s="63"/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205910</v>
      </c>
      <c r="J13" s="537">
        <f t="shared" si="6"/>
        <v>202910</v>
      </c>
      <c r="K13" s="537">
        <f>K14</f>
        <v>195651</v>
      </c>
      <c r="L13" s="564">
        <f>L14</f>
        <v>202816</v>
      </c>
      <c r="M13" s="233">
        <f>M14</f>
        <v>0</v>
      </c>
      <c r="N13" s="741">
        <f>N14</f>
        <v>202816</v>
      </c>
      <c r="O13" s="714">
        <f t="shared" si="4"/>
        <v>99.953674042679026</v>
      </c>
      <c r="P13" s="719">
        <f t="shared" si="2"/>
        <v>103.66213308390961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205910</v>
      </c>
      <c r="J14" s="538">
        <v>202910</v>
      </c>
      <c r="K14" s="538">
        <v>195651</v>
      </c>
      <c r="L14" s="565">
        <v>202816</v>
      </c>
      <c r="M14" s="232">
        <v>0</v>
      </c>
      <c r="N14" s="742">
        <f>SUM(L14:M14)</f>
        <v>202816</v>
      </c>
      <c r="O14" s="715">
        <f t="shared" si="4"/>
        <v>99.953674042679026</v>
      </c>
      <c r="P14" s="720">
        <f t="shared" si="2"/>
        <v>103.66213308390961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9"/>
      <c r="M15" s="303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176900</v>
      </c>
      <c r="J16" s="537">
        <f t="shared" ref="J16" si="8">SUM(J17:J26)</f>
        <v>176900</v>
      </c>
      <c r="K16" s="537">
        <f>SUM(K17:K26)</f>
        <v>195033</v>
      </c>
      <c r="L16" s="567">
        <f>SUM(L17:L26)</f>
        <v>169783</v>
      </c>
      <c r="M16" s="316">
        <f>SUM(M17:M26)</f>
        <v>0</v>
      </c>
      <c r="N16" s="732">
        <f>SUM(N17:N26)</f>
        <v>169783</v>
      </c>
      <c r="O16" s="714">
        <f t="shared" si="4"/>
        <v>95.976823063877887</v>
      </c>
      <c r="P16" s="719">
        <f t="shared" si="2"/>
        <v>87.053473002004793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2200</v>
      </c>
      <c r="J17" s="538">
        <v>2200</v>
      </c>
      <c r="K17" s="538">
        <v>6908</v>
      </c>
      <c r="L17" s="550">
        <v>1686</v>
      </c>
      <c r="M17" s="385">
        <v>0</v>
      </c>
      <c r="N17" s="742">
        <f t="shared" ref="N17:N26" si="9">SUM(L17:M17)</f>
        <v>1686</v>
      </c>
      <c r="O17" s="715">
        <f t="shared" si="4"/>
        <v>76.63636363636364</v>
      </c>
      <c r="P17" s="720">
        <f t="shared" si="2"/>
        <v>24.406485234510711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80000</v>
      </c>
      <c r="J18" s="538">
        <v>80000</v>
      </c>
      <c r="K18" s="538">
        <v>82847</v>
      </c>
      <c r="L18" s="550">
        <v>79725</v>
      </c>
      <c r="M18" s="385">
        <v>0</v>
      </c>
      <c r="N18" s="742">
        <f t="shared" si="9"/>
        <v>79725</v>
      </c>
      <c r="O18" s="715">
        <f t="shared" si="4"/>
        <v>99.65625</v>
      </c>
      <c r="P18" s="720">
        <f t="shared" si="2"/>
        <v>96.231607662317288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9200</v>
      </c>
      <c r="J19" s="538">
        <v>9200</v>
      </c>
      <c r="K19" s="538">
        <v>9133</v>
      </c>
      <c r="L19" s="550">
        <v>8931</v>
      </c>
      <c r="M19" s="385">
        <v>0</v>
      </c>
      <c r="N19" s="742">
        <f t="shared" si="9"/>
        <v>8931</v>
      </c>
      <c r="O19" s="715">
        <f t="shared" si="4"/>
        <v>97.076086956521735</v>
      </c>
      <c r="P19" s="720">
        <f t="shared" si="2"/>
        <v>97.788240446731635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16500</v>
      </c>
      <c r="J20" s="538">
        <v>16500</v>
      </c>
      <c r="K20" s="538">
        <v>17644</v>
      </c>
      <c r="L20" s="549">
        <v>15121</v>
      </c>
      <c r="M20" s="387">
        <v>0</v>
      </c>
      <c r="N20" s="742">
        <f t="shared" si="9"/>
        <v>15121</v>
      </c>
      <c r="O20" s="715">
        <f t="shared" si="4"/>
        <v>91.642424242424241</v>
      </c>
      <c r="P20" s="720">
        <f t="shared" si="2"/>
        <v>85.70052142371344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1500</v>
      </c>
      <c r="J21" s="538">
        <v>1500</v>
      </c>
      <c r="K21" s="538">
        <v>980</v>
      </c>
      <c r="L21" s="549">
        <v>926</v>
      </c>
      <c r="M21" s="387">
        <v>0</v>
      </c>
      <c r="N21" s="742">
        <f t="shared" si="9"/>
        <v>926</v>
      </c>
      <c r="O21" s="715">
        <f t="shared" si="4"/>
        <v>61.733333333333327</v>
      </c>
      <c r="P21" s="720">
        <f t="shared" si="2"/>
        <v>94.489795918367349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49">
        <v>0</v>
      </c>
      <c r="M22" s="387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22000</v>
      </c>
      <c r="J23" s="538">
        <v>22000</v>
      </c>
      <c r="K23" s="538">
        <v>20134</v>
      </c>
      <c r="L23" s="549">
        <v>21623</v>
      </c>
      <c r="M23" s="387">
        <v>0</v>
      </c>
      <c r="N23" s="742">
        <f t="shared" si="9"/>
        <v>21623</v>
      </c>
      <c r="O23" s="715">
        <f t="shared" si="4"/>
        <v>98.286363636363632</v>
      </c>
      <c r="P23" s="720">
        <f t="shared" si="2"/>
        <v>107.39545048177213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49">
        <v>0</v>
      </c>
      <c r="M24" s="387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45500</v>
      </c>
      <c r="J25" s="538">
        <v>45500</v>
      </c>
      <c r="K25" s="538">
        <v>57387</v>
      </c>
      <c r="L25" s="549">
        <v>41771</v>
      </c>
      <c r="M25" s="387">
        <v>0</v>
      </c>
      <c r="N25" s="742">
        <f t="shared" si="9"/>
        <v>41771</v>
      </c>
      <c r="O25" s="715">
        <f t="shared" si="4"/>
        <v>91.804395604395609</v>
      </c>
      <c r="P25" s="720">
        <f t="shared" si="2"/>
        <v>72.788262149964282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3">
        <v>0</v>
      </c>
      <c r="M26" s="384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569"/>
      <c r="M27" s="303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SUM(I29:I31)</f>
        <v>7000</v>
      </c>
      <c r="J28" s="537">
        <f t="shared" ref="J28" si="12">SUM(J29:J31)</f>
        <v>7000</v>
      </c>
      <c r="K28" s="537">
        <f>SUM(K29:K30)</f>
        <v>25098</v>
      </c>
      <c r="L28" s="574">
        <f>SUM(L29:L31)</f>
        <v>4888</v>
      </c>
      <c r="M28" s="318">
        <f>SUM(M29:M31)</f>
        <v>0</v>
      </c>
      <c r="N28" s="732">
        <f>SUM(N29:N31)</f>
        <v>4888</v>
      </c>
      <c r="O28" s="714">
        <f t="shared" si="4"/>
        <v>69.828571428571422</v>
      </c>
      <c r="P28" s="719">
        <f t="shared" si="2"/>
        <v>19.475655430711612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2000</v>
      </c>
      <c r="J29" s="538">
        <v>2000</v>
      </c>
      <c r="K29" s="538">
        <v>5371</v>
      </c>
      <c r="L29" s="569">
        <v>1800</v>
      </c>
      <c r="M29" s="303">
        <v>0</v>
      </c>
      <c r="N29" s="742">
        <f t="shared" ref="N29:N30" si="13">SUM(L29:M29)</f>
        <v>1800</v>
      </c>
      <c r="O29" s="715">
        <f t="shared" si="4"/>
        <v>90</v>
      </c>
      <c r="P29" s="720">
        <f t="shared" si="2"/>
        <v>33.513312232358963</v>
      </c>
      <c r="Q29" s="55"/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5000</v>
      </c>
      <c r="J30" s="538">
        <v>5000</v>
      </c>
      <c r="K30" s="538">
        <v>19727</v>
      </c>
      <c r="L30" s="569">
        <v>3088</v>
      </c>
      <c r="M30" s="303">
        <v>0</v>
      </c>
      <c r="N30" s="742">
        <f t="shared" si="13"/>
        <v>3088</v>
      </c>
      <c r="O30" s="715">
        <f t="shared" si="4"/>
        <v>61.760000000000005</v>
      </c>
      <c r="P30" s="720">
        <f t="shared" si="2"/>
        <v>15.653672631418866</v>
      </c>
    </row>
    <row r="31" spans="1:17" ht="12.95" customHeight="1">
      <c r="B31" s="10"/>
      <c r="C31" s="11"/>
      <c r="D31" s="11"/>
      <c r="E31" s="309"/>
      <c r="F31" s="328"/>
      <c r="G31" s="354"/>
      <c r="H31" s="20"/>
      <c r="I31" s="538"/>
      <c r="J31" s="538"/>
      <c r="K31" s="538"/>
      <c r="L31" s="569"/>
      <c r="M31" s="303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864</v>
      </c>
      <c r="J32" s="539"/>
      <c r="K32" s="539" t="s">
        <v>818</v>
      </c>
      <c r="L32" s="612" t="s">
        <v>913</v>
      </c>
      <c r="M32" s="301"/>
      <c r="N32" s="744" t="s">
        <v>913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2699610</v>
      </c>
      <c r="J33" s="311">
        <f>J8+J13+J16+J28</f>
        <v>2677110</v>
      </c>
      <c r="K33" s="561">
        <f t="shared" ref="K33" si="14">K8+K13+K16+K28</f>
        <v>2593229</v>
      </c>
      <c r="L33" s="568">
        <f>L8+L13+L16+L28</f>
        <v>2667122</v>
      </c>
      <c r="M33" s="311">
        <f>M8+M13+M16+M28</f>
        <v>0</v>
      </c>
      <c r="N33" s="732">
        <f>N8+N13+N16+N28</f>
        <v>2667122</v>
      </c>
      <c r="O33" s="714">
        <f t="shared" si="4"/>
        <v>99.626911109367938</v>
      </c>
      <c r="P33" s="719">
        <f t="shared" si="2"/>
        <v>102.84945911063004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/>
      <c r="J34" s="15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F38" s="330"/>
      <c r="G38" s="356"/>
      <c r="L38" s="80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B42" s="55"/>
      <c r="F42" s="330"/>
      <c r="G42" s="356"/>
      <c r="N42" s="409"/>
    </row>
    <row r="43" spans="1:16" ht="12.95" customHeight="1">
      <c r="B43" s="55"/>
      <c r="F43" s="330"/>
      <c r="G43" s="356"/>
      <c r="N43" s="409"/>
    </row>
    <row r="44" spans="1:16" ht="12.95" customHeight="1">
      <c r="B44" s="55"/>
      <c r="F44" s="330"/>
      <c r="G44" s="356"/>
      <c r="N44" s="409"/>
    </row>
    <row r="45" spans="1:16" ht="12.95" customHeight="1">
      <c r="B45" s="55"/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756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118</v>
      </c>
      <c r="E7" s="653" t="s">
        <v>798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616340</v>
      </c>
      <c r="J8" s="537">
        <f t="shared" ref="J8" si="1">SUM(J9:J12)</f>
        <v>609340</v>
      </c>
      <c r="K8" s="537">
        <f>SUM(K9:K11)</f>
        <v>618191</v>
      </c>
      <c r="L8" s="564">
        <f>SUM(L9:L12)</f>
        <v>608892</v>
      </c>
      <c r="M8" s="233">
        <f>SUM(M9:M12)</f>
        <v>0</v>
      </c>
      <c r="N8" s="741">
        <f>SUM(N9:N12)</f>
        <v>608892</v>
      </c>
      <c r="O8" s="714">
        <f>IF(J8=0,"",N8/J8*100)</f>
        <v>99.926477828470155</v>
      </c>
      <c r="P8" s="719">
        <f>IF(K8=0,"",N8/K8*100)</f>
        <v>98.495772342204916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520250</v>
      </c>
      <c r="J9" s="538">
        <v>513150</v>
      </c>
      <c r="K9" s="538">
        <v>509374</v>
      </c>
      <c r="L9" s="611">
        <v>512732</v>
      </c>
      <c r="M9" s="235">
        <v>0</v>
      </c>
      <c r="N9" s="742">
        <f>SUM(L9:M9)</f>
        <v>512732</v>
      </c>
      <c r="O9" s="715">
        <f>IF(J9=0,"",N9/J9*100)</f>
        <v>99.918542336548768</v>
      </c>
      <c r="P9" s="720">
        <f t="shared" ref="P9:P33" si="2">IF(K9=0,"",N9/K9*100)</f>
        <v>100.65924055801827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96090</v>
      </c>
      <c r="J10" s="538">
        <v>96190</v>
      </c>
      <c r="K10" s="538">
        <v>108817</v>
      </c>
      <c r="L10" s="611">
        <v>96160</v>
      </c>
      <c r="M10" s="235">
        <v>0</v>
      </c>
      <c r="N10" s="742">
        <f t="shared" ref="N10:N11" si="3">SUM(L10:M10)</f>
        <v>96160</v>
      </c>
      <c r="O10" s="715">
        <f t="shared" ref="O10:P35" si="4">IF(J10=0,"",N10/J10*100)</f>
        <v>99.968811726790733</v>
      </c>
      <c r="P10" s="720">
        <f t="shared" si="2"/>
        <v>88.368545355964599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611"/>
      <c r="M12" s="235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55210</v>
      </c>
      <c r="J13" s="537">
        <f t="shared" si="6"/>
        <v>55210</v>
      </c>
      <c r="K13" s="537">
        <f>K14</f>
        <v>55452</v>
      </c>
      <c r="L13" s="564">
        <f>L14</f>
        <v>54328</v>
      </c>
      <c r="M13" s="233">
        <f>M14</f>
        <v>0</v>
      </c>
      <c r="N13" s="741">
        <f>N14</f>
        <v>54328</v>
      </c>
      <c r="O13" s="714">
        <f t="shared" si="4"/>
        <v>98.402463321861973</v>
      </c>
      <c r="P13" s="719">
        <f t="shared" si="2"/>
        <v>97.973021712472047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55210</v>
      </c>
      <c r="J14" s="538">
        <v>55210</v>
      </c>
      <c r="K14" s="538">
        <v>55452</v>
      </c>
      <c r="L14" s="611">
        <v>54328</v>
      </c>
      <c r="M14" s="235">
        <v>0</v>
      </c>
      <c r="N14" s="742">
        <f>SUM(L14:M14)</f>
        <v>54328</v>
      </c>
      <c r="O14" s="715">
        <f t="shared" si="4"/>
        <v>98.402463321861973</v>
      </c>
      <c r="P14" s="720">
        <f t="shared" si="2"/>
        <v>97.973021712472047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56000</v>
      </c>
      <c r="J16" s="537">
        <f t="shared" ref="J16" si="8">SUM(J17:J26)</f>
        <v>56000</v>
      </c>
      <c r="K16" s="537">
        <f>SUM(K17:K26)</f>
        <v>56603</v>
      </c>
      <c r="L16" s="567">
        <f>SUM(L17:L26)</f>
        <v>53708</v>
      </c>
      <c r="M16" s="316">
        <f>SUM(M17:M26)</f>
        <v>0</v>
      </c>
      <c r="N16" s="732">
        <f>SUM(N17:N26)</f>
        <v>53708</v>
      </c>
      <c r="O16" s="714">
        <f t="shared" si="4"/>
        <v>95.907142857142858</v>
      </c>
      <c r="P16" s="719">
        <f t="shared" si="2"/>
        <v>94.88543010087804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1000</v>
      </c>
      <c r="K17" s="538">
        <v>2592</v>
      </c>
      <c r="L17" s="551">
        <v>876</v>
      </c>
      <c r="M17" s="386">
        <v>0</v>
      </c>
      <c r="N17" s="742">
        <f t="shared" ref="N17:N26" si="9">SUM(L17:M17)</f>
        <v>876</v>
      </c>
      <c r="O17" s="715">
        <f t="shared" si="4"/>
        <v>87.6</v>
      </c>
      <c r="P17" s="720">
        <f t="shared" si="2"/>
        <v>33.796296296296298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18700</v>
      </c>
      <c r="J18" s="538">
        <v>18430</v>
      </c>
      <c r="K18" s="538">
        <v>21180</v>
      </c>
      <c r="L18" s="551">
        <v>17844</v>
      </c>
      <c r="M18" s="386">
        <v>0</v>
      </c>
      <c r="N18" s="742">
        <f t="shared" si="9"/>
        <v>17844</v>
      </c>
      <c r="O18" s="715">
        <f t="shared" si="4"/>
        <v>96.820401519262077</v>
      </c>
      <c r="P18" s="720">
        <f t="shared" si="2"/>
        <v>84.24929178470255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2500</v>
      </c>
      <c r="J19" s="538">
        <v>2750</v>
      </c>
      <c r="K19" s="538">
        <v>2702</v>
      </c>
      <c r="L19" s="551">
        <v>2725</v>
      </c>
      <c r="M19" s="386">
        <v>0</v>
      </c>
      <c r="N19" s="742">
        <f t="shared" si="9"/>
        <v>2725</v>
      </c>
      <c r="O19" s="715">
        <f t="shared" si="4"/>
        <v>99.090909090909093</v>
      </c>
      <c r="P19" s="720">
        <f t="shared" si="2"/>
        <v>100.85122131754257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9500</v>
      </c>
      <c r="J20" s="538">
        <v>9500</v>
      </c>
      <c r="K20" s="538">
        <v>8470</v>
      </c>
      <c r="L20" s="551">
        <v>9446</v>
      </c>
      <c r="M20" s="386">
        <v>0</v>
      </c>
      <c r="N20" s="742">
        <f t="shared" si="9"/>
        <v>9446</v>
      </c>
      <c r="O20" s="715">
        <f t="shared" si="4"/>
        <v>99.431578947368422</v>
      </c>
      <c r="P20" s="720">
        <f t="shared" si="2"/>
        <v>111.52302243211334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300</v>
      </c>
      <c r="J21" s="538">
        <v>320</v>
      </c>
      <c r="K21" s="538">
        <v>300</v>
      </c>
      <c r="L21" s="551">
        <v>320</v>
      </c>
      <c r="M21" s="386">
        <v>0</v>
      </c>
      <c r="N21" s="742">
        <f t="shared" si="9"/>
        <v>320</v>
      </c>
      <c r="O21" s="715">
        <f t="shared" si="4"/>
        <v>100</v>
      </c>
      <c r="P21" s="720">
        <f t="shared" si="2"/>
        <v>106.66666666666667</v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9500</v>
      </c>
      <c r="J23" s="538">
        <v>9500</v>
      </c>
      <c r="K23" s="538">
        <v>10437</v>
      </c>
      <c r="L23" s="552">
        <v>9418</v>
      </c>
      <c r="M23" s="388">
        <v>0</v>
      </c>
      <c r="N23" s="742">
        <f t="shared" si="9"/>
        <v>9418</v>
      </c>
      <c r="O23" s="715">
        <f t="shared" si="4"/>
        <v>99.136842105263156</v>
      </c>
      <c r="P23" s="720">
        <f t="shared" si="2"/>
        <v>90.236658043499091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14500</v>
      </c>
      <c r="J25" s="538">
        <v>14500</v>
      </c>
      <c r="K25" s="538">
        <v>10922</v>
      </c>
      <c r="L25" s="552">
        <v>13079</v>
      </c>
      <c r="M25" s="388">
        <v>0</v>
      </c>
      <c r="N25" s="742">
        <f t="shared" si="9"/>
        <v>13079</v>
      </c>
      <c r="O25" s="715">
        <f t="shared" si="4"/>
        <v>90.2</v>
      </c>
      <c r="P25" s="720">
        <f t="shared" si="2"/>
        <v>119.74913019593481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3">
        <v>0</v>
      </c>
      <c r="M26" s="384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4000</v>
      </c>
      <c r="J28" s="537">
        <f t="shared" ref="J28" si="12">SUM(J29:J30)</f>
        <v>4000</v>
      </c>
      <c r="K28" s="537">
        <f>SUM(K29:K30)</f>
        <v>19884</v>
      </c>
      <c r="L28" s="574">
        <f>SUM(L29:L30)</f>
        <v>3721</v>
      </c>
      <c r="M28" s="318">
        <f>SUM(M29:M30)</f>
        <v>0</v>
      </c>
      <c r="N28" s="732">
        <f>SUM(N29:N30)</f>
        <v>3721</v>
      </c>
      <c r="O28" s="714">
        <f t="shared" si="4"/>
        <v>93.025000000000006</v>
      </c>
      <c r="P28" s="719">
        <f t="shared" si="2"/>
        <v>18.713538523435929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0</v>
      </c>
      <c r="J29" s="538">
        <v>0</v>
      </c>
      <c r="K29" s="538">
        <v>0</v>
      </c>
      <c r="L29" s="608">
        <v>0</v>
      </c>
      <c r="M29" s="319">
        <v>0</v>
      </c>
      <c r="N29" s="742">
        <f t="shared" ref="N29:N30" si="13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4000</v>
      </c>
      <c r="J30" s="538">
        <v>4000</v>
      </c>
      <c r="K30" s="538">
        <v>19884</v>
      </c>
      <c r="L30" s="608">
        <v>3721</v>
      </c>
      <c r="M30" s="319">
        <v>0</v>
      </c>
      <c r="N30" s="742">
        <f t="shared" si="13"/>
        <v>3721</v>
      </c>
      <c r="O30" s="715">
        <f t="shared" si="4"/>
        <v>93.025000000000006</v>
      </c>
      <c r="P30" s="720">
        <f t="shared" si="2"/>
        <v>18.713538523435929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894</v>
      </c>
      <c r="J32" s="539"/>
      <c r="K32" s="539" t="s">
        <v>800</v>
      </c>
      <c r="L32" s="612" t="s">
        <v>894</v>
      </c>
      <c r="M32" s="301"/>
      <c r="N32" s="744" t="s">
        <v>894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731550</v>
      </c>
      <c r="J33" s="311">
        <f>J8+J13+J16+J28</f>
        <v>724550</v>
      </c>
      <c r="K33" s="561">
        <f t="shared" ref="K33" si="14">K8+K13+K16+K28</f>
        <v>750130</v>
      </c>
      <c r="L33" s="568">
        <f>L8+L13+L16+L28</f>
        <v>720649</v>
      </c>
      <c r="M33" s="311">
        <f>M8+M13+M16+M28</f>
        <v>0</v>
      </c>
      <c r="N33" s="732">
        <f>N8+N13+N16+N28</f>
        <v>720649</v>
      </c>
      <c r="O33" s="714">
        <f t="shared" si="4"/>
        <v>99.461596853219234</v>
      </c>
      <c r="P33" s="719">
        <f t="shared" si="2"/>
        <v>96.069881220588428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B44" s="55"/>
      <c r="F44" s="330"/>
      <c r="G44" s="356"/>
      <c r="N44" s="410"/>
    </row>
    <row r="45" spans="1:16" ht="12.95" customHeight="1">
      <c r="B45" s="55"/>
      <c r="F45" s="330"/>
      <c r="G45" s="356"/>
      <c r="N45" s="410"/>
    </row>
    <row r="46" spans="1:16" ht="12.95" customHeight="1">
      <c r="B46" s="55"/>
      <c r="F46" s="330"/>
      <c r="G46" s="356"/>
      <c r="N46" s="410"/>
    </row>
    <row r="47" spans="1:16" ht="12.95" customHeight="1">
      <c r="B47" s="55"/>
      <c r="F47" s="330"/>
      <c r="G47" s="356"/>
      <c r="N47" s="410"/>
    </row>
    <row r="48" spans="1:16" ht="12.95" customHeight="1">
      <c r="B48" s="55"/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768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119</v>
      </c>
      <c r="E7" s="653" t="s">
        <v>798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735210</v>
      </c>
      <c r="J8" s="537">
        <f t="shared" ref="J8" si="1">SUM(J9:J11)</f>
        <v>723710</v>
      </c>
      <c r="K8" s="537">
        <f>SUM(K9:K11)</f>
        <v>774424</v>
      </c>
      <c r="L8" s="564">
        <f>SUM(L9:L11)</f>
        <v>723321</v>
      </c>
      <c r="M8" s="233">
        <f>SUM(M9:M11)</f>
        <v>0</v>
      </c>
      <c r="N8" s="741">
        <f>SUM(N9:N11)</f>
        <v>723321</v>
      </c>
      <c r="O8" s="714">
        <f>IF(J8=0,"",N8/J8*100)</f>
        <v>99.946249188210743</v>
      </c>
      <c r="P8" s="719">
        <f>IF(K8=0,"",N8/K8*100)</f>
        <v>93.401160088013796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621560</v>
      </c>
      <c r="J9" s="538">
        <v>614560</v>
      </c>
      <c r="K9" s="538">
        <v>642189</v>
      </c>
      <c r="L9" s="611">
        <v>614557</v>
      </c>
      <c r="M9" s="235">
        <v>0</v>
      </c>
      <c r="N9" s="742">
        <f>SUM(L9:M9)</f>
        <v>614557</v>
      </c>
      <c r="O9" s="715">
        <f>IF(J9=0,"",N9/J9*100)</f>
        <v>99.999511845873471</v>
      </c>
      <c r="P9" s="720">
        <f t="shared" ref="P9:P33" si="2">IF(K9=0,"",N9/K9*100)</f>
        <v>95.697216862948437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113650</v>
      </c>
      <c r="J10" s="538">
        <v>109150</v>
      </c>
      <c r="K10" s="538">
        <v>132235</v>
      </c>
      <c r="L10" s="611">
        <v>108764</v>
      </c>
      <c r="M10" s="235">
        <v>0</v>
      </c>
      <c r="N10" s="742">
        <f t="shared" ref="N10:N11" si="3">SUM(L10:M10)</f>
        <v>108764</v>
      </c>
      <c r="O10" s="715">
        <f t="shared" ref="O10:P35" si="4">IF(J10=0,"",N10/J10*100)</f>
        <v>99.646358222629402</v>
      </c>
      <c r="P10" s="720">
        <f t="shared" si="2"/>
        <v>82.250538813475998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66860</v>
      </c>
      <c r="J13" s="537">
        <f t="shared" si="6"/>
        <v>65860</v>
      </c>
      <c r="K13" s="537">
        <f>K14</f>
        <v>70649</v>
      </c>
      <c r="L13" s="564">
        <f>L14</f>
        <v>65852</v>
      </c>
      <c r="M13" s="233">
        <f>M14</f>
        <v>0</v>
      </c>
      <c r="N13" s="741">
        <f>N14</f>
        <v>65852</v>
      </c>
      <c r="O13" s="714">
        <f t="shared" si="4"/>
        <v>99.987853021560895</v>
      </c>
      <c r="P13" s="719">
        <f t="shared" si="2"/>
        <v>93.210094976574325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66860</v>
      </c>
      <c r="J14" s="538">
        <v>65860</v>
      </c>
      <c r="K14" s="538">
        <v>70649</v>
      </c>
      <c r="L14" s="611">
        <v>65852</v>
      </c>
      <c r="M14" s="235">
        <v>0</v>
      </c>
      <c r="N14" s="742">
        <f>SUM(L14:M14)</f>
        <v>65852</v>
      </c>
      <c r="O14" s="715">
        <f t="shared" si="4"/>
        <v>99.987853021560895</v>
      </c>
      <c r="P14" s="720">
        <f t="shared" si="2"/>
        <v>93.210094976574325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69600</v>
      </c>
      <c r="J16" s="537">
        <f t="shared" ref="J16" si="8">SUM(J17:J26)</f>
        <v>69600</v>
      </c>
      <c r="K16" s="537">
        <f>SUM(K17:K26)</f>
        <v>60529</v>
      </c>
      <c r="L16" s="567">
        <f>SUM(L17:L26)</f>
        <v>68168</v>
      </c>
      <c r="M16" s="316">
        <f>SUM(M17:M26)</f>
        <v>0</v>
      </c>
      <c r="N16" s="732">
        <f>SUM(N17:N26)</f>
        <v>68168</v>
      </c>
      <c r="O16" s="714">
        <f t="shared" si="4"/>
        <v>97.94252873563218</v>
      </c>
      <c r="P16" s="719">
        <f t="shared" si="2"/>
        <v>112.62039683457516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900</v>
      </c>
      <c r="K17" s="538">
        <v>3411</v>
      </c>
      <c r="L17" s="551">
        <v>804</v>
      </c>
      <c r="M17" s="386">
        <v>0</v>
      </c>
      <c r="N17" s="742">
        <f t="shared" ref="N17:N26" si="9">SUM(L17:M17)</f>
        <v>804</v>
      </c>
      <c r="O17" s="715">
        <f t="shared" si="4"/>
        <v>89.333333333333329</v>
      </c>
      <c r="P17" s="720">
        <f t="shared" si="2"/>
        <v>23.57080035180299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35000</v>
      </c>
      <c r="J18" s="538">
        <v>34600</v>
      </c>
      <c r="K18" s="538">
        <v>30409</v>
      </c>
      <c r="L18" s="551">
        <v>34072</v>
      </c>
      <c r="M18" s="386">
        <v>0</v>
      </c>
      <c r="N18" s="742">
        <f t="shared" si="9"/>
        <v>34072</v>
      </c>
      <c r="O18" s="715">
        <f t="shared" si="4"/>
        <v>98.473988439306353</v>
      </c>
      <c r="P18" s="720">
        <f t="shared" si="2"/>
        <v>112.04577592160217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2600</v>
      </c>
      <c r="J19" s="538">
        <v>2600</v>
      </c>
      <c r="K19" s="538">
        <v>2435</v>
      </c>
      <c r="L19" s="552">
        <v>2187</v>
      </c>
      <c r="M19" s="388">
        <v>0</v>
      </c>
      <c r="N19" s="742">
        <f t="shared" si="9"/>
        <v>2187</v>
      </c>
      <c r="O19" s="715">
        <f t="shared" si="4"/>
        <v>84.115384615384613</v>
      </c>
      <c r="P19" s="720">
        <f t="shared" si="2"/>
        <v>89.815195071868587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5500</v>
      </c>
      <c r="J20" s="538">
        <v>5600</v>
      </c>
      <c r="K20" s="538">
        <v>8671</v>
      </c>
      <c r="L20" s="552">
        <v>5519</v>
      </c>
      <c r="M20" s="388">
        <v>0</v>
      </c>
      <c r="N20" s="742">
        <f t="shared" si="9"/>
        <v>5519</v>
      </c>
      <c r="O20" s="715">
        <f t="shared" si="4"/>
        <v>98.553571428571431</v>
      </c>
      <c r="P20" s="720">
        <f t="shared" si="2"/>
        <v>63.648944758390037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ref="I21:J26" si="10">SUM(G21:H21)</f>
        <v>0</v>
      </c>
      <c r="J21" s="538">
        <f t="shared" si="10"/>
        <v>0</v>
      </c>
      <c r="K21" s="538">
        <v>0</v>
      </c>
      <c r="L21" s="552">
        <v>0</v>
      </c>
      <c r="M21" s="388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9500</v>
      </c>
      <c r="J23" s="538">
        <v>10300</v>
      </c>
      <c r="K23" s="538">
        <v>6865</v>
      </c>
      <c r="L23" s="552">
        <v>10104</v>
      </c>
      <c r="M23" s="388">
        <v>0</v>
      </c>
      <c r="N23" s="742">
        <f t="shared" si="9"/>
        <v>10104</v>
      </c>
      <c r="O23" s="715">
        <f t="shared" si="4"/>
        <v>98.097087378640779</v>
      </c>
      <c r="P23" s="720">
        <f t="shared" si="2"/>
        <v>147.18135469774217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16000</v>
      </c>
      <c r="J25" s="538">
        <v>15600</v>
      </c>
      <c r="K25" s="538">
        <v>8738</v>
      </c>
      <c r="L25" s="552">
        <v>15482</v>
      </c>
      <c r="M25" s="388">
        <v>0</v>
      </c>
      <c r="N25" s="742">
        <f t="shared" si="9"/>
        <v>15482</v>
      </c>
      <c r="O25" s="715">
        <f t="shared" si="4"/>
        <v>99.243589743589737</v>
      </c>
      <c r="P25" s="720">
        <f t="shared" si="2"/>
        <v>177.18013275349048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14170</v>
      </c>
      <c r="J28" s="537">
        <f t="shared" ref="J28" si="12">SUM(J29:J30)</f>
        <v>14170</v>
      </c>
      <c r="K28" s="537">
        <f>SUM(K29:K30)</f>
        <v>16742</v>
      </c>
      <c r="L28" s="574">
        <f>SUM(L29:L30)</f>
        <v>14168</v>
      </c>
      <c r="M28" s="318">
        <f>SUM(M29:M30)</f>
        <v>0</v>
      </c>
      <c r="N28" s="732">
        <f>SUM(N29:N30)</f>
        <v>14168</v>
      </c>
      <c r="O28" s="714">
        <f t="shared" si="4"/>
        <v>99.985885673959075</v>
      </c>
      <c r="P28" s="719">
        <f t="shared" si="2"/>
        <v>84.625492772667542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0</v>
      </c>
      <c r="J29" s="538">
        <v>0</v>
      </c>
      <c r="K29" s="538">
        <v>10955</v>
      </c>
      <c r="L29" s="608">
        <v>0</v>
      </c>
      <c r="M29" s="319">
        <v>0</v>
      </c>
      <c r="N29" s="742">
        <f t="shared" ref="N29:N30" si="13">SUM(L29:M29)</f>
        <v>0</v>
      </c>
      <c r="O29" s="715" t="str">
        <f t="shared" si="4"/>
        <v/>
      </c>
      <c r="P29" s="720">
        <f t="shared" si="2"/>
        <v>0</v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14170</v>
      </c>
      <c r="J30" s="538">
        <v>14170</v>
      </c>
      <c r="K30" s="538">
        <v>5787</v>
      </c>
      <c r="L30" s="608">
        <v>14168</v>
      </c>
      <c r="M30" s="319">
        <v>0</v>
      </c>
      <c r="N30" s="742">
        <f t="shared" si="13"/>
        <v>14168</v>
      </c>
      <c r="O30" s="715">
        <f t="shared" si="4"/>
        <v>99.985885673959075</v>
      </c>
      <c r="P30" s="720">
        <f t="shared" si="2"/>
        <v>244.82460687748403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819</v>
      </c>
      <c r="J32" s="539"/>
      <c r="K32" s="539" t="s">
        <v>901</v>
      </c>
      <c r="L32" s="570" t="s">
        <v>819</v>
      </c>
      <c r="M32" s="301"/>
      <c r="N32" s="744" t="s">
        <v>819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885840</v>
      </c>
      <c r="J33" s="311">
        <f>J8+J13+J16+J28</f>
        <v>873340</v>
      </c>
      <c r="K33" s="561">
        <f t="shared" ref="K33" si="14">K8+K13+K16+K28</f>
        <v>922344</v>
      </c>
      <c r="L33" s="568">
        <f>L8+L13+L16+L28</f>
        <v>871509</v>
      </c>
      <c r="M33" s="311">
        <f>M8+M13+M16+M28</f>
        <v>0</v>
      </c>
      <c r="N33" s="732">
        <f>N8+N13+N16+N28</f>
        <v>871509</v>
      </c>
      <c r="O33" s="714">
        <f t="shared" si="4"/>
        <v>99.790345111869371</v>
      </c>
      <c r="P33" s="719">
        <f t="shared" si="2"/>
        <v>94.48849886810126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572"/>
      <c r="J35" s="302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R96"/>
  <sheetViews>
    <sheetView zoomScaleNormal="100" workbookViewId="0">
      <selection activeCell="T31" sqref="T31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755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133</v>
      </c>
      <c r="E7" s="653" t="s">
        <v>798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884920</v>
      </c>
      <c r="J8" s="537">
        <f t="shared" ref="J8" si="1">SUM(J9:J11)</f>
        <v>875420</v>
      </c>
      <c r="K8" s="537">
        <f>SUM(K9:K11)</f>
        <v>931094</v>
      </c>
      <c r="L8" s="564">
        <f>SUM(L9:L11)</f>
        <v>874590</v>
      </c>
      <c r="M8" s="233">
        <f>SUM(M9:M11)</f>
        <v>0</v>
      </c>
      <c r="N8" s="741">
        <f>SUM(N9:N11)</f>
        <v>874590</v>
      </c>
      <c r="O8" s="714">
        <f>IF(J8=0,"",N8/J8*100)</f>
        <v>99.905188366726833</v>
      </c>
      <c r="P8" s="719">
        <f>IF(K8=0,"",N8/K8*100)</f>
        <v>93.93143979018231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732110</v>
      </c>
      <c r="J9" s="538">
        <v>729110</v>
      </c>
      <c r="K9" s="538">
        <v>765133</v>
      </c>
      <c r="L9" s="611">
        <v>728479</v>
      </c>
      <c r="M9" s="235">
        <v>0</v>
      </c>
      <c r="N9" s="742">
        <f>SUM(L9:M9)</f>
        <v>728479</v>
      </c>
      <c r="O9" s="715">
        <f>IF(J9=0,"",N9/J9*100)</f>
        <v>99.91345613144793</v>
      </c>
      <c r="P9" s="720">
        <f t="shared" ref="P9:P33" si="2">IF(K9=0,"",N9/K9*100)</f>
        <v>95.209460316049629</v>
      </c>
      <c r="Q9" s="55"/>
      <c r="R9" s="63"/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152810</v>
      </c>
      <c r="J10" s="538">
        <v>146310</v>
      </c>
      <c r="K10" s="538">
        <v>165961</v>
      </c>
      <c r="L10" s="611">
        <v>146111</v>
      </c>
      <c r="M10" s="235">
        <v>0</v>
      </c>
      <c r="N10" s="742">
        <f t="shared" ref="N10:N11" si="3">SUM(L10:M10)</f>
        <v>146111</v>
      </c>
      <c r="O10" s="715">
        <f t="shared" ref="O10:P35" si="4">IF(J10=0,"",N10/J10*100)</f>
        <v>99.863987423962826</v>
      </c>
      <c r="P10" s="720">
        <f t="shared" si="2"/>
        <v>88.039358644500822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78380</v>
      </c>
      <c r="J13" s="537">
        <f t="shared" si="6"/>
        <v>78380</v>
      </c>
      <c r="K13" s="537">
        <f>K14</f>
        <v>86203</v>
      </c>
      <c r="L13" s="564">
        <f>L14</f>
        <v>77609</v>
      </c>
      <c r="M13" s="233">
        <f>M14</f>
        <v>0</v>
      </c>
      <c r="N13" s="741">
        <f>N14</f>
        <v>77609</v>
      </c>
      <c r="O13" s="714">
        <f t="shared" si="4"/>
        <v>99.016330696606275</v>
      </c>
      <c r="P13" s="719">
        <f t="shared" si="2"/>
        <v>90.030509379023925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78380</v>
      </c>
      <c r="J14" s="538">
        <v>78380</v>
      </c>
      <c r="K14" s="538">
        <v>86203</v>
      </c>
      <c r="L14" s="611">
        <v>77609</v>
      </c>
      <c r="M14" s="235">
        <v>0</v>
      </c>
      <c r="N14" s="742">
        <f>SUM(L14:M14)</f>
        <v>77609</v>
      </c>
      <c r="O14" s="715">
        <f t="shared" si="4"/>
        <v>99.016330696606275</v>
      </c>
      <c r="P14" s="720">
        <f t="shared" si="2"/>
        <v>90.030509379023925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70240</v>
      </c>
      <c r="J16" s="537">
        <f t="shared" ref="J16" si="8">SUM(J17:J26)</f>
        <v>70240</v>
      </c>
      <c r="K16" s="537">
        <f>SUM(K17:K26)</f>
        <v>93363</v>
      </c>
      <c r="L16" s="567">
        <f>SUM(L17:L26)</f>
        <v>68271</v>
      </c>
      <c r="M16" s="316">
        <f>SUM(M17:M26)</f>
        <v>0</v>
      </c>
      <c r="N16" s="732">
        <f>SUM(N17:N26)</f>
        <v>68271</v>
      </c>
      <c r="O16" s="714">
        <f t="shared" si="4"/>
        <v>97.196753986332567</v>
      </c>
      <c r="P16" s="719">
        <f t="shared" si="2"/>
        <v>73.124256932617854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800</v>
      </c>
      <c r="J17" s="538">
        <v>800</v>
      </c>
      <c r="K17" s="538">
        <v>3184</v>
      </c>
      <c r="L17" s="551">
        <v>463</v>
      </c>
      <c r="M17" s="386">
        <v>0</v>
      </c>
      <c r="N17" s="742">
        <f t="shared" ref="N17:N26" si="9">SUM(L17:M17)</f>
        <v>463</v>
      </c>
      <c r="O17" s="715">
        <f t="shared" si="4"/>
        <v>57.875</v>
      </c>
      <c r="P17" s="720">
        <f t="shared" si="2"/>
        <v>14.541457286432161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22000</v>
      </c>
      <c r="J18" s="538">
        <v>22000</v>
      </c>
      <c r="K18" s="538">
        <v>54577</v>
      </c>
      <c r="L18" s="551">
        <v>21895</v>
      </c>
      <c r="M18" s="386">
        <v>0</v>
      </c>
      <c r="N18" s="742">
        <f t="shared" si="9"/>
        <v>21895</v>
      </c>
      <c r="O18" s="715">
        <f t="shared" si="4"/>
        <v>99.52272727272728</v>
      </c>
      <c r="P18" s="720">
        <f t="shared" si="2"/>
        <v>40.117631969510967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5000</v>
      </c>
      <c r="J19" s="538">
        <v>5000</v>
      </c>
      <c r="K19" s="538">
        <v>3995</v>
      </c>
      <c r="L19" s="551">
        <v>4859</v>
      </c>
      <c r="M19" s="386">
        <v>0</v>
      </c>
      <c r="N19" s="742">
        <f t="shared" si="9"/>
        <v>4859</v>
      </c>
      <c r="O19" s="715">
        <f t="shared" si="4"/>
        <v>97.18</v>
      </c>
      <c r="P19" s="720">
        <f t="shared" si="2"/>
        <v>121.6270337922403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10000</v>
      </c>
      <c r="J20" s="538">
        <v>10200</v>
      </c>
      <c r="K20" s="538">
        <v>10999</v>
      </c>
      <c r="L20" s="551">
        <v>10179</v>
      </c>
      <c r="M20" s="386">
        <v>0</v>
      </c>
      <c r="N20" s="742">
        <f t="shared" si="9"/>
        <v>10179</v>
      </c>
      <c r="O20" s="715">
        <f t="shared" si="4"/>
        <v>99.794117647058826</v>
      </c>
      <c r="P20" s="720">
        <f t="shared" si="2"/>
        <v>92.544776797890719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1000</v>
      </c>
      <c r="J21" s="538">
        <v>1000</v>
      </c>
      <c r="K21" s="538">
        <v>992</v>
      </c>
      <c r="L21" s="552">
        <v>993</v>
      </c>
      <c r="M21" s="388">
        <v>0</v>
      </c>
      <c r="N21" s="742">
        <f t="shared" si="9"/>
        <v>993</v>
      </c>
      <c r="O21" s="715">
        <f t="shared" si="4"/>
        <v>99.3</v>
      </c>
      <c r="P21" s="720">
        <f t="shared" si="2"/>
        <v>100.1008064516129</v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14150</v>
      </c>
      <c r="J23" s="538">
        <v>14150</v>
      </c>
      <c r="K23" s="538">
        <v>10367</v>
      </c>
      <c r="L23" s="552">
        <v>14136</v>
      </c>
      <c r="M23" s="388">
        <v>0</v>
      </c>
      <c r="N23" s="742">
        <f t="shared" si="9"/>
        <v>14136</v>
      </c>
      <c r="O23" s="715">
        <f t="shared" si="4"/>
        <v>99.901060070671377</v>
      </c>
      <c r="P23" s="720">
        <f t="shared" si="2"/>
        <v>136.35574418828978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1050</v>
      </c>
      <c r="J24" s="538">
        <v>1050</v>
      </c>
      <c r="K24" s="538">
        <v>1050</v>
      </c>
      <c r="L24" s="552">
        <v>1050</v>
      </c>
      <c r="M24" s="388">
        <v>0</v>
      </c>
      <c r="N24" s="742">
        <f t="shared" si="9"/>
        <v>1050</v>
      </c>
      <c r="O24" s="715">
        <f t="shared" si="4"/>
        <v>100</v>
      </c>
      <c r="P24" s="720">
        <f t="shared" si="2"/>
        <v>100</v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16240</v>
      </c>
      <c r="J25" s="538">
        <v>16040</v>
      </c>
      <c r="K25" s="538">
        <v>8199</v>
      </c>
      <c r="L25" s="552">
        <v>14696</v>
      </c>
      <c r="M25" s="388">
        <v>0</v>
      </c>
      <c r="N25" s="742">
        <f t="shared" si="9"/>
        <v>14696</v>
      </c>
      <c r="O25" s="715">
        <f t="shared" si="4"/>
        <v>91.620947630922686</v>
      </c>
      <c r="P25" s="720">
        <f t="shared" si="2"/>
        <v>179.24137089889012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3">
        <v>0</v>
      </c>
      <c r="M26" s="384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22540</v>
      </c>
      <c r="J28" s="537">
        <f t="shared" ref="J28" si="12">SUM(J29:J30)</f>
        <v>22540</v>
      </c>
      <c r="K28" s="537">
        <f>SUM(K29:K30)</f>
        <v>29917</v>
      </c>
      <c r="L28" s="574">
        <f>SUM(L29:L30)</f>
        <v>17742</v>
      </c>
      <c r="M28" s="318">
        <f>SUM(M29:M30)</f>
        <v>4537</v>
      </c>
      <c r="N28" s="732">
        <f>SUM(N29:N30)</f>
        <v>22279</v>
      </c>
      <c r="O28" s="714">
        <f t="shared" si="4"/>
        <v>98.842058562555451</v>
      </c>
      <c r="P28" s="719">
        <f t="shared" si="2"/>
        <v>74.469365243841295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3000</v>
      </c>
      <c r="J29" s="538">
        <v>3000</v>
      </c>
      <c r="K29" s="538">
        <v>24647</v>
      </c>
      <c r="L29" s="608">
        <v>2938</v>
      </c>
      <c r="M29" s="319">
        <v>0</v>
      </c>
      <c r="N29" s="742">
        <f t="shared" ref="N29:N30" si="13">SUM(L29:M29)</f>
        <v>2938</v>
      </c>
      <c r="O29" s="715">
        <f t="shared" si="4"/>
        <v>97.933333333333323</v>
      </c>
      <c r="P29" s="720">
        <f t="shared" si="2"/>
        <v>11.920314845620156</v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19540</v>
      </c>
      <c r="J30" s="538">
        <v>19540</v>
      </c>
      <c r="K30" s="538">
        <v>5270</v>
      </c>
      <c r="L30" s="608">
        <f>19341-4537</f>
        <v>14804</v>
      </c>
      <c r="M30" s="319">
        <v>4537</v>
      </c>
      <c r="N30" s="742">
        <f t="shared" si="13"/>
        <v>19341</v>
      </c>
      <c r="O30" s="715">
        <f t="shared" si="4"/>
        <v>98.981576253838284</v>
      </c>
      <c r="P30" s="720">
        <f t="shared" si="2"/>
        <v>367.00189753320683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895</v>
      </c>
      <c r="J32" s="539"/>
      <c r="K32" s="539" t="s">
        <v>902</v>
      </c>
      <c r="L32" s="570" t="s">
        <v>914</v>
      </c>
      <c r="M32" s="320"/>
      <c r="N32" s="744" t="s">
        <v>914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1056080</v>
      </c>
      <c r="J33" s="311">
        <f>J8+J13+J16+J28</f>
        <v>1046580</v>
      </c>
      <c r="K33" s="561">
        <f t="shared" ref="K33" si="14">K8+K13+K16+K28</f>
        <v>1140577</v>
      </c>
      <c r="L33" s="568">
        <f>L8+L13+L16+L28</f>
        <v>1038212</v>
      </c>
      <c r="M33" s="311">
        <f>M8+M13+M16+M28</f>
        <v>4537</v>
      </c>
      <c r="N33" s="732">
        <f>N8+N13+N16+N28</f>
        <v>1042749</v>
      </c>
      <c r="O33" s="714">
        <f t="shared" si="4"/>
        <v>99.63395058189532</v>
      </c>
      <c r="P33" s="719">
        <f t="shared" si="2"/>
        <v>91.422937688555876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B44" s="55"/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757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134</v>
      </c>
      <c r="E7" s="653" t="s">
        <v>798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354740</v>
      </c>
      <c r="J8" s="537">
        <f t="shared" ref="J8" si="1">SUM(J9:J11)</f>
        <v>345240</v>
      </c>
      <c r="K8" s="537">
        <f>SUM(K9:K11)</f>
        <v>366617</v>
      </c>
      <c r="L8" s="564">
        <f>SUM(L9:L11)</f>
        <v>343100</v>
      </c>
      <c r="M8" s="233">
        <f>SUM(M9:M11)</f>
        <v>0</v>
      </c>
      <c r="N8" s="741">
        <f>SUM(N9:N11)</f>
        <v>343100</v>
      </c>
      <c r="O8" s="714">
        <f>IF(J8=0,"",N8/J8*100)</f>
        <v>99.380141350944271</v>
      </c>
      <c r="P8" s="719">
        <f>IF(K8=0,"",N8/K8*100)</f>
        <v>93.585403841065741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287790</v>
      </c>
      <c r="J9" s="538">
        <v>283790</v>
      </c>
      <c r="K9" s="538">
        <v>298291</v>
      </c>
      <c r="L9" s="611">
        <v>281970</v>
      </c>
      <c r="M9" s="235">
        <v>0</v>
      </c>
      <c r="N9" s="742">
        <f>SUM(L9:M9)</f>
        <v>281970</v>
      </c>
      <c r="O9" s="715">
        <f>IF(J9=0,"",N9/J9*100)</f>
        <v>99.358680714612916</v>
      </c>
      <c r="P9" s="720">
        <f t="shared" ref="P9:P33" si="2">IF(K9=0,"",N9/K9*100)</f>
        <v>94.528497339845984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66950</v>
      </c>
      <c r="J10" s="538">
        <v>61450</v>
      </c>
      <c r="K10" s="538">
        <v>68326</v>
      </c>
      <c r="L10" s="611">
        <v>61130</v>
      </c>
      <c r="M10" s="235">
        <v>0</v>
      </c>
      <c r="N10" s="742">
        <f t="shared" ref="N10:N11" si="3">SUM(L10:M10)</f>
        <v>61130</v>
      </c>
      <c r="O10" s="715">
        <f t="shared" ref="O10:P35" si="4">IF(J10=0,"",N10/J10*100)</f>
        <v>99.479251423921895</v>
      </c>
      <c r="P10" s="720">
        <f t="shared" si="2"/>
        <v>89.468138044082778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31610</v>
      </c>
      <c r="J13" s="537">
        <f t="shared" si="6"/>
        <v>31610</v>
      </c>
      <c r="K13" s="537">
        <f>K14</f>
        <v>33120</v>
      </c>
      <c r="L13" s="564">
        <f>L14</f>
        <v>30778</v>
      </c>
      <c r="M13" s="233">
        <f>M14</f>
        <v>0</v>
      </c>
      <c r="N13" s="741">
        <f>N14</f>
        <v>30778</v>
      </c>
      <c r="O13" s="714">
        <f t="shared" si="4"/>
        <v>97.367921543815257</v>
      </c>
      <c r="P13" s="719">
        <f t="shared" si="2"/>
        <v>92.928743961352652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31610</v>
      </c>
      <c r="J14" s="538">
        <v>31610</v>
      </c>
      <c r="K14" s="538">
        <v>33120</v>
      </c>
      <c r="L14" s="611">
        <v>30778</v>
      </c>
      <c r="M14" s="235">
        <v>0</v>
      </c>
      <c r="N14" s="742">
        <f>SUM(L14:M14)</f>
        <v>30778</v>
      </c>
      <c r="O14" s="715">
        <f t="shared" si="4"/>
        <v>97.367921543815257</v>
      </c>
      <c r="P14" s="720">
        <f t="shared" si="2"/>
        <v>92.928743961352652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39150</v>
      </c>
      <c r="J16" s="537">
        <f t="shared" ref="J16" si="8">SUM(J17:J26)</f>
        <v>39150</v>
      </c>
      <c r="K16" s="537">
        <f>SUM(K17:K26)</f>
        <v>46663</v>
      </c>
      <c r="L16" s="567">
        <f>SUM(L17:L26)</f>
        <v>37412</v>
      </c>
      <c r="M16" s="316">
        <f>SUM(M17:M26)</f>
        <v>0</v>
      </c>
      <c r="N16" s="732">
        <f>SUM(N17:N26)</f>
        <v>37412</v>
      </c>
      <c r="O16" s="714">
        <f t="shared" si="4"/>
        <v>95.560664112388253</v>
      </c>
      <c r="P16" s="719">
        <f t="shared" si="2"/>
        <v>80.174870882712213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1550</v>
      </c>
      <c r="J17" s="538">
        <v>1550</v>
      </c>
      <c r="K17" s="538">
        <v>2736</v>
      </c>
      <c r="L17" s="551">
        <v>1266</v>
      </c>
      <c r="M17" s="386">
        <v>0</v>
      </c>
      <c r="N17" s="742">
        <f t="shared" ref="N17:N26" si="9">SUM(L17:M17)</f>
        <v>1266</v>
      </c>
      <c r="O17" s="715">
        <f t="shared" si="4"/>
        <v>81.677419354838705</v>
      </c>
      <c r="P17" s="720">
        <f t="shared" si="2"/>
        <v>46.271929824561404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15200</v>
      </c>
      <c r="J18" s="538">
        <v>15200</v>
      </c>
      <c r="K18" s="538">
        <v>16101</v>
      </c>
      <c r="L18" s="551">
        <v>14335</v>
      </c>
      <c r="M18" s="386">
        <v>0</v>
      </c>
      <c r="N18" s="742">
        <f t="shared" si="9"/>
        <v>14335</v>
      </c>
      <c r="O18" s="715">
        <f t="shared" si="4"/>
        <v>94.309210526315795</v>
      </c>
      <c r="P18" s="720">
        <f t="shared" si="2"/>
        <v>89.031737159182654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2500</v>
      </c>
      <c r="J19" s="538">
        <v>2500</v>
      </c>
      <c r="K19" s="538">
        <v>2331</v>
      </c>
      <c r="L19" s="551">
        <v>2252</v>
      </c>
      <c r="M19" s="386">
        <v>0</v>
      </c>
      <c r="N19" s="742">
        <f t="shared" si="9"/>
        <v>2252</v>
      </c>
      <c r="O19" s="715">
        <f t="shared" si="4"/>
        <v>90.08</v>
      </c>
      <c r="P19" s="720">
        <f t="shared" si="2"/>
        <v>96.610896610896617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7000</v>
      </c>
      <c r="J20" s="538">
        <v>7000</v>
      </c>
      <c r="K20" s="538">
        <v>9453</v>
      </c>
      <c r="L20" s="551">
        <v>6846</v>
      </c>
      <c r="M20" s="386">
        <v>0</v>
      </c>
      <c r="N20" s="742">
        <f t="shared" si="9"/>
        <v>6846</v>
      </c>
      <c r="O20" s="715">
        <f t="shared" si="4"/>
        <v>97.8</v>
      </c>
      <c r="P20" s="720">
        <f t="shared" si="2"/>
        <v>72.421453506823227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600</v>
      </c>
      <c r="J21" s="538">
        <v>600</v>
      </c>
      <c r="K21" s="538">
        <v>599</v>
      </c>
      <c r="L21" s="551">
        <v>590</v>
      </c>
      <c r="M21" s="386">
        <v>0</v>
      </c>
      <c r="N21" s="742">
        <f t="shared" si="9"/>
        <v>590</v>
      </c>
      <c r="O21" s="715">
        <f t="shared" si="4"/>
        <v>98.333333333333329</v>
      </c>
      <c r="P21" s="720">
        <f t="shared" si="2"/>
        <v>98.497495826377289</v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5000</v>
      </c>
      <c r="J23" s="538">
        <v>5000</v>
      </c>
      <c r="K23" s="538">
        <v>5956</v>
      </c>
      <c r="L23" s="551">
        <v>4987</v>
      </c>
      <c r="M23" s="386">
        <v>0</v>
      </c>
      <c r="N23" s="742">
        <f t="shared" si="9"/>
        <v>4987</v>
      </c>
      <c r="O23" s="715">
        <f t="shared" si="4"/>
        <v>99.74</v>
      </c>
      <c r="P23" s="720">
        <f t="shared" si="2"/>
        <v>83.73069173942244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52">
        <v>0</v>
      </c>
      <c r="M24" s="388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7300</v>
      </c>
      <c r="J25" s="538">
        <v>7300</v>
      </c>
      <c r="K25" s="538">
        <v>9487</v>
      </c>
      <c r="L25" s="552">
        <v>7136</v>
      </c>
      <c r="M25" s="388">
        <v>0</v>
      </c>
      <c r="N25" s="742">
        <f t="shared" si="9"/>
        <v>7136</v>
      </c>
      <c r="O25" s="715">
        <f t="shared" si="4"/>
        <v>97.753424657534254</v>
      </c>
      <c r="P25" s="720">
        <f t="shared" si="2"/>
        <v>75.218720354168866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ht="12.95" customHeight="1">
      <c r="B27" s="10"/>
      <c r="C27" s="11"/>
      <c r="D27" s="11"/>
      <c r="E27" s="309"/>
      <c r="F27" s="328"/>
      <c r="G27" s="354"/>
      <c r="H27" s="11"/>
      <c r="I27" s="537"/>
      <c r="J27" s="537"/>
      <c r="K27" s="537"/>
      <c r="L27" s="574"/>
      <c r="M27" s="318"/>
      <c r="N27" s="732"/>
      <c r="O27" s="715" t="str">
        <f t="shared" si="4"/>
        <v/>
      </c>
      <c r="P27" s="720" t="str">
        <f t="shared" si="2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2000</v>
      </c>
      <c r="J28" s="537">
        <f t="shared" ref="J28" si="12">SUM(J29:J30)</f>
        <v>2000</v>
      </c>
      <c r="K28" s="537">
        <f>SUM(K29:K30)</f>
        <v>7982</v>
      </c>
      <c r="L28" s="574">
        <f>SUM(L29:L30)</f>
        <v>1950</v>
      </c>
      <c r="M28" s="318">
        <f>SUM(M29:M30)</f>
        <v>0</v>
      </c>
      <c r="N28" s="732">
        <f>SUM(N29:N30)</f>
        <v>1950</v>
      </c>
      <c r="O28" s="714">
        <f t="shared" si="4"/>
        <v>97.5</v>
      </c>
      <c r="P28" s="719">
        <f t="shared" si="2"/>
        <v>24.429967426710096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608">
        <v>0</v>
      </c>
      <c r="M29" s="319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2000</v>
      </c>
      <c r="J30" s="538">
        <v>2000</v>
      </c>
      <c r="K30" s="538">
        <v>7982</v>
      </c>
      <c r="L30" s="608">
        <v>1950</v>
      </c>
      <c r="M30" s="319">
        <v>0</v>
      </c>
      <c r="N30" s="742">
        <f t="shared" si="14"/>
        <v>1950</v>
      </c>
      <c r="O30" s="715">
        <f t="shared" si="4"/>
        <v>97.5</v>
      </c>
      <c r="P30" s="720">
        <f t="shared" si="2"/>
        <v>24.429967426710096</v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896</v>
      </c>
      <c r="J32" s="539"/>
      <c r="K32" s="539" t="s">
        <v>684</v>
      </c>
      <c r="L32" s="612" t="s">
        <v>896</v>
      </c>
      <c r="M32" s="301"/>
      <c r="N32" s="744" t="s">
        <v>896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427500</v>
      </c>
      <c r="J33" s="311">
        <f>J8+J13+J16+J28</f>
        <v>418000</v>
      </c>
      <c r="K33" s="561">
        <f t="shared" ref="K33" si="15">K8+K13+K16+K28</f>
        <v>454382</v>
      </c>
      <c r="L33" s="568">
        <f>L8+L13+L16+L28</f>
        <v>413240</v>
      </c>
      <c r="M33" s="311">
        <f>M8+M13+M16+M28</f>
        <v>0</v>
      </c>
      <c r="N33" s="732">
        <f>N8+N13+N16+N28</f>
        <v>413240</v>
      </c>
      <c r="O33" s="714">
        <f t="shared" si="4"/>
        <v>98.861244019138766</v>
      </c>
      <c r="P33" s="719">
        <f t="shared" si="2"/>
        <v>90.945504003239563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/>
      <c r="J34" s="311"/>
      <c r="K34" s="561"/>
      <c r="L34" s="568"/>
      <c r="M34" s="311"/>
      <c r="N34" s="732"/>
      <c r="O34" s="715" t="str">
        <f>IF(J34=0,"",N34/J34*100)</f>
        <v/>
      </c>
      <c r="P34" s="720" t="str">
        <f>IF(K34=0,"",O34/K34*100)</f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30"/>
      <c r="J35" s="30"/>
      <c r="K35" s="572"/>
      <c r="L35" s="566"/>
      <c r="M35" s="302"/>
      <c r="N35" s="743"/>
      <c r="O35" s="715" t="str">
        <f t="shared" si="4"/>
        <v/>
      </c>
      <c r="P35" s="720" t="str">
        <f t="shared" si="4"/>
        <v/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B44" s="55"/>
      <c r="F44" s="330"/>
      <c r="G44" s="356"/>
      <c r="N44" s="410"/>
    </row>
    <row r="45" spans="1:16" ht="12.95" customHeight="1">
      <c r="B45" s="55"/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R96"/>
  <sheetViews>
    <sheetView zoomScaleNormal="100" workbookViewId="0">
      <selection activeCell="T27" sqref="T27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758</v>
      </c>
      <c r="C2" s="907"/>
      <c r="D2" s="907"/>
      <c r="E2" s="907"/>
      <c r="F2" s="907"/>
      <c r="G2" s="907"/>
      <c r="H2" s="907"/>
      <c r="I2" s="907"/>
      <c r="J2" s="940"/>
      <c r="K2" s="940"/>
      <c r="L2" s="940"/>
      <c r="M2" s="940"/>
      <c r="N2" s="940"/>
      <c r="O2" s="940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131</v>
      </c>
      <c r="C7" s="7" t="s">
        <v>132</v>
      </c>
      <c r="D7" s="7" t="s">
        <v>135</v>
      </c>
      <c r="E7" s="653" t="s">
        <v>798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:J8" si="0">SUM(I9:I11)</f>
        <v>537600</v>
      </c>
      <c r="J8" s="537">
        <f t="shared" si="0"/>
        <v>529600</v>
      </c>
      <c r="K8" s="537">
        <f>SUM(K9:K11)</f>
        <v>569370</v>
      </c>
      <c r="L8" s="564">
        <f>SUM(L9:L11)</f>
        <v>529288</v>
      </c>
      <c r="M8" s="233">
        <f>SUM(M9:M11)</f>
        <v>0</v>
      </c>
      <c r="N8" s="741">
        <f>SUM(N9:N11)</f>
        <v>529288</v>
      </c>
      <c r="O8" s="714">
        <f>IF(J8=0,"",N8/J8*100)</f>
        <v>99.94108761329305</v>
      </c>
      <c r="P8" s="719">
        <f>IF(K8=0,"",N8/K8*100)</f>
        <v>92.960289442717396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440150</v>
      </c>
      <c r="J9" s="538">
        <v>436650</v>
      </c>
      <c r="K9" s="538">
        <v>461567</v>
      </c>
      <c r="L9" s="611">
        <v>436596</v>
      </c>
      <c r="M9" s="235">
        <v>0</v>
      </c>
      <c r="N9" s="742">
        <f>SUM(L9:M9)</f>
        <v>436596</v>
      </c>
      <c r="O9" s="715">
        <f>IF(J9=0,"",N9/J9*100)</f>
        <v>99.987633115767778</v>
      </c>
      <c r="P9" s="720">
        <f t="shared" ref="P9:P35" si="1">IF(K9=0,"",N9/K9*100)</f>
        <v>94.589951188018205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97450</v>
      </c>
      <c r="J10" s="538">
        <v>92950</v>
      </c>
      <c r="K10" s="538">
        <v>107803</v>
      </c>
      <c r="L10" s="611">
        <v>92692</v>
      </c>
      <c r="M10" s="235">
        <v>0</v>
      </c>
      <c r="N10" s="742">
        <f t="shared" ref="N10:N11" si="2">SUM(L10:M10)</f>
        <v>92692</v>
      </c>
      <c r="O10" s="715">
        <f t="shared" ref="O10:O35" si="3">IF(J10=0,"",N10/J10*100)</f>
        <v>99.722431414739106</v>
      </c>
      <c r="P10" s="720">
        <f t="shared" si="1"/>
        <v>85.982764858120831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4">SUM(G11:H11)</f>
        <v>0</v>
      </c>
      <c r="J11" s="538">
        <f t="shared" si="4"/>
        <v>0</v>
      </c>
      <c r="K11" s="538">
        <v>0</v>
      </c>
      <c r="L11" s="565">
        <v>0</v>
      </c>
      <c r="M11" s="232">
        <v>0</v>
      </c>
      <c r="N11" s="742">
        <f t="shared" si="2"/>
        <v>0</v>
      </c>
      <c r="O11" s="715" t="str">
        <f t="shared" si="3"/>
        <v/>
      </c>
      <c r="P11" s="720" t="str">
        <f t="shared" si="1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3"/>
        <v/>
      </c>
      <c r="P12" s="720" t="str">
        <f t="shared" si="1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5">I14</f>
        <v>47460</v>
      </c>
      <c r="J13" s="537">
        <f t="shared" si="5"/>
        <v>47460</v>
      </c>
      <c r="K13" s="537">
        <f>K14</f>
        <v>49165</v>
      </c>
      <c r="L13" s="564">
        <f>L14</f>
        <v>46497</v>
      </c>
      <c r="M13" s="233">
        <f>M14</f>
        <v>0</v>
      </c>
      <c r="N13" s="741">
        <f>N14</f>
        <v>46497</v>
      </c>
      <c r="O13" s="714">
        <f t="shared" si="3"/>
        <v>97.970922882427303</v>
      </c>
      <c r="P13" s="719">
        <f t="shared" si="1"/>
        <v>94.573375368656571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47460</v>
      </c>
      <c r="J14" s="538">
        <v>47460</v>
      </c>
      <c r="K14" s="538">
        <v>49165</v>
      </c>
      <c r="L14" s="611">
        <v>46497</v>
      </c>
      <c r="M14" s="235">
        <v>0</v>
      </c>
      <c r="N14" s="742">
        <f>SUM(L14:M14)</f>
        <v>46497</v>
      </c>
      <c r="O14" s="715">
        <f t="shared" si="3"/>
        <v>97.970922882427303</v>
      </c>
      <c r="P14" s="720">
        <f t="shared" si="1"/>
        <v>94.573375368656571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3"/>
        <v/>
      </c>
      <c r="P15" s="720" t="str">
        <f t="shared" si="1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:J16" si="6">SUM(I17:I26)</f>
        <v>55440</v>
      </c>
      <c r="J16" s="537">
        <f t="shared" si="6"/>
        <v>55440</v>
      </c>
      <c r="K16" s="537">
        <f>SUM(K17:K26)</f>
        <v>62273</v>
      </c>
      <c r="L16" s="567">
        <f>SUM(L17:L26)</f>
        <v>54584</v>
      </c>
      <c r="M16" s="316">
        <f>SUM(M17:M26)</f>
        <v>0</v>
      </c>
      <c r="N16" s="732">
        <f>SUM(N17:N26)</f>
        <v>54584</v>
      </c>
      <c r="O16" s="714">
        <f t="shared" si="3"/>
        <v>98.455988455988447</v>
      </c>
      <c r="P16" s="719">
        <f t="shared" si="1"/>
        <v>87.652754805453398</v>
      </c>
    </row>
    <row r="17" spans="1:16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2300</v>
      </c>
      <c r="J17" s="538">
        <v>2100</v>
      </c>
      <c r="K17" s="538">
        <v>3486</v>
      </c>
      <c r="L17" s="551">
        <v>1859</v>
      </c>
      <c r="M17" s="386">
        <v>0</v>
      </c>
      <c r="N17" s="742">
        <f t="shared" ref="N17:N26" si="7">SUM(L17:M17)</f>
        <v>1859</v>
      </c>
      <c r="O17" s="715">
        <f t="shared" si="3"/>
        <v>88.523809523809533</v>
      </c>
      <c r="P17" s="720">
        <f t="shared" si="1"/>
        <v>53.327596098680438</v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25500</v>
      </c>
      <c r="J18" s="538">
        <v>25000</v>
      </c>
      <c r="K18" s="538">
        <v>30401</v>
      </c>
      <c r="L18" s="551">
        <v>24993</v>
      </c>
      <c r="M18" s="386">
        <v>0</v>
      </c>
      <c r="N18" s="742">
        <f t="shared" si="7"/>
        <v>24993</v>
      </c>
      <c r="O18" s="715">
        <f t="shared" si="3"/>
        <v>99.972000000000008</v>
      </c>
      <c r="P18" s="720">
        <f t="shared" si="1"/>
        <v>82.211111476596159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2200</v>
      </c>
      <c r="J19" s="538">
        <v>2200</v>
      </c>
      <c r="K19" s="538">
        <v>3131</v>
      </c>
      <c r="L19" s="551">
        <v>1817</v>
      </c>
      <c r="M19" s="386">
        <v>0</v>
      </c>
      <c r="N19" s="742">
        <f t="shared" si="7"/>
        <v>1817</v>
      </c>
      <c r="O19" s="715">
        <f t="shared" si="3"/>
        <v>82.590909090909093</v>
      </c>
      <c r="P19" s="720">
        <f t="shared" si="1"/>
        <v>58.03257745129352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7500</v>
      </c>
      <c r="J20" s="538">
        <v>7500</v>
      </c>
      <c r="K20" s="538">
        <v>8997</v>
      </c>
      <c r="L20" s="552">
        <v>7484</v>
      </c>
      <c r="M20" s="388">
        <v>0</v>
      </c>
      <c r="N20" s="742">
        <f t="shared" si="7"/>
        <v>7484</v>
      </c>
      <c r="O20" s="715">
        <f t="shared" si="3"/>
        <v>99.786666666666662</v>
      </c>
      <c r="P20" s="720">
        <f t="shared" si="1"/>
        <v>83.183283316661104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600</v>
      </c>
      <c r="J21" s="538">
        <v>600</v>
      </c>
      <c r="K21" s="538">
        <v>992</v>
      </c>
      <c r="L21" s="552">
        <v>592</v>
      </c>
      <c r="M21" s="388">
        <v>0</v>
      </c>
      <c r="N21" s="742">
        <f t="shared" si="7"/>
        <v>592</v>
      </c>
      <c r="O21" s="715">
        <f t="shared" si="3"/>
        <v>98.666666666666671</v>
      </c>
      <c r="P21" s="720">
        <f t="shared" si="1"/>
        <v>59.677419354838712</v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8">SUM(G22:H22)</f>
        <v>0</v>
      </c>
      <c r="J22" s="538">
        <f t="shared" si="8"/>
        <v>0</v>
      </c>
      <c r="K22" s="538">
        <v>0</v>
      </c>
      <c r="L22" s="552">
        <v>0</v>
      </c>
      <c r="M22" s="388">
        <v>0</v>
      </c>
      <c r="N22" s="742">
        <f t="shared" si="7"/>
        <v>0</v>
      </c>
      <c r="O22" s="715" t="str">
        <f t="shared" si="3"/>
        <v/>
      </c>
      <c r="P22" s="720" t="str">
        <f t="shared" si="1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9000</v>
      </c>
      <c r="J23" s="538">
        <v>9700</v>
      </c>
      <c r="K23" s="538">
        <v>8436</v>
      </c>
      <c r="L23" s="552">
        <v>9563</v>
      </c>
      <c r="M23" s="388">
        <v>0</v>
      </c>
      <c r="N23" s="742">
        <f t="shared" si="7"/>
        <v>9563</v>
      </c>
      <c r="O23" s="715">
        <f t="shared" si="3"/>
        <v>98.587628865979383</v>
      </c>
      <c r="P23" s="720">
        <f t="shared" si="1"/>
        <v>113.35941204362257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8"/>
        <v>0</v>
      </c>
      <c r="J24" s="538">
        <f t="shared" si="8"/>
        <v>0</v>
      </c>
      <c r="K24" s="538">
        <v>0</v>
      </c>
      <c r="L24" s="552">
        <v>0</v>
      </c>
      <c r="M24" s="388">
        <v>0</v>
      </c>
      <c r="N24" s="742">
        <f t="shared" si="7"/>
        <v>0</v>
      </c>
      <c r="O24" s="715" t="str">
        <f t="shared" si="3"/>
        <v/>
      </c>
      <c r="P24" s="720" t="str">
        <f t="shared" si="1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8340</v>
      </c>
      <c r="J25" s="538">
        <v>8340</v>
      </c>
      <c r="K25" s="538">
        <v>6830</v>
      </c>
      <c r="L25" s="552">
        <v>8276</v>
      </c>
      <c r="M25" s="388">
        <v>0</v>
      </c>
      <c r="N25" s="742">
        <f t="shared" si="7"/>
        <v>8276</v>
      </c>
      <c r="O25" s="715">
        <f t="shared" si="3"/>
        <v>99.232613908872906</v>
      </c>
      <c r="P25" s="720">
        <f t="shared" si="1"/>
        <v>121.17130307467056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8"/>
        <v>0</v>
      </c>
      <c r="J26" s="538">
        <f t="shared" si="8"/>
        <v>0</v>
      </c>
      <c r="K26" s="538">
        <v>0</v>
      </c>
      <c r="L26" s="552">
        <v>0</v>
      </c>
      <c r="M26" s="388">
        <v>0</v>
      </c>
      <c r="N26" s="742">
        <f t="shared" si="7"/>
        <v>0</v>
      </c>
      <c r="O26" s="715" t="str">
        <f t="shared" si="3"/>
        <v/>
      </c>
      <c r="P26" s="720" t="str">
        <f t="shared" si="1"/>
        <v/>
      </c>
    </row>
    <row r="27" spans="1:16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3"/>
        <v/>
      </c>
      <c r="P27" s="720" t="str">
        <f t="shared" si="1"/>
        <v/>
      </c>
    </row>
    <row r="28" spans="1:16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:J28" si="9">SUM(I29:I31)</f>
        <v>3000</v>
      </c>
      <c r="J28" s="537">
        <f t="shared" si="9"/>
        <v>3000</v>
      </c>
      <c r="K28" s="537">
        <f>SUM(K29:K30)</f>
        <v>4899</v>
      </c>
      <c r="L28" s="574">
        <f>SUM(L29:L31)</f>
        <v>2958</v>
      </c>
      <c r="M28" s="318">
        <f>SUM(M29:M31)</f>
        <v>0</v>
      </c>
      <c r="N28" s="732">
        <f>SUM(N29:N31)</f>
        <v>2958</v>
      </c>
      <c r="O28" s="714">
        <f t="shared" si="3"/>
        <v>98.6</v>
      </c>
      <c r="P28" s="719">
        <f t="shared" si="1"/>
        <v>60.37966932026945</v>
      </c>
    </row>
    <row r="29" spans="1:16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0">SUM(G29:H29)</f>
        <v>0</v>
      </c>
      <c r="J29" s="538">
        <f t="shared" si="10"/>
        <v>0</v>
      </c>
      <c r="K29" s="538">
        <v>0</v>
      </c>
      <c r="L29" s="608">
        <v>0</v>
      </c>
      <c r="M29" s="319">
        <v>0</v>
      </c>
      <c r="N29" s="742">
        <f t="shared" ref="N29:N30" si="11">SUM(L29:M29)</f>
        <v>0</v>
      </c>
      <c r="O29" s="715" t="str">
        <f t="shared" si="3"/>
        <v/>
      </c>
      <c r="P29" s="720" t="str">
        <f t="shared" si="1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3000</v>
      </c>
      <c r="J30" s="538">
        <v>3000</v>
      </c>
      <c r="K30" s="538">
        <v>4899</v>
      </c>
      <c r="L30" s="608">
        <v>2958</v>
      </c>
      <c r="M30" s="319">
        <v>0</v>
      </c>
      <c r="N30" s="742">
        <f t="shared" si="11"/>
        <v>2958</v>
      </c>
      <c r="O30" s="715">
        <f t="shared" si="3"/>
        <v>98.6</v>
      </c>
      <c r="P30" s="720">
        <f t="shared" si="1"/>
        <v>60.37966932026945</v>
      </c>
    </row>
    <row r="31" spans="1:16" ht="12.95" customHeight="1">
      <c r="B31" s="10"/>
      <c r="C31" s="11"/>
      <c r="D31" s="11"/>
      <c r="E31" s="309"/>
      <c r="F31" s="328"/>
      <c r="G31" s="354"/>
      <c r="H31" s="20"/>
      <c r="I31" s="538"/>
      <c r="J31" s="538"/>
      <c r="K31" s="538"/>
      <c r="L31" s="608"/>
      <c r="M31" s="319"/>
      <c r="N31" s="743"/>
      <c r="O31" s="715" t="str">
        <f t="shared" si="3"/>
        <v/>
      </c>
      <c r="P31" s="720" t="str">
        <f t="shared" si="1"/>
        <v/>
      </c>
    </row>
    <row r="32" spans="1:16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9" t="s">
        <v>897</v>
      </c>
      <c r="J32" s="539"/>
      <c r="K32" s="539" t="s">
        <v>865</v>
      </c>
      <c r="L32" s="612" t="s">
        <v>897</v>
      </c>
      <c r="M32" s="301"/>
      <c r="N32" s="744" t="s">
        <v>897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643500</v>
      </c>
      <c r="J33" s="311">
        <f>J8+J13+J16+J28</f>
        <v>635500</v>
      </c>
      <c r="K33" s="561">
        <f t="shared" ref="K33" si="12">K8+K13+K16+K28</f>
        <v>685707</v>
      </c>
      <c r="L33" s="568">
        <f>L8+L13+L16+L28</f>
        <v>633327</v>
      </c>
      <c r="M33" s="311">
        <f>M8+M13+M16+M28</f>
        <v>0</v>
      </c>
      <c r="N33" s="732">
        <f>N8+N13+N16+N28</f>
        <v>633327</v>
      </c>
      <c r="O33" s="714">
        <f t="shared" si="3"/>
        <v>99.658064516129031</v>
      </c>
      <c r="P33" s="719">
        <f t="shared" si="1"/>
        <v>92.361168837418887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I33+'29'!I33+'28'!I33+'27'!I33+'26'!I33+'25'!I33+'24'!I33</f>
        <v>7711980</v>
      </c>
      <c r="J34" s="311">
        <f>J33+'29'!J33+'28'!J33+'27'!J33+'26'!J33+'25'!J33+'24'!J33</f>
        <v>7632980</v>
      </c>
      <c r="K34" s="561">
        <f>K33+'29'!K33+'28'!K33+'27'!K33+'26'!K33+'25'!K33+'24'!K33</f>
        <v>7749086</v>
      </c>
      <c r="L34" s="568">
        <f>L33+'29'!L33+'28'!L33+'27'!L33+'26'!L33+'25'!L33+'24'!L33</f>
        <v>7595403</v>
      </c>
      <c r="M34" s="311">
        <f>M33+'29'!M33+'28'!M33+'27'!M33+'26'!M33+'25'!M33+'24'!M33</f>
        <v>5822</v>
      </c>
      <c r="N34" s="732">
        <f>N33+'29'!N33+'28'!N33+'27'!N33+'26'!N33+'25'!N33+'24'!N33</f>
        <v>7601225</v>
      </c>
      <c r="O34" s="714">
        <f>IF(J34=0,"",N34/J34*100)</f>
        <v>99.583976376199075</v>
      </c>
      <c r="P34" s="719">
        <f t="shared" si="1"/>
        <v>98.091891095285305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I34+'23'!I34+'20'!I53</f>
        <v>13487490</v>
      </c>
      <c r="J35" s="15">
        <f>J34+'23'!J34+'20'!J53</f>
        <v>13352490</v>
      </c>
      <c r="K35" s="561">
        <f>K34+'23'!K34+'20'!K53</f>
        <v>13289441</v>
      </c>
      <c r="L35" s="568">
        <f>L34+'23'!L34+'20'!L53</f>
        <v>12915282</v>
      </c>
      <c r="M35" s="311">
        <f>M34+'23'!M34+'20'!M53</f>
        <v>377115</v>
      </c>
      <c r="N35" s="732">
        <f>N34+'23'!N34+'20'!N53</f>
        <v>13292397</v>
      </c>
      <c r="O35" s="714">
        <f t="shared" si="3"/>
        <v>99.549949110615316</v>
      </c>
      <c r="P35" s="719">
        <f t="shared" si="1"/>
        <v>100.02224322302196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B44" s="55"/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R96"/>
  <sheetViews>
    <sheetView topLeftCell="A7" zoomScaleNormal="100" workbookViewId="0">
      <selection activeCell="U27" sqref="U27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721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136</v>
      </c>
      <c r="C7" s="7" t="s">
        <v>80</v>
      </c>
      <c r="D7" s="7" t="s">
        <v>81</v>
      </c>
      <c r="E7" s="653" t="s">
        <v>788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233320</v>
      </c>
      <c r="J8" s="537">
        <f t="shared" ref="J8" si="1">SUM(J9:J11)</f>
        <v>233320</v>
      </c>
      <c r="K8" s="537">
        <f>SUM(K9:K11)</f>
        <v>264949</v>
      </c>
      <c r="L8" s="564">
        <f>SUM(L9:L11)</f>
        <v>231622</v>
      </c>
      <c r="M8" s="233">
        <f>SUM(M9:M11)</f>
        <v>0</v>
      </c>
      <c r="N8" s="741">
        <f>SUM(N9:N11)</f>
        <v>231622</v>
      </c>
      <c r="O8" s="714">
        <f>IF(J8=0,"",N8/J8*100)</f>
        <v>99.272244128235897</v>
      </c>
      <c r="P8" s="719">
        <f>IF(K8=0,"",N8/K8*100)</f>
        <v>87.421352788649884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186960</v>
      </c>
      <c r="J9" s="538">
        <v>186960</v>
      </c>
      <c r="K9" s="538">
        <v>203265</v>
      </c>
      <c r="L9" s="611">
        <v>186554</v>
      </c>
      <c r="M9" s="235">
        <v>0</v>
      </c>
      <c r="N9" s="742">
        <f>SUM(L9:M9)</f>
        <v>186554</v>
      </c>
      <c r="O9" s="715">
        <f>IF(J9=0,"",N9/J9*100)</f>
        <v>99.782841249465122</v>
      </c>
      <c r="P9" s="720">
        <f t="shared" ref="P9:P38" si="2">IF(K9=0,"",N9/K9*100)</f>
        <v>91.778712518141347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46360</v>
      </c>
      <c r="J10" s="538">
        <v>46360</v>
      </c>
      <c r="K10" s="538">
        <v>61684</v>
      </c>
      <c r="L10" s="611">
        <v>45068</v>
      </c>
      <c r="M10" s="235">
        <v>0</v>
      </c>
      <c r="N10" s="742">
        <f t="shared" ref="N10:N11" si="3">SUM(L10:M10)</f>
        <v>45068</v>
      </c>
      <c r="O10" s="715">
        <f t="shared" ref="O10:O38" si="4">IF(J10=0,"",N10/J10*100)</f>
        <v>97.213114754098356</v>
      </c>
      <c r="P10" s="720">
        <f t="shared" si="2"/>
        <v>73.062706698657678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19920</v>
      </c>
      <c r="J13" s="537">
        <f t="shared" si="6"/>
        <v>19920</v>
      </c>
      <c r="K13" s="537">
        <f>K14</f>
        <v>21726</v>
      </c>
      <c r="L13" s="564">
        <f>L14</f>
        <v>19710</v>
      </c>
      <c r="M13" s="233">
        <f>M14</f>
        <v>0</v>
      </c>
      <c r="N13" s="741">
        <f>N14</f>
        <v>19710</v>
      </c>
      <c r="O13" s="714">
        <f t="shared" si="4"/>
        <v>98.945783132530124</v>
      </c>
      <c r="P13" s="719">
        <f t="shared" si="2"/>
        <v>90.720795360397673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19920</v>
      </c>
      <c r="J14" s="538">
        <v>19920</v>
      </c>
      <c r="K14" s="538">
        <v>21726</v>
      </c>
      <c r="L14" s="611">
        <v>19710</v>
      </c>
      <c r="M14" s="235">
        <v>0</v>
      </c>
      <c r="N14" s="742">
        <f>SUM(L14:M14)</f>
        <v>19710</v>
      </c>
      <c r="O14" s="715">
        <f t="shared" si="4"/>
        <v>98.945783132530124</v>
      </c>
      <c r="P14" s="720">
        <f t="shared" si="2"/>
        <v>90.720795360397673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74"/>
      <c r="M15" s="318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42800</v>
      </c>
      <c r="J16" s="537">
        <f t="shared" ref="J16" si="8">SUM(J17:J26)</f>
        <v>42800</v>
      </c>
      <c r="K16" s="537">
        <f>SUM(K17:K26)</f>
        <v>47074</v>
      </c>
      <c r="L16" s="555">
        <f t="shared" ref="L16" si="9">SUM(L17:L26)</f>
        <v>41883</v>
      </c>
      <c r="M16" s="318">
        <f>SUM(M17:M26)</f>
        <v>0</v>
      </c>
      <c r="N16" s="732">
        <f>SUM(N17:N26)</f>
        <v>41883</v>
      </c>
      <c r="O16" s="714">
        <f t="shared" si="4"/>
        <v>97.857476635514018</v>
      </c>
      <c r="P16" s="719">
        <f t="shared" si="2"/>
        <v>88.972681310277437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1500</v>
      </c>
      <c r="J17" s="538">
        <v>1500</v>
      </c>
      <c r="K17" s="538">
        <v>2940</v>
      </c>
      <c r="L17" s="552">
        <v>1042</v>
      </c>
      <c r="M17" s="388">
        <v>0</v>
      </c>
      <c r="N17" s="742">
        <f t="shared" ref="N17:N26" si="10">SUM(L17:M17)</f>
        <v>1042</v>
      </c>
      <c r="O17" s="715">
        <f t="shared" si="4"/>
        <v>69.466666666666669</v>
      </c>
      <c r="P17" s="720">
        <f t="shared" si="2"/>
        <v>35.442176870748298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1">SUM(G18:H18)</f>
        <v>0</v>
      </c>
      <c r="J18" s="538">
        <f t="shared" si="11"/>
        <v>0</v>
      </c>
      <c r="K18" s="538">
        <v>0</v>
      </c>
      <c r="L18" s="552">
        <v>0</v>
      </c>
      <c r="M18" s="388">
        <v>0</v>
      </c>
      <c r="N18" s="742">
        <f t="shared" si="10"/>
        <v>0</v>
      </c>
      <c r="O18" s="715" t="str">
        <f t="shared" si="4"/>
        <v/>
      </c>
      <c r="P18" s="720" t="str">
        <f t="shared" si="2"/>
        <v/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3300</v>
      </c>
      <c r="J19" s="538">
        <v>3300</v>
      </c>
      <c r="K19" s="538">
        <v>3141</v>
      </c>
      <c r="L19" s="552">
        <v>2925</v>
      </c>
      <c r="M19" s="388">
        <v>0</v>
      </c>
      <c r="N19" s="742">
        <f t="shared" si="10"/>
        <v>2925</v>
      </c>
      <c r="O19" s="715">
        <f t="shared" si="4"/>
        <v>88.63636363636364</v>
      </c>
      <c r="P19" s="720">
        <f t="shared" si="2"/>
        <v>93.123209169054448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1000</v>
      </c>
      <c r="J20" s="538">
        <v>1000</v>
      </c>
      <c r="K20" s="538">
        <v>924</v>
      </c>
      <c r="L20" s="552">
        <v>966</v>
      </c>
      <c r="M20" s="388">
        <v>0</v>
      </c>
      <c r="N20" s="742">
        <f t="shared" si="10"/>
        <v>966</v>
      </c>
      <c r="O20" s="715">
        <f t="shared" si="4"/>
        <v>96.6</v>
      </c>
      <c r="P20" s="720">
        <f t="shared" si="2"/>
        <v>104.54545454545455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1"/>
        <v>0</v>
      </c>
      <c r="J21" s="538">
        <f t="shared" si="11"/>
        <v>0</v>
      </c>
      <c r="K21" s="538">
        <v>0</v>
      </c>
      <c r="L21" s="552">
        <v>0</v>
      </c>
      <c r="M21" s="388">
        <v>0</v>
      </c>
      <c r="N21" s="742">
        <f t="shared" si="10"/>
        <v>0</v>
      </c>
      <c r="O21" s="715" t="str">
        <f t="shared" si="4"/>
        <v/>
      </c>
      <c r="P21" s="720" t="str">
        <f t="shared" si="2"/>
        <v/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1"/>
        <v>0</v>
      </c>
      <c r="J22" s="538">
        <f t="shared" si="11"/>
        <v>0</v>
      </c>
      <c r="K22" s="538">
        <v>0</v>
      </c>
      <c r="L22" s="552">
        <v>0</v>
      </c>
      <c r="M22" s="388">
        <v>0</v>
      </c>
      <c r="N22" s="742">
        <f t="shared" si="10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0</v>
      </c>
      <c r="J23" s="538">
        <v>0</v>
      </c>
      <c r="K23" s="538">
        <v>1123</v>
      </c>
      <c r="L23" s="552">
        <v>0</v>
      </c>
      <c r="M23" s="388">
        <v>0</v>
      </c>
      <c r="N23" s="742">
        <f t="shared" si="10"/>
        <v>0</v>
      </c>
      <c r="O23" s="715" t="str">
        <f t="shared" si="4"/>
        <v/>
      </c>
      <c r="P23" s="720">
        <f t="shared" si="2"/>
        <v>0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1"/>
        <v>0</v>
      </c>
      <c r="J24" s="538">
        <f t="shared" si="11"/>
        <v>0</v>
      </c>
      <c r="K24" s="538">
        <v>0</v>
      </c>
      <c r="L24" s="552">
        <v>0</v>
      </c>
      <c r="M24" s="388">
        <v>0</v>
      </c>
      <c r="N24" s="742">
        <f t="shared" si="10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37000</v>
      </c>
      <c r="J25" s="538">
        <v>37000</v>
      </c>
      <c r="K25" s="538">
        <v>38946</v>
      </c>
      <c r="L25" s="552">
        <v>36950</v>
      </c>
      <c r="M25" s="388">
        <v>0</v>
      </c>
      <c r="N25" s="742">
        <f t="shared" si="10"/>
        <v>36950</v>
      </c>
      <c r="O25" s="715">
        <f t="shared" si="4"/>
        <v>99.86486486486487</v>
      </c>
      <c r="P25" s="720">
        <f t="shared" si="2"/>
        <v>94.874955065988814</v>
      </c>
      <c r="Q25" s="77"/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1"/>
        <v>0</v>
      </c>
      <c r="J26" s="538">
        <f t="shared" si="11"/>
        <v>0</v>
      </c>
      <c r="K26" s="538">
        <v>0</v>
      </c>
      <c r="L26" s="552">
        <v>0</v>
      </c>
      <c r="M26" s="388">
        <v>0</v>
      </c>
      <c r="N26" s="742">
        <f t="shared" si="10"/>
        <v>0</v>
      </c>
      <c r="O26" s="715" t="str">
        <f t="shared" si="4"/>
        <v/>
      </c>
      <c r="P26" s="720" t="str">
        <f t="shared" si="2"/>
        <v/>
      </c>
    </row>
    <row r="27" spans="1:17" ht="12.95" customHeight="1">
      <c r="B27" s="10"/>
      <c r="C27" s="11"/>
      <c r="D27" s="11"/>
      <c r="E27" s="309"/>
      <c r="F27" s="328"/>
      <c r="G27" s="354"/>
      <c r="H27" s="11"/>
      <c r="I27" s="537"/>
      <c r="J27" s="537"/>
      <c r="K27" s="537"/>
      <c r="L27" s="574"/>
      <c r="M27" s="318"/>
      <c r="N27" s="732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614000</v>
      </c>
      <c r="G28" s="353"/>
      <c r="H28" s="8" t="s">
        <v>173</v>
      </c>
      <c r="I28" s="537">
        <f t="shared" ref="I28:J28" si="12">I29</f>
        <v>1100000</v>
      </c>
      <c r="J28" s="537">
        <f t="shared" si="12"/>
        <v>1100000</v>
      </c>
      <c r="K28" s="537">
        <f>K29</f>
        <v>1099835</v>
      </c>
      <c r="L28" s="621">
        <f>SUM(L29:L29)</f>
        <v>1062602</v>
      </c>
      <c r="M28" s="318">
        <f>SUM(M29:M29)</f>
        <v>0</v>
      </c>
      <c r="N28" s="732">
        <f>SUM(N29:N29)</f>
        <v>1062602</v>
      </c>
      <c r="O28" s="714">
        <f t="shared" si="4"/>
        <v>96.600181818181824</v>
      </c>
      <c r="P28" s="719">
        <f t="shared" si="2"/>
        <v>96.614674019284706</v>
      </c>
    </row>
    <row r="29" spans="1:17" s="307" customFormat="1" ht="12.95" customHeight="1">
      <c r="B29" s="308"/>
      <c r="C29" s="309"/>
      <c r="D29" s="309"/>
      <c r="E29" s="309"/>
      <c r="F29" s="328">
        <v>614200</v>
      </c>
      <c r="G29" s="354" t="s">
        <v>572</v>
      </c>
      <c r="H29" s="23" t="s">
        <v>687</v>
      </c>
      <c r="I29" s="538">
        <v>1100000</v>
      </c>
      <c r="J29" s="538">
        <v>1100000</v>
      </c>
      <c r="K29" s="538">
        <v>1099835</v>
      </c>
      <c r="L29" s="608">
        <v>1062602</v>
      </c>
      <c r="M29" s="319">
        <v>0</v>
      </c>
      <c r="N29" s="742">
        <f>SUM(L29:M29)</f>
        <v>1062602</v>
      </c>
      <c r="O29" s="715">
        <f t="shared" si="4"/>
        <v>96.600181818181824</v>
      </c>
      <c r="P29" s="720">
        <f t="shared" si="2"/>
        <v>96.614674019284706</v>
      </c>
    </row>
    <row r="30" spans="1:17" ht="12.95" customHeight="1">
      <c r="B30" s="10"/>
      <c r="C30" s="11"/>
      <c r="D30" s="11"/>
      <c r="E30" s="309"/>
      <c r="F30" s="328"/>
      <c r="G30" s="354"/>
      <c r="H30" s="11"/>
      <c r="I30" s="617"/>
      <c r="J30" s="617"/>
      <c r="K30" s="617"/>
      <c r="L30" s="608"/>
      <c r="M30" s="319"/>
      <c r="N30" s="743"/>
      <c r="O30" s="715" t="str">
        <f t="shared" si="4"/>
        <v/>
      </c>
      <c r="P30" s="720" t="str">
        <f t="shared" si="2"/>
        <v/>
      </c>
    </row>
    <row r="31" spans="1:17" s="1" customFormat="1" ht="12.95" customHeight="1">
      <c r="A31" s="304"/>
      <c r="B31" s="12"/>
      <c r="C31" s="8"/>
      <c r="D31" s="8"/>
      <c r="E31" s="8"/>
      <c r="F31" s="327">
        <v>821000</v>
      </c>
      <c r="G31" s="353"/>
      <c r="H31" s="8" t="s">
        <v>89</v>
      </c>
      <c r="I31" s="618">
        <f>SUM(I32:I33)</f>
        <v>3000</v>
      </c>
      <c r="J31" s="618">
        <f>SUM(J32:J33)</f>
        <v>3000</v>
      </c>
      <c r="K31" s="618">
        <f>SUM(K32:K33)</f>
        <v>2601</v>
      </c>
      <c r="L31" s="574">
        <f t="shared" ref="L31" si="13">SUM(L32:L33)</f>
        <v>2818</v>
      </c>
      <c r="M31" s="318">
        <f>SUM(M32:M33)</f>
        <v>0</v>
      </c>
      <c r="N31" s="732">
        <f>SUM(N32:N33)</f>
        <v>2818</v>
      </c>
      <c r="O31" s="714">
        <f t="shared" si="4"/>
        <v>93.933333333333337</v>
      </c>
      <c r="P31" s="719">
        <f t="shared" si="2"/>
        <v>108.34294502114572</v>
      </c>
    </row>
    <row r="32" spans="1:17" ht="12.95" customHeight="1">
      <c r="B32" s="10"/>
      <c r="C32" s="11"/>
      <c r="D32" s="11"/>
      <c r="E32" s="309"/>
      <c r="F32" s="328">
        <v>821200</v>
      </c>
      <c r="G32" s="354"/>
      <c r="H32" s="11" t="s">
        <v>90</v>
      </c>
      <c r="I32" s="617">
        <v>0</v>
      </c>
      <c r="J32" s="617">
        <v>0</v>
      </c>
      <c r="K32" s="617">
        <v>0</v>
      </c>
      <c r="L32" s="608">
        <v>0</v>
      </c>
      <c r="M32" s="319">
        <v>0</v>
      </c>
      <c r="N32" s="742">
        <f t="shared" ref="N32:N33" si="14">SUM(L32:M32)</f>
        <v>0</v>
      </c>
      <c r="O32" s="737" t="str">
        <f t="shared" si="4"/>
        <v/>
      </c>
      <c r="P32" s="369" t="str">
        <f t="shared" si="2"/>
        <v/>
      </c>
    </row>
    <row r="33" spans="1:16" ht="12.95" customHeight="1">
      <c r="B33" s="10"/>
      <c r="C33" s="11"/>
      <c r="D33" s="11"/>
      <c r="E33" s="309"/>
      <c r="F33" s="328">
        <v>821300</v>
      </c>
      <c r="G33" s="354"/>
      <c r="H33" s="11" t="s">
        <v>91</v>
      </c>
      <c r="I33" s="319">
        <v>3000</v>
      </c>
      <c r="J33" s="319">
        <v>3000</v>
      </c>
      <c r="K33" s="617">
        <v>2601</v>
      </c>
      <c r="L33" s="608">
        <v>2818</v>
      </c>
      <c r="M33" s="319">
        <v>0</v>
      </c>
      <c r="N33" s="742">
        <f t="shared" si="14"/>
        <v>2818</v>
      </c>
      <c r="O33" s="737">
        <f t="shared" si="4"/>
        <v>93.933333333333337</v>
      </c>
      <c r="P33" s="369">
        <f t="shared" si="2"/>
        <v>108.34294502114572</v>
      </c>
    </row>
    <row r="34" spans="1:16" ht="12.95" customHeight="1">
      <c r="B34" s="10"/>
      <c r="C34" s="11"/>
      <c r="D34" s="11"/>
      <c r="E34" s="309"/>
      <c r="F34" s="328"/>
      <c r="G34" s="354"/>
      <c r="H34" s="11"/>
      <c r="I34" s="319"/>
      <c r="J34" s="319"/>
      <c r="K34" s="617"/>
      <c r="L34" s="608"/>
      <c r="M34" s="319"/>
      <c r="N34" s="743"/>
      <c r="O34" s="737" t="str">
        <f t="shared" si="4"/>
        <v/>
      </c>
      <c r="P34" s="369" t="str">
        <f t="shared" si="2"/>
        <v/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92</v>
      </c>
      <c r="I35" s="301">
        <v>11</v>
      </c>
      <c r="J35" s="301"/>
      <c r="K35" s="561">
        <v>11</v>
      </c>
      <c r="L35" s="612">
        <v>11</v>
      </c>
      <c r="M35" s="311"/>
      <c r="N35" s="744">
        <v>11</v>
      </c>
      <c r="O35" s="737"/>
      <c r="P35" s="369"/>
    </row>
    <row r="36" spans="1:16" s="1" customFormat="1" ht="12.95" customHeight="1">
      <c r="A36" s="304"/>
      <c r="B36" s="12"/>
      <c r="C36" s="8"/>
      <c r="D36" s="8"/>
      <c r="E36" s="8"/>
      <c r="F36" s="327"/>
      <c r="G36" s="353"/>
      <c r="H36" s="8" t="s">
        <v>110</v>
      </c>
      <c r="I36" s="15">
        <f t="shared" ref="I36:N36" si="15">I8+I13+I16+I28+I31</f>
        <v>1399040</v>
      </c>
      <c r="J36" s="15">
        <f t="shared" si="15"/>
        <v>1399040</v>
      </c>
      <c r="K36" s="561">
        <f t="shared" si="15"/>
        <v>1436185</v>
      </c>
      <c r="L36" s="568">
        <f t="shared" si="15"/>
        <v>1358635</v>
      </c>
      <c r="M36" s="311">
        <f t="shared" si="15"/>
        <v>0</v>
      </c>
      <c r="N36" s="732">
        <f t="shared" si="15"/>
        <v>1358635</v>
      </c>
      <c r="O36" s="736">
        <f t="shared" si="4"/>
        <v>97.111948193046658</v>
      </c>
      <c r="P36" s="368">
        <f t="shared" si="2"/>
        <v>94.600277819361708</v>
      </c>
    </row>
    <row r="37" spans="1:16" s="1" customFormat="1" ht="12.95" customHeight="1">
      <c r="A37" s="304"/>
      <c r="B37" s="12"/>
      <c r="C37" s="8"/>
      <c r="D37" s="8"/>
      <c r="E37" s="8"/>
      <c r="F37" s="327"/>
      <c r="G37" s="353"/>
      <c r="H37" s="8" t="s">
        <v>93</v>
      </c>
      <c r="I37" s="15">
        <f>I36</f>
        <v>1399040</v>
      </c>
      <c r="J37" s="15">
        <f>J36</f>
        <v>1399040</v>
      </c>
      <c r="K37" s="561">
        <f t="shared" ref="K37" si="16">K36</f>
        <v>1436185</v>
      </c>
      <c r="L37" s="568">
        <f t="shared" ref="L37:N38" si="17">L36</f>
        <v>1358635</v>
      </c>
      <c r="M37" s="311">
        <f t="shared" si="17"/>
        <v>0</v>
      </c>
      <c r="N37" s="732">
        <f t="shared" si="17"/>
        <v>1358635</v>
      </c>
      <c r="O37" s="736">
        <f t="shared" si="4"/>
        <v>97.111948193046658</v>
      </c>
      <c r="P37" s="368">
        <f t="shared" si="2"/>
        <v>94.600277819361708</v>
      </c>
    </row>
    <row r="38" spans="1:16" s="1" customFormat="1" ht="12.95" customHeight="1">
      <c r="A38" s="304"/>
      <c r="B38" s="12"/>
      <c r="C38" s="8"/>
      <c r="D38" s="8"/>
      <c r="E38" s="8"/>
      <c r="F38" s="327"/>
      <c r="G38" s="353"/>
      <c r="H38" s="8" t="s">
        <v>94</v>
      </c>
      <c r="I38" s="15">
        <f>I37</f>
        <v>1399040</v>
      </c>
      <c r="J38" s="15">
        <f>J37</f>
        <v>1399040</v>
      </c>
      <c r="K38" s="561">
        <f t="shared" ref="K38" si="18">K37</f>
        <v>1436185</v>
      </c>
      <c r="L38" s="568">
        <f t="shared" si="17"/>
        <v>1358635</v>
      </c>
      <c r="M38" s="311">
        <f t="shared" si="17"/>
        <v>0</v>
      </c>
      <c r="N38" s="732">
        <f t="shared" si="17"/>
        <v>1358635</v>
      </c>
      <c r="O38" s="736">
        <f t="shared" si="4"/>
        <v>97.111948193046658</v>
      </c>
      <c r="P38" s="368">
        <f t="shared" si="2"/>
        <v>94.600277819361708</v>
      </c>
    </row>
    <row r="39" spans="1:16" ht="12.95" customHeight="1" thickBot="1">
      <c r="B39" s="16"/>
      <c r="C39" s="17"/>
      <c r="D39" s="17"/>
      <c r="E39" s="17"/>
      <c r="F39" s="329"/>
      <c r="G39" s="355"/>
      <c r="H39" s="17"/>
      <c r="I39" s="32"/>
      <c r="J39" s="32"/>
      <c r="K39" s="562"/>
      <c r="L39" s="571"/>
      <c r="M39" s="32"/>
      <c r="N39" s="745"/>
      <c r="O39" s="739"/>
      <c r="P39" s="371"/>
    </row>
    <row r="40" spans="1:16" ht="12.95" customHeight="1">
      <c r="F40" s="330"/>
      <c r="G40" s="356"/>
      <c r="I40" s="67"/>
      <c r="J40" s="67"/>
      <c r="K40" s="67"/>
      <c r="L40" s="67"/>
      <c r="M40" s="67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R96"/>
  <sheetViews>
    <sheetView zoomScaleNormal="100" workbookViewId="0">
      <selection activeCell="O32" sqref="O3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736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137</v>
      </c>
      <c r="C7" s="7" t="s">
        <v>80</v>
      </c>
      <c r="D7" s="7" t="s">
        <v>81</v>
      </c>
      <c r="E7" s="653" t="s">
        <v>786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94450</v>
      </c>
      <c r="J8" s="537">
        <f t="shared" ref="J8" si="1">SUM(J9:J11)</f>
        <v>94450</v>
      </c>
      <c r="K8" s="537">
        <f>SUM(K9:K11)</f>
        <v>104999</v>
      </c>
      <c r="L8" s="564">
        <f>SUM(L9:L11)</f>
        <v>94193</v>
      </c>
      <c r="M8" s="233">
        <f>SUM(M9:M11)</f>
        <v>0</v>
      </c>
      <c r="N8" s="741">
        <f>SUM(N9:N11)</f>
        <v>94193</v>
      </c>
      <c r="O8" s="714">
        <f>IF(J8=0,"",N8/J8*100)</f>
        <v>99.727898358920058</v>
      </c>
      <c r="P8" s="719">
        <f>IF(K8=0,"",N8/K8*100)</f>
        <v>89.708473414032525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76040</v>
      </c>
      <c r="J9" s="538">
        <v>76040</v>
      </c>
      <c r="K9" s="538">
        <v>84299</v>
      </c>
      <c r="L9" s="565">
        <v>75977</v>
      </c>
      <c r="M9" s="232">
        <v>0</v>
      </c>
      <c r="N9" s="742">
        <f>SUM(L9:M9)</f>
        <v>75977</v>
      </c>
      <c r="O9" s="715">
        <f>IF(J9=0,"",N9/J9*100)</f>
        <v>99.917148869016302</v>
      </c>
      <c r="P9" s="720">
        <f t="shared" ref="P9:P35" si="2">IF(K9=0,"",N9/K9*100)</f>
        <v>90.127996773389967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18410</v>
      </c>
      <c r="J10" s="538">
        <v>18410</v>
      </c>
      <c r="K10" s="538">
        <v>20700</v>
      </c>
      <c r="L10" s="565">
        <v>18216</v>
      </c>
      <c r="M10" s="232">
        <v>0</v>
      </c>
      <c r="N10" s="742">
        <f t="shared" ref="N10:N11" si="3">SUM(L10:M10)</f>
        <v>18216</v>
      </c>
      <c r="O10" s="715">
        <f t="shared" ref="O10:O35" si="4">IF(J10=0,"",N10/J10*100)</f>
        <v>98.94622487778382</v>
      </c>
      <c r="P10" s="720">
        <f t="shared" si="2"/>
        <v>88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</row>
    <row r="13" spans="1:18" ht="12.95" customHeight="1"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8040</v>
      </c>
      <c r="J13" s="537">
        <f t="shared" si="6"/>
        <v>8040</v>
      </c>
      <c r="K13" s="537">
        <f>K14</f>
        <v>9098</v>
      </c>
      <c r="L13" s="564">
        <f>L14</f>
        <v>7977</v>
      </c>
      <c r="M13" s="233">
        <f>M14</f>
        <v>0</v>
      </c>
      <c r="N13" s="741">
        <f>N14</f>
        <v>7977</v>
      </c>
      <c r="O13" s="714">
        <f t="shared" si="4"/>
        <v>99.21641791044776</v>
      </c>
      <c r="P13" s="719">
        <f t="shared" si="2"/>
        <v>87.678610683666733</v>
      </c>
    </row>
    <row r="14" spans="1:18" s="1" customFormat="1" ht="12.95" customHeight="1">
      <c r="A14" s="304"/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8040</v>
      </c>
      <c r="J14" s="538">
        <v>8040</v>
      </c>
      <c r="K14" s="538">
        <v>9098</v>
      </c>
      <c r="L14" s="565">
        <v>7977</v>
      </c>
      <c r="M14" s="232">
        <v>0</v>
      </c>
      <c r="N14" s="742">
        <f>SUM(L14:M14)</f>
        <v>7977</v>
      </c>
      <c r="O14" s="715">
        <f t="shared" si="4"/>
        <v>99.21641791044776</v>
      </c>
      <c r="P14" s="720">
        <f t="shared" si="2"/>
        <v>87.678610683666733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566"/>
      <c r="M15" s="302"/>
      <c r="N15" s="743"/>
      <c r="O15" s="715" t="str">
        <f t="shared" si="4"/>
        <v/>
      </c>
      <c r="P15" s="720" t="str">
        <f t="shared" si="2"/>
        <v/>
      </c>
    </row>
    <row r="16" spans="1:18" ht="12.95" customHeight="1"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24120</v>
      </c>
      <c r="J16" s="537">
        <f t="shared" ref="J16" si="8">SUM(J17:J26)</f>
        <v>24120</v>
      </c>
      <c r="K16" s="537">
        <f>SUM(K17:K26)</f>
        <v>13680</v>
      </c>
      <c r="L16" s="567">
        <f>SUM(L17:L26)</f>
        <v>18609</v>
      </c>
      <c r="M16" s="316">
        <f>SUM(M17:M26)</f>
        <v>0</v>
      </c>
      <c r="N16" s="732">
        <f>SUM(N17:N26)</f>
        <v>18609</v>
      </c>
      <c r="O16" s="714">
        <f t="shared" si="4"/>
        <v>77.151741293532339</v>
      </c>
      <c r="P16" s="719">
        <f t="shared" si="2"/>
        <v>136.03070175438597</v>
      </c>
    </row>
    <row r="17" spans="1:16" s="1" customFormat="1" ht="12.95" customHeight="1">
      <c r="A17" s="304"/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320</v>
      </c>
      <c r="J17" s="538">
        <v>320</v>
      </c>
      <c r="K17" s="538">
        <v>0</v>
      </c>
      <c r="L17" s="549">
        <v>0</v>
      </c>
      <c r="M17" s="387">
        <v>0</v>
      </c>
      <c r="N17" s="742">
        <f t="shared" ref="N17:N26" si="9">SUM(L17:M17)</f>
        <v>0</v>
      </c>
      <c r="O17" s="715">
        <f t="shared" si="4"/>
        <v>0</v>
      </c>
      <c r="P17" s="720" t="str">
        <f t="shared" si="2"/>
        <v/>
      </c>
    </row>
    <row r="18" spans="1:16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5500</v>
      </c>
      <c r="J18" s="538">
        <v>5500</v>
      </c>
      <c r="K18" s="538">
        <v>5079</v>
      </c>
      <c r="L18" s="549">
        <v>3719</v>
      </c>
      <c r="M18" s="387">
        <v>0</v>
      </c>
      <c r="N18" s="742">
        <f t="shared" si="9"/>
        <v>3719</v>
      </c>
      <c r="O18" s="715">
        <f t="shared" si="4"/>
        <v>67.618181818181824</v>
      </c>
      <c r="P18" s="720">
        <f t="shared" si="2"/>
        <v>73.223075408544986</v>
      </c>
    </row>
    <row r="19" spans="1:16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3300</v>
      </c>
      <c r="J19" s="538">
        <v>3300</v>
      </c>
      <c r="K19" s="538">
        <v>2664</v>
      </c>
      <c r="L19" s="549">
        <v>2691</v>
      </c>
      <c r="M19" s="387">
        <v>0</v>
      </c>
      <c r="N19" s="742">
        <f t="shared" si="9"/>
        <v>2691</v>
      </c>
      <c r="O19" s="715">
        <f t="shared" si="4"/>
        <v>81.545454545454547</v>
      </c>
      <c r="P19" s="720">
        <f t="shared" si="2"/>
        <v>101.01351351351352</v>
      </c>
    </row>
    <row r="20" spans="1:16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1000</v>
      </c>
      <c r="J20" s="538">
        <v>1000</v>
      </c>
      <c r="K20" s="538">
        <v>1196</v>
      </c>
      <c r="L20" s="549">
        <v>983</v>
      </c>
      <c r="M20" s="387">
        <v>0</v>
      </c>
      <c r="N20" s="742">
        <f t="shared" si="9"/>
        <v>983</v>
      </c>
      <c r="O20" s="715">
        <f t="shared" si="4"/>
        <v>98.3</v>
      </c>
      <c r="P20" s="720">
        <f t="shared" si="2"/>
        <v>82.190635451505017</v>
      </c>
    </row>
    <row r="21" spans="1:16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ref="I21:J26" si="10">SUM(G21:H21)</f>
        <v>0</v>
      </c>
      <c r="J21" s="538">
        <f t="shared" si="10"/>
        <v>0</v>
      </c>
      <c r="K21" s="538">
        <v>0</v>
      </c>
      <c r="L21" s="549">
        <v>0</v>
      </c>
      <c r="M21" s="387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6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49">
        <v>0</v>
      </c>
      <c r="M22" s="387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6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1000</v>
      </c>
      <c r="J23" s="538">
        <v>1000</v>
      </c>
      <c r="K23" s="538">
        <v>273</v>
      </c>
      <c r="L23" s="549">
        <v>332</v>
      </c>
      <c r="M23" s="387">
        <v>0</v>
      </c>
      <c r="N23" s="742">
        <f t="shared" si="9"/>
        <v>332</v>
      </c>
      <c r="O23" s="715">
        <f t="shared" si="4"/>
        <v>33.200000000000003</v>
      </c>
      <c r="P23" s="720">
        <f t="shared" si="2"/>
        <v>121.61172161172161</v>
      </c>
    </row>
    <row r="24" spans="1:16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49">
        <v>0</v>
      </c>
      <c r="M24" s="387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6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13000</v>
      </c>
      <c r="J25" s="538">
        <v>13000</v>
      </c>
      <c r="K25" s="538">
        <v>4468</v>
      </c>
      <c r="L25" s="549">
        <v>10884</v>
      </c>
      <c r="M25" s="387">
        <v>0</v>
      </c>
      <c r="N25" s="742">
        <f t="shared" si="9"/>
        <v>10884</v>
      </c>
      <c r="O25" s="715">
        <f t="shared" si="4"/>
        <v>83.723076923076917</v>
      </c>
      <c r="P25" s="720">
        <f t="shared" si="2"/>
        <v>243.59892569382274</v>
      </c>
    </row>
    <row r="26" spans="1:16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49">
        <v>0</v>
      </c>
      <c r="M26" s="387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6" ht="12.95" customHeight="1">
      <c r="B27" s="12"/>
      <c r="C27" s="8"/>
      <c r="D27" s="8"/>
      <c r="E27" s="8"/>
      <c r="F27" s="327"/>
      <c r="G27" s="353"/>
      <c r="H27" s="8"/>
      <c r="I27" s="537"/>
      <c r="J27" s="537"/>
      <c r="K27" s="537"/>
      <c r="L27" s="574"/>
      <c r="M27" s="318"/>
      <c r="N27" s="732"/>
      <c r="O27" s="715" t="str">
        <f t="shared" si="4"/>
        <v/>
      </c>
      <c r="P27" s="720" t="str">
        <f t="shared" si="2"/>
        <v/>
      </c>
    </row>
    <row r="28" spans="1:16" ht="12.95" customHeight="1"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2500</v>
      </c>
      <c r="J28" s="537">
        <f t="shared" ref="J28" si="12">SUM(J29:J30)</f>
        <v>2500</v>
      </c>
      <c r="K28" s="537">
        <f>SUM(K29:K30)</f>
        <v>0</v>
      </c>
      <c r="L28" s="574">
        <f>SUM(L29:L30)</f>
        <v>2500</v>
      </c>
      <c r="M28" s="318">
        <f>SUM(M29:M30)</f>
        <v>0</v>
      </c>
      <c r="N28" s="732">
        <f>SUM(N29:N30)</f>
        <v>2500</v>
      </c>
      <c r="O28" s="714">
        <f t="shared" si="4"/>
        <v>100</v>
      </c>
      <c r="P28" s="719" t="str">
        <f t="shared" si="2"/>
        <v/>
      </c>
    </row>
    <row r="29" spans="1:16" s="1" customFormat="1" ht="12.95" customHeight="1">
      <c r="A29" s="304"/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569">
        <v>0</v>
      </c>
      <c r="M29" s="303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6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2500</v>
      </c>
      <c r="J30" s="538">
        <v>2500</v>
      </c>
      <c r="K30" s="538">
        <v>0</v>
      </c>
      <c r="L30" s="569">
        <v>2500</v>
      </c>
      <c r="M30" s="303">
        <v>0</v>
      </c>
      <c r="N30" s="742">
        <f t="shared" si="14"/>
        <v>2500</v>
      </c>
      <c r="O30" s="715">
        <f t="shared" si="4"/>
        <v>100</v>
      </c>
      <c r="P30" s="720" t="str">
        <f t="shared" si="2"/>
        <v/>
      </c>
    </row>
    <row r="31" spans="1:16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569"/>
      <c r="M31" s="303"/>
      <c r="N31" s="743"/>
      <c r="O31" s="715" t="str">
        <f t="shared" si="4"/>
        <v/>
      </c>
      <c r="P31" s="720" t="str">
        <f t="shared" si="2"/>
        <v/>
      </c>
    </row>
    <row r="32" spans="1:16" ht="12.95" customHeight="1">
      <c r="B32" s="12"/>
      <c r="C32" s="8"/>
      <c r="D32" s="8"/>
      <c r="E32" s="8"/>
      <c r="F32" s="327"/>
      <c r="G32" s="353"/>
      <c r="H32" s="8" t="s">
        <v>92</v>
      </c>
      <c r="I32" s="537">
        <v>3</v>
      </c>
      <c r="J32" s="537"/>
      <c r="K32" s="537">
        <v>4</v>
      </c>
      <c r="L32" s="574">
        <v>3</v>
      </c>
      <c r="M32" s="318"/>
      <c r="N32" s="732">
        <v>3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129110</v>
      </c>
      <c r="J33" s="311">
        <f>J8+J13+J16+J28</f>
        <v>129110</v>
      </c>
      <c r="K33" s="561">
        <f t="shared" ref="K33" si="15">K8+K13+K16+K28</f>
        <v>127777</v>
      </c>
      <c r="L33" s="568">
        <f>L8+L13+L16+L28</f>
        <v>123279</v>
      </c>
      <c r="M33" s="311">
        <f>M8+M13+M16+M28</f>
        <v>0</v>
      </c>
      <c r="N33" s="732">
        <f>L33+M33</f>
        <v>123279</v>
      </c>
      <c r="O33" s="714">
        <f t="shared" si="4"/>
        <v>95.483696073115937</v>
      </c>
      <c r="P33" s="719">
        <f t="shared" si="2"/>
        <v>96.479804659680539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>
        <f>I33</f>
        <v>129110</v>
      </c>
      <c r="J34" s="15">
        <f>J33</f>
        <v>129110</v>
      </c>
      <c r="K34" s="561">
        <f t="shared" ref="K34" si="16">K33</f>
        <v>127777</v>
      </c>
      <c r="L34" s="568">
        <f t="shared" ref="L34:N35" si="17">L33</f>
        <v>123279</v>
      </c>
      <c r="M34" s="311">
        <f t="shared" si="17"/>
        <v>0</v>
      </c>
      <c r="N34" s="732">
        <f t="shared" si="17"/>
        <v>123279</v>
      </c>
      <c r="O34" s="714">
        <f>IF(J34=0,"",N34/J34*100)</f>
        <v>95.483696073115937</v>
      </c>
      <c r="P34" s="719">
        <f t="shared" si="2"/>
        <v>96.479804659680539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129110</v>
      </c>
      <c r="J35" s="15">
        <f>J34</f>
        <v>129110</v>
      </c>
      <c r="K35" s="561">
        <f t="shared" ref="K35" si="18">K34</f>
        <v>127777</v>
      </c>
      <c r="L35" s="568">
        <f t="shared" si="17"/>
        <v>123279</v>
      </c>
      <c r="M35" s="311">
        <f t="shared" si="17"/>
        <v>0</v>
      </c>
      <c r="N35" s="732">
        <f t="shared" si="17"/>
        <v>123279</v>
      </c>
      <c r="O35" s="714">
        <f t="shared" si="4"/>
        <v>95.483696073115937</v>
      </c>
      <c r="P35" s="719">
        <f t="shared" si="2"/>
        <v>96.479804659680539</v>
      </c>
    </row>
    <row r="36" spans="1:16" s="1" customFormat="1" ht="12.95" customHeight="1" thickBot="1">
      <c r="A36" s="304"/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L37" s="624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B40" s="55"/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R96"/>
  <sheetViews>
    <sheetView zoomScaleNormal="100" workbookViewId="0">
      <selection activeCell="R20" sqref="R20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722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138</v>
      </c>
      <c r="C7" s="7" t="s">
        <v>80</v>
      </c>
      <c r="D7" s="7" t="s">
        <v>81</v>
      </c>
      <c r="E7" s="653" t="s">
        <v>799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SUM(I9:I12)</f>
        <v>261110</v>
      </c>
      <c r="J8" s="537">
        <f t="shared" ref="J8" si="1">SUM(J9:J12)</f>
        <v>260110</v>
      </c>
      <c r="K8" s="537">
        <f>SUM(K9:K11)</f>
        <v>223249</v>
      </c>
      <c r="L8" s="564">
        <f>SUM(L9:L12)</f>
        <v>259364</v>
      </c>
      <c r="M8" s="233">
        <f>SUM(M9:M12)</f>
        <v>0</v>
      </c>
      <c r="N8" s="741">
        <f>SUM(N9:N12)</f>
        <v>259364</v>
      </c>
      <c r="O8" s="714">
        <f>IF(J8=0,"",N8/J8*100)</f>
        <v>99.71319826227365</v>
      </c>
      <c r="P8" s="719">
        <f>IF(K8=0,"",N8/K8*100)</f>
        <v>116.17700415231423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210790</v>
      </c>
      <c r="J9" s="538">
        <v>210790</v>
      </c>
      <c r="K9" s="538">
        <v>176061</v>
      </c>
      <c r="L9" s="565">
        <v>210185</v>
      </c>
      <c r="M9" s="232">
        <v>0</v>
      </c>
      <c r="N9" s="742">
        <f>SUM(L9:M9)</f>
        <v>210185</v>
      </c>
      <c r="O9" s="715">
        <f>IF(J9=0,"",N9/J9*100)</f>
        <v>99.712984486930125</v>
      </c>
      <c r="P9" s="720">
        <f t="shared" ref="P9:P39" si="2">IF(K9=0,"",N9/K9*100)</f>
        <v>119.38191876679105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50320</v>
      </c>
      <c r="J10" s="538">
        <v>49320</v>
      </c>
      <c r="K10" s="538">
        <v>47188</v>
      </c>
      <c r="L10" s="565">
        <v>49179</v>
      </c>
      <c r="M10" s="232">
        <v>0</v>
      </c>
      <c r="N10" s="742">
        <f t="shared" ref="N10:N11" si="3">SUM(L10:M10)</f>
        <v>49179</v>
      </c>
      <c r="O10" s="715">
        <f t="shared" ref="O10:O39" si="4">IF(J10=0,"",N10/J10*100)</f>
        <v>99.714111922141129</v>
      </c>
      <c r="P10" s="720">
        <f t="shared" si="2"/>
        <v>104.21929304060353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20"/>
      <c r="I12" s="538"/>
      <c r="J12" s="538"/>
      <c r="K12" s="538"/>
      <c r="L12" s="565"/>
      <c r="M12" s="232"/>
      <c r="N12" s="742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22340</v>
      </c>
      <c r="J13" s="537">
        <f t="shared" si="6"/>
        <v>22340</v>
      </c>
      <c r="K13" s="537">
        <f>K14</f>
        <v>20192</v>
      </c>
      <c r="L13" s="564">
        <f>L14</f>
        <v>22225</v>
      </c>
      <c r="M13" s="233">
        <f>M14</f>
        <v>0</v>
      </c>
      <c r="N13" s="741">
        <f>N14</f>
        <v>22225</v>
      </c>
      <c r="O13" s="714">
        <f t="shared" si="4"/>
        <v>99.485228290062665</v>
      </c>
      <c r="P13" s="719">
        <f t="shared" si="2"/>
        <v>110.0683438985737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22340</v>
      </c>
      <c r="J14" s="538">
        <v>22340</v>
      </c>
      <c r="K14" s="538">
        <v>20192</v>
      </c>
      <c r="L14" s="565">
        <v>22225</v>
      </c>
      <c r="M14" s="232">
        <v>0</v>
      </c>
      <c r="N14" s="742">
        <f>SUM(L14:M14)</f>
        <v>22225</v>
      </c>
      <c r="O14" s="715">
        <f t="shared" si="4"/>
        <v>99.485228290062665</v>
      </c>
      <c r="P14" s="720">
        <f t="shared" si="2"/>
        <v>110.0683438985737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7"/>
      <c r="M15" s="316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45300</v>
      </c>
      <c r="J16" s="537">
        <f t="shared" ref="J16" si="8">SUM(J17:J26)</f>
        <v>45300</v>
      </c>
      <c r="K16" s="537">
        <f>SUM(K17:K26)</f>
        <v>52881</v>
      </c>
      <c r="L16" s="567">
        <f>SUM(L17:L26)</f>
        <v>44126</v>
      </c>
      <c r="M16" s="316">
        <f>SUM(M17:M26)</f>
        <v>0</v>
      </c>
      <c r="N16" s="732">
        <f>SUM(N17:N26)</f>
        <v>44126</v>
      </c>
      <c r="O16" s="714">
        <f t="shared" si="4"/>
        <v>97.4083885209713</v>
      </c>
      <c r="P16" s="719">
        <f t="shared" si="2"/>
        <v>83.443959077929691</v>
      </c>
    </row>
    <row r="17" spans="1:18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1200</v>
      </c>
      <c r="J17" s="538">
        <v>1100</v>
      </c>
      <c r="K17" s="538">
        <v>1419</v>
      </c>
      <c r="L17" s="550">
        <v>1093</v>
      </c>
      <c r="M17" s="385">
        <v>0</v>
      </c>
      <c r="N17" s="742">
        <f t="shared" ref="N17:N26" si="9">SUM(L17:M17)</f>
        <v>1093</v>
      </c>
      <c r="O17" s="715">
        <f t="shared" si="4"/>
        <v>99.36363636363636</v>
      </c>
      <c r="P17" s="720">
        <f t="shared" si="2"/>
        <v>77.026074700493311</v>
      </c>
    </row>
    <row r="18" spans="1:18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10000</v>
      </c>
      <c r="J18" s="538">
        <v>11500</v>
      </c>
      <c r="K18" s="538">
        <v>8249</v>
      </c>
      <c r="L18" s="550">
        <v>11447</v>
      </c>
      <c r="M18" s="385">
        <v>0</v>
      </c>
      <c r="N18" s="742">
        <f t="shared" si="9"/>
        <v>11447</v>
      </c>
      <c r="O18" s="715">
        <f t="shared" si="4"/>
        <v>99.539130434782606</v>
      </c>
      <c r="P18" s="720">
        <f t="shared" si="2"/>
        <v>138.76833555582496</v>
      </c>
    </row>
    <row r="19" spans="1:18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5000</v>
      </c>
      <c r="J19" s="538">
        <v>5400</v>
      </c>
      <c r="K19" s="538">
        <v>5092</v>
      </c>
      <c r="L19" s="549">
        <v>4932</v>
      </c>
      <c r="M19" s="387">
        <v>0</v>
      </c>
      <c r="N19" s="742">
        <f t="shared" si="9"/>
        <v>4932</v>
      </c>
      <c r="O19" s="715">
        <f t="shared" si="4"/>
        <v>91.333333333333329</v>
      </c>
      <c r="P19" s="720">
        <f t="shared" si="2"/>
        <v>96.857816182246665</v>
      </c>
    </row>
    <row r="20" spans="1:18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1000</v>
      </c>
      <c r="J20" s="538">
        <v>1100</v>
      </c>
      <c r="K20" s="538">
        <v>710</v>
      </c>
      <c r="L20" s="549">
        <v>993</v>
      </c>
      <c r="M20" s="387">
        <v>0</v>
      </c>
      <c r="N20" s="742">
        <f t="shared" si="9"/>
        <v>993</v>
      </c>
      <c r="O20" s="715">
        <f t="shared" si="4"/>
        <v>90.272727272727266</v>
      </c>
      <c r="P20" s="720">
        <f t="shared" si="2"/>
        <v>139.85915492957744</v>
      </c>
    </row>
    <row r="21" spans="1:18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550</v>
      </c>
      <c r="J21" s="538">
        <v>150</v>
      </c>
      <c r="K21" s="538">
        <v>1000</v>
      </c>
      <c r="L21" s="549">
        <v>36</v>
      </c>
      <c r="M21" s="387">
        <v>0</v>
      </c>
      <c r="N21" s="742">
        <f t="shared" si="9"/>
        <v>36</v>
      </c>
      <c r="O21" s="715">
        <f t="shared" si="4"/>
        <v>24</v>
      </c>
      <c r="P21" s="720">
        <f t="shared" si="2"/>
        <v>3.5999999999999996</v>
      </c>
    </row>
    <row r="22" spans="1:18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49">
        <v>0</v>
      </c>
      <c r="M22" s="387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8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3000</v>
      </c>
      <c r="J23" s="538">
        <v>3700</v>
      </c>
      <c r="K23" s="538">
        <v>1579</v>
      </c>
      <c r="L23" s="549">
        <v>3678</v>
      </c>
      <c r="M23" s="387">
        <v>0</v>
      </c>
      <c r="N23" s="742">
        <f t="shared" si="9"/>
        <v>3678</v>
      </c>
      <c r="O23" s="715">
        <f t="shared" si="4"/>
        <v>99.405405405405403</v>
      </c>
      <c r="P23" s="720">
        <f t="shared" si="2"/>
        <v>232.9322355921469</v>
      </c>
    </row>
    <row r="24" spans="1:18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400</v>
      </c>
      <c r="J24" s="538">
        <v>400</v>
      </c>
      <c r="K24" s="538">
        <v>0</v>
      </c>
      <c r="L24" s="549">
        <v>0</v>
      </c>
      <c r="M24" s="387">
        <v>0</v>
      </c>
      <c r="N24" s="742">
        <f t="shared" si="9"/>
        <v>0</v>
      </c>
      <c r="O24" s="715">
        <f t="shared" si="4"/>
        <v>0</v>
      </c>
      <c r="P24" s="720" t="str">
        <f t="shared" si="2"/>
        <v/>
      </c>
    </row>
    <row r="25" spans="1:18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24150</v>
      </c>
      <c r="J25" s="538">
        <v>21950</v>
      </c>
      <c r="K25" s="538">
        <v>34832</v>
      </c>
      <c r="L25" s="549">
        <v>21947</v>
      </c>
      <c r="M25" s="387">
        <v>0</v>
      </c>
      <c r="N25" s="742">
        <f t="shared" si="9"/>
        <v>21947</v>
      </c>
      <c r="O25" s="715">
        <f t="shared" si="4"/>
        <v>99.986332574031891</v>
      </c>
      <c r="P25" s="720">
        <f t="shared" si="2"/>
        <v>63.008153422140559</v>
      </c>
      <c r="Q25" s="55"/>
    </row>
    <row r="26" spans="1:18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49">
        <v>0</v>
      </c>
      <c r="M26" s="387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8" ht="12.95" customHeight="1">
      <c r="B27" s="10"/>
      <c r="C27" s="11"/>
      <c r="D27" s="11"/>
      <c r="E27" s="309"/>
      <c r="F27" s="328"/>
      <c r="G27" s="354"/>
      <c r="H27" s="11"/>
      <c r="I27" s="537"/>
      <c r="J27" s="537"/>
      <c r="K27" s="537"/>
      <c r="L27" s="574"/>
      <c r="M27" s="318"/>
      <c r="N27" s="732"/>
      <c r="O27" s="715" t="str">
        <f t="shared" si="4"/>
        <v/>
      </c>
      <c r="P27" s="720" t="str">
        <f t="shared" si="2"/>
        <v/>
      </c>
    </row>
    <row r="28" spans="1:18" s="1" customFormat="1" ht="12.95" customHeight="1">
      <c r="A28" s="304"/>
      <c r="B28" s="12"/>
      <c r="C28" s="8"/>
      <c r="D28" s="8"/>
      <c r="E28" s="8"/>
      <c r="F28" s="327">
        <v>614000</v>
      </c>
      <c r="G28" s="353"/>
      <c r="H28" s="8" t="s">
        <v>173</v>
      </c>
      <c r="I28" s="537">
        <f t="shared" ref="I28" si="11">I29+I30</f>
        <v>100000</v>
      </c>
      <c r="J28" s="537">
        <f t="shared" ref="J28" si="12">J29+J30</f>
        <v>100000</v>
      </c>
      <c r="K28" s="537">
        <f>SUM(K29:K30)</f>
        <v>22344</v>
      </c>
      <c r="L28" s="574">
        <f t="shared" ref="L28" si="13">L29+L30</f>
        <v>0</v>
      </c>
      <c r="M28" s="318">
        <f t="shared" ref="M28:N28" si="14">M29+M30</f>
        <v>61868</v>
      </c>
      <c r="N28" s="732">
        <f t="shared" si="14"/>
        <v>61868</v>
      </c>
      <c r="O28" s="714">
        <f t="shared" si="4"/>
        <v>61.868000000000002</v>
      </c>
      <c r="P28" s="719">
        <f t="shared" si="2"/>
        <v>276.88865019692088</v>
      </c>
    </row>
    <row r="29" spans="1:18" ht="12.95" customHeight="1">
      <c r="B29" s="10"/>
      <c r="C29" s="11"/>
      <c r="D29" s="11"/>
      <c r="E29" s="309"/>
      <c r="F29" s="328">
        <v>614200</v>
      </c>
      <c r="G29" s="354" t="s">
        <v>573</v>
      </c>
      <c r="H29" s="20" t="s">
        <v>111</v>
      </c>
      <c r="I29" s="538">
        <v>100000</v>
      </c>
      <c r="J29" s="538">
        <v>100000</v>
      </c>
      <c r="K29" s="538">
        <v>22344</v>
      </c>
      <c r="L29" s="569">
        <v>0</v>
      </c>
      <c r="M29" s="303">
        <v>61868</v>
      </c>
      <c r="N29" s="742">
        <f t="shared" ref="N29:N30" si="15">SUM(L29:M29)</f>
        <v>61868</v>
      </c>
      <c r="O29" s="715">
        <f t="shared" si="4"/>
        <v>61.868000000000002</v>
      </c>
      <c r="P29" s="720">
        <f t="shared" si="2"/>
        <v>276.88865019692088</v>
      </c>
    </row>
    <row r="30" spans="1:18" ht="12.75" customHeight="1">
      <c r="B30" s="10"/>
      <c r="C30" s="11"/>
      <c r="D30" s="11"/>
      <c r="E30" s="309"/>
      <c r="F30" s="328">
        <v>614300</v>
      </c>
      <c r="G30" s="354" t="s">
        <v>574</v>
      </c>
      <c r="H30" s="524" t="s">
        <v>653</v>
      </c>
      <c r="I30" s="538">
        <v>0</v>
      </c>
      <c r="J30" s="538">
        <v>0</v>
      </c>
      <c r="K30" s="538">
        <v>0</v>
      </c>
      <c r="L30" s="569">
        <v>0</v>
      </c>
      <c r="M30" s="303">
        <v>0</v>
      </c>
      <c r="N30" s="742">
        <f t="shared" si="15"/>
        <v>0</v>
      </c>
      <c r="O30" s="715" t="str">
        <f t="shared" si="4"/>
        <v/>
      </c>
      <c r="P30" s="720" t="str">
        <f t="shared" si="2"/>
        <v/>
      </c>
      <c r="R30" s="63"/>
    </row>
    <row r="31" spans="1:18" ht="12.95" customHeight="1">
      <c r="B31" s="10"/>
      <c r="C31" s="11"/>
      <c r="D31" s="11"/>
      <c r="E31" s="309"/>
      <c r="F31" s="327"/>
      <c r="G31" s="353"/>
      <c r="H31" s="8"/>
      <c r="I31" s="538"/>
      <c r="J31" s="538"/>
      <c r="K31" s="538"/>
      <c r="L31" s="569"/>
      <c r="M31" s="303"/>
      <c r="N31" s="743"/>
      <c r="O31" s="715" t="str">
        <f t="shared" si="4"/>
        <v/>
      </c>
      <c r="P31" s="720" t="str">
        <f t="shared" si="2"/>
        <v/>
      </c>
    </row>
    <row r="32" spans="1:18" ht="12.95" customHeight="1">
      <c r="B32" s="12"/>
      <c r="C32" s="8"/>
      <c r="D32" s="8"/>
      <c r="E32" s="8"/>
      <c r="F32" s="327">
        <v>821000</v>
      </c>
      <c r="G32" s="353"/>
      <c r="H32" s="8" t="s">
        <v>89</v>
      </c>
      <c r="I32" s="537">
        <f t="shared" ref="I32" si="16">SUM(I33:I35)</f>
        <v>5000</v>
      </c>
      <c r="J32" s="537">
        <f t="shared" ref="J32" si="17">SUM(J33:J35)</f>
        <v>5000</v>
      </c>
      <c r="K32" s="537">
        <f>SUM(K33:K34)</f>
        <v>34373</v>
      </c>
      <c r="L32" s="574">
        <f>SUM(L33:L35)</f>
        <v>0</v>
      </c>
      <c r="M32" s="318">
        <f>SUM(M33:M35)</f>
        <v>4379</v>
      </c>
      <c r="N32" s="732">
        <f>SUM(N33:N35)</f>
        <v>4379</v>
      </c>
      <c r="O32" s="714">
        <f t="shared" si="4"/>
        <v>87.58</v>
      </c>
      <c r="P32" s="719">
        <f t="shared" si="2"/>
        <v>12.739650306926947</v>
      </c>
    </row>
    <row r="33" spans="1:16" ht="12.95" customHeight="1">
      <c r="B33" s="10"/>
      <c r="C33" s="11"/>
      <c r="D33" s="11"/>
      <c r="E33" s="309"/>
      <c r="F33" s="328">
        <v>821200</v>
      </c>
      <c r="G33" s="354"/>
      <c r="H33" s="11" t="s">
        <v>90</v>
      </c>
      <c r="I33" s="538">
        <v>0</v>
      </c>
      <c r="J33" s="538">
        <v>0</v>
      </c>
      <c r="K33" s="538">
        <v>0</v>
      </c>
      <c r="L33" s="608">
        <v>0</v>
      </c>
      <c r="M33" s="319">
        <v>0</v>
      </c>
      <c r="N33" s="742">
        <f t="shared" ref="N33:N34" si="18">SUM(L33:M33)</f>
        <v>0</v>
      </c>
      <c r="O33" s="715" t="str">
        <f t="shared" si="4"/>
        <v/>
      </c>
      <c r="P33" s="720" t="str">
        <f t="shared" si="2"/>
        <v/>
      </c>
    </row>
    <row r="34" spans="1:16" s="1" customFormat="1" ht="12.95" customHeight="1">
      <c r="A34" s="304"/>
      <c r="B34" s="10"/>
      <c r="C34" s="11"/>
      <c r="D34" s="11"/>
      <c r="E34" s="309"/>
      <c r="F34" s="328">
        <v>821300</v>
      </c>
      <c r="G34" s="354"/>
      <c r="H34" s="11" t="s">
        <v>91</v>
      </c>
      <c r="I34" s="538">
        <v>5000</v>
      </c>
      <c r="J34" s="538">
        <v>5000</v>
      </c>
      <c r="K34" s="538">
        <v>34373</v>
      </c>
      <c r="L34" s="569">
        <v>0</v>
      </c>
      <c r="M34" s="303">
        <v>4379</v>
      </c>
      <c r="N34" s="742">
        <f t="shared" si="18"/>
        <v>4379</v>
      </c>
      <c r="O34" s="737">
        <f t="shared" si="4"/>
        <v>87.58</v>
      </c>
      <c r="P34" s="369">
        <f t="shared" si="2"/>
        <v>12.739650306926947</v>
      </c>
    </row>
    <row r="35" spans="1:16" ht="12.95" customHeight="1">
      <c r="B35" s="10"/>
      <c r="C35" s="11"/>
      <c r="D35" s="11"/>
      <c r="E35" s="309"/>
      <c r="F35" s="328"/>
      <c r="G35" s="354"/>
      <c r="H35" s="20"/>
      <c r="I35" s="538"/>
      <c r="J35" s="538"/>
      <c r="K35" s="538"/>
      <c r="L35" s="569"/>
      <c r="M35" s="303"/>
      <c r="N35" s="743"/>
      <c r="O35" s="737" t="str">
        <f t="shared" si="4"/>
        <v/>
      </c>
      <c r="P35" s="369" t="str">
        <f t="shared" si="2"/>
        <v/>
      </c>
    </row>
    <row r="36" spans="1:16" ht="12.95" customHeight="1">
      <c r="B36" s="12"/>
      <c r="C36" s="8"/>
      <c r="D36" s="8"/>
      <c r="E36" s="8"/>
      <c r="F36" s="327"/>
      <c r="G36" s="353"/>
      <c r="H36" s="8" t="s">
        <v>92</v>
      </c>
      <c r="I36" s="537">
        <v>13</v>
      </c>
      <c r="J36" s="537"/>
      <c r="K36" s="537">
        <v>12</v>
      </c>
      <c r="L36" s="568">
        <v>13</v>
      </c>
      <c r="M36" s="311"/>
      <c r="N36" s="732">
        <v>13</v>
      </c>
      <c r="O36" s="737"/>
      <c r="P36" s="369"/>
    </row>
    <row r="37" spans="1:16" ht="12.95" customHeight="1">
      <c r="B37" s="12"/>
      <c r="C37" s="8"/>
      <c r="D37" s="8"/>
      <c r="E37" s="8"/>
      <c r="F37" s="327"/>
      <c r="G37" s="353"/>
      <c r="H37" s="8" t="s">
        <v>110</v>
      </c>
      <c r="I37" s="561">
        <f>I8+I13+I16+I28+I32</f>
        <v>433750</v>
      </c>
      <c r="J37" s="311">
        <f>J8+J13+J16+J28+J32</f>
        <v>432750</v>
      </c>
      <c r="K37" s="561">
        <f t="shared" ref="K37" si="19">K8+K13+K16+K28+K32</f>
        <v>353039</v>
      </c>
      <c r="L37" s="568">
        <f>L8+L13+L16+L28+L32</f>
        <v>325715</v>
      </c>
      <c r="M37" s="311">
        <f>M8+M13+M16+M28+M32</f>
        <v>66247</v>
      </c>
      <c r="N37" s="732">
        <f>N8+N13+N16+N28+N32</f>
        <v>391962</v>
      </c>
      <c r="O37" s="736">
        <f t="shared" si="4"/>
        <v>90.574696707105716</v>
      </c>
      <c r="P37" s="368">
        <f t="shared" si="2"/>
        <v>111.02512753548474</v>
      </c>
    </row>
    <row r="38" spans="1:16" s="1" customFormat="1" ht="12.95" customHeight="1">
      <c r="A38" s="304"/>
      <c r="B38" s="12"/>
      <c r="C38" s="8"/>
      <c r="D38" s="8"/>
      <c r="E38" s="8"/>
      <c r="F38" s="327"/>
      <c r="G38" s="353"/>
      <c r="H38" s="8" t="s">
        <v>93</v>
      </c>
      <c r="I38" s="561">
        <f>I37</f>
        <v>433750</v>
      </c>
      <c r="J38" s="311">
        <f>J37</f>
        <v>432750</v>
      </c>
      <c r="K38" s="561">
        <f t="shared" ref="K38" si="20">K37</f>
        <v>353039</v>
      </c>
      <c r="L38" s="568">
        <f t="shared" ref="L38:N39" si="21">L37</f>
        <v>325715</v>
      </c>
      <c r="M38" s="311">
        <f t="shared" si="21"/>
        <v>66247</v>
      </c>
      <c r="N38" s="732">
        <f t="shared" si="21"/>
        <v>391962</v>
      </c>
      <c r="O38" s="736">
        <f t="shared" si="4"/>
        <v>90.574696707105716</v>
      </c>
      <c r="P38" s="368">
        <f t="shared" si="2"/>
        <v>111.02512753548474</v>
      </c>
    </row>
    <row r="39" spans="1:16" s="1" customFormat="1" ht="12.95" customHeight="1">
      <c r="A39" s="304"/>
      <c r="B39" s="12"/>
      <c r="C39" s="8"/>
      <c r="D39" s="8"/>
      <c r="E39" s="8"/>
      <c r="F39" s="327"/>
      <c r="G39" s="353"/>
      <c r="H39" s="8" t="s">
        <v>94</v>
      </c>
      <c r="I39" s="15">
        <f>I38</f>
        <v>433750</v>
      </c>
      <c r="J39" s="15">
        <f>J38</f>
        <v>432750</v>
      </c>
      <c r="K39" s="561">
        <f t="shared" ref="K39" si="22">K38</f>
        <v>353039</v>
      </c>
      <c r="L39" s="568">
        <f t="shared" si="21"/>
        <v>325715</v>
      </c>
      <c r="M39" s="311">
        <f t="shared" si="21"/>
        <v>66247</v>
      </c>
      <c r="N39" s="732">
        <f t="shared" si="21"/>
        <v>391962</v>
      </c>
      <c r="O39" s="736">
        <f t="shared" si="4"/>
        <v>90.574696707105716</v>
      </c>
      <c r="P39" s="368">
        <f t="shared" si="2"/>
        <v>111.02512753548474</v>
      </c>
    </row>
    <row r="40" spans="1:16" s="1" customFormat="1" ht="12.95" customHeight="1" thickBot="1">
      <c r="A40" s="304"/>
      <c r="B40" s="16"/>
      <c r="C40" s="17"/>
      <c r="D40" s="17"/>
      <c r="E40" s="17"/>
      <c r="F40" s="329"/>
      <c r="G40" s="355"/>
      <c r="H40" s="17"/>
      <c r="I40" s="100"/>
      <c r="J40" s="100"/>
      <c r="K40" s="619"/>
      <c r="L40" s="620"/>
      <c r="M40" s="100"/>
      <c r="N40" s="806"/>
      <c r="O40" s="807"/>
      <c r="P40" s="373"/>
    </row>
    <row r="41" spans="1:16" s="1" customFormat="1" ht="12.95" customHeight="1">
      <c r="A41" s="304"/>
      <c r="B41" s="9"/>
      <c r="C41" s="9"/>
      <c r="D41" s="9"/>
      <c r="E41" s="307"/>
      <c r="F41" s="330"/>
      <c r="G41" s="356"/>
      <c r="H41" s="9"/>
      <c r="I41" s="61"/>
      <c r="J41" s="61"/>
      <c r="K41" s="61"/>
      <c r="L41" s="61"/>
      <c r="M41" s="61"/>
      <c r="N41" s="412"/>
      <c r="O41" s="374"/>
      <c r="P41" s="374"/>
    </row>
    <row r="42" spans="1:16" ht="12.95" customHeight="1">
      <c r="B42" s="55"/>
      <c r="F42" s="330"/>
      <c r="G42" s="356"/>
      <c r="N42" s="409"/>
    </row>
    <row r="43" spans="1:16" ht="12.95" customHeight="1">
      <c r="B43" s="55"/>
      <c r="F43" s="330"/>
      <c r="G43" s="356"/>
      <c r="N43" s="409"/>
    </row>
    <row r="44" spans="1:16" ht="12.95" customHeight="1">
      <c r="B44" s="55"/>
      <c r="F44" s="330"/>
      <c r="G44" s="356"/>
      <c r="N44" s="409"/>
    </row>
    <row r="45" spans="1:16" ht="12.95" customHeight="1">
      <c r="B45" s="55"/>
      <c r="F45" s="330"/>
      <c r="G45" s="356"/>
      <c r="N45" s="409"/>
    </row>
    <row r="46" spans="1:16" ht="12.95" customHeight="1">
      <c r="B46" s="55"/>
      <c r="F46" s="330"/>
      <c r="G46" s="356"/>
      <c r="N46" s="409"/>
    </row>
    <row r="47" spans="1:16" ht="12.95" customHeight="1">
      <c r="B47" s="55"/>
      <c r="F47" s="330"/>
      <c r="G47" s="356"/>
      <c r="N47" s="409"/>
    </row>
    <row r="48" spans="1:16" ht="12.95" customHeight="1">
      <c r="B48" s="55"/>
      <c r="F48" s="330"/>
      <c r="G48" s="356"/>
      <c r="N48" s="409"/>
    </row>
    <row r="49" spans="2:14" ht="12.95" customHeight="1">
      <c r="B49" s="55"/>
      <c r="F49" s="330"/>
      <c r="G49" s="356"/>
      <c r="N49" s="409"/>
    </row>
    <row r="50" spans="2:14" ht="12.95" customHeight="1">
      <c r="B50" s="55"/>
      <c r="F50" s="330"/>
      <c r="G50" s="356"/>
      <c r="N50" s="409"/>
    </row>
    <row r="51" spans="2:14" ht="12.95" customHeight="1">
      <c r="B51" s="55"/>
      <c r="F51" s="330"/>
      <c r="G51" s="356"/>
      <c r="N51" s="409"/>
    </row>
    <row r="52" spans="2:14" ht="12.95" customHeight="1">
      <c r="F52" s="330"/>
      <c r="G52" s="356"/>
      <c r="N52" s="409"/>
    </row>
    <row r="53" spans="2:14" ht="12.95" customHeight="1">
      <c r="F53" s="330"/>
      <c r="G53" s="356"/>
      <c r="N53" s="409"/>
    </row>
    <row r="54" spans="2:14" ht="12.95" customHeight="1">
      <c r="F54" s="330"/>
      <c r="G54" s="356"/>
      <c r="N54" s="409"/>
    </row>
    <row r="55" spans="2:14" ht="12.95" customHeight="1">
      <c r="F55" s="330"/>
      <c r="G55" s="356"/>
      <c r="N55" s="409"/>
    </row>
    <row r="56" spans="2:14" ht="12.95" customHeight="1">
      <c r="F56" s="330"/>
      <c r="G56" s="356"/>
      <c r="N56" s="409"/>
    </row>
    <row r="57" spans="2:14" ht="12.95" customHeight="1">
      <c r="F57" s="330"/>
      <c r="G57" s="356"/>
      <c r="N57" s="409"/>
    </row>
    <row r="58" spans="2:14" ht="12.95" customHeight="1">
      <c r="F58" s="330"/>
      <c r="G58" s="356"/>
      <c r="N58" s="409"/>
    </row>
    <row r="59" spans="2:14" ht="12.95" customHeight="1">
      <c r="F59" s="330"/>
      <c r="G59" s="356"/>
      <c r="N59" s="409"/>
    </row>
    <row r="60" spans="2:14" ht="17.100000000000001" customHeight="1">
      <c r="F60" s="330"/>
      <c r="G60" s="356"/>
      <c r="N60" s="409"/>
    </row>
    <row r="61" spans="2:14" ht="17.100000000000001" customHeight="1">
      <c r="F61" s="330"/>
      <c r="G61" s="356"/>
      <c r="N61" s="409"/>
    </row>
    <row r="62" spans="2:14" ht="14.25">
      <c r="F62" s="330"/>
      <c r="G62" s="356"/>
      <c r="N62" s="409"/>
    </row>
    <row r="63" spans="2:14" ht="14.25">
      <c r="F63" s="330"/>
      <c r="G63" s="356"/>
      <c r="N63" s="409"/>
    </row>
    <row r="64" spans="2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R96"/>
  <sheetViews>
    <sheetView zoomScaleNormal="100" workbookViewId="0">
      <selection activeCell="N33" sqref="N33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139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140</v>
      </c>
      <c r="C7" s="7" t="s">
        <v>80</v>
      </c>
      <c r="D7" s="7" t="s">
        <v>81</v>
      </c>
      <c r="E7" s="653" t="s">
        <v>785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556230</v>
      </c>
      <c r="J8" s="537">
        <f t="shared" ref="J8" si="1">SUM(J9:J11)</f>
        <v>552730</v>
      </c>
      <c r="K8" s="537">
        <f>SUM(K9:K11)</f>
        <v>516704</v>
      </c>
      <c r="L8" s="564">
        <f>SUM(L9:L11)</f>
        <v>551737</v>
      </c>
      <c r="M8" s="233">
        <f>SUM(M9:M11)</f>
        <v>0</v>
      </c>
      <c r="N8" s="741">
        <f>SUM(N9:N11)</f>
        <v>551737</v>
      </c>
      <c r="O8" s="714">
        <f>IF(J8=0,"",N8/J8*100)</f>
        <v>99.820346281186119</v>
      </c>
      <c r="P8" s="719">
        <f>IF(K8=0,"",N8/K8*100)</f>
        <v>106.78009072892797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491410</v>
      </c>
      <c r="J9" s="538">
        <v>489910</v>
      </c>
      <c r="K9" s="538">
        <v>448239</v>
      </c>
      <c r="L9" s="611">
        <v>489414</v>
      </c>
      <c r="M9" s="235">
        <v>0</v>
      </c>
      <c r="N9" s="742">
        <f>SUM(L9:M9)</f>
        <v>489414</v>
      </c>
      <c r="O9" s="715">
        <f>IF(J9=0,"",N9/J9*100)</f>
        <v>99.898756914535326</v>
      </c>
      <c r="P9" s="720">
        <f t="shared" ref="P9:P35" si="2">IF(K9=0,"",N9/K9*100)</f>
        <v>109.18594767523575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64820</v>
      </c>
      <c r="J10" s="538">
        <v>62820</v>
      </c>
      <c r="K10" s="538">
        <v>68465</v>
      </c>
      <c r="L10" s="611">
        <v>62323</v>
      </c>
      <c r="M10" s="235">
        <v>0</v>
      </c>
      <c r="N10" s="742">
        <f t="shared" ref="N10:N11" si="3">SUM(L10:M10)</f>
        <v>62323</v>
      </c>
      <c r="O10" s="715">
        <f t="shared" ref="O10:O35" si="4">IF(J10=0,"",N10/J10*100)</f>
        <v>99.208850684495388</v>
      </c>
      <c r="P10" s="720">
        <f t="shared" si="2"/>
        <v>91.028992916088512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50660</v>
      </c>
      <c r="J13" s="537">
        <f t="shared" si="6"/>
        <v>50660</v>
      </c>
      <c r="K13" s="537">
        <f>K14</f>
        <v>47717</v>
      </c>
      <c r="L13" s="564">
        <f>L14</f>
        <v>50048</v>
      </c>
      <c r="M13" s="233">
        <f>M14</f>
        <v>0</v>
      </c>
      <c r="N13" s="741">
        <f>N14</f>
        <v>50048</v>
      </c>
      <c r="O13" s="714">
        <f t="shared" si="4"/>
        <v>98.791946308724832</v>
      </c>
      <c r="P13" s="719">
        <f t="shared" si="2"/>
        <v>104.88505144916907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50660</v>
      </c>
      <c r="J14" s="538">
        <v>50660</v>
      </c>
      <c r="K14" s="538">
        <v>47717</v>
      </c>
      <c r="L14" s="611">
        <v>50048</v>
      </c>
      <c r="M14" s="235">
        <v>0</v>
      </c>
      <c r="N14" s="742">
        <f>SUM(L14:M14)</f>
        <v>50048</v>
      </c>
      <c r="O14" s="715">
        <f t="shared" si="4"/>
        <v>98.791946308724832</v>
      </c>
      <c r="P14" s="720">
        <f t="shared" si="2"/>
        <v>104.88505144916907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118100</v>
      </c>
      <c r="J16" s="537">
        <f t="shared" ref="J16" si="8">SUM(J17:J26)</f>
        <v>118100</v>
      </c>
      <c r="K16" s="537">
        <f>SUM(K17:K26)</f>
        <v>99827</v>
      </c>
      <c r="L16" s="567">
        <f>SUM(L17:L26)</f>
        <v>110823</v>
      </c>
      <c r="M16" s="316">
        <f>SUM(M17:M26)</f>
        <v>0</v>
      </c>
      <c r="N16" s="732">
        <f>SUM(N17:N26)</f>
        <v>110823</v>
      </c>
      <c r="O16" s="714">
        <f t="shared" si="4"/>
        <v>93.838272650296361</v>
      </c>
      <c r="P16" s="719">
        <f t="shared" si="2"/>
        <v>111.01505604696125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1000</v>
      </c>
      <c r="K17" s="538">
        <v>3083</v>
      </c>
      <c r="L17" s="551">
        <v>505</v>
      </c>
      <c r="M17" s="386">
        <v>0</v>
      </c>
      <c r="N17" s="742">
        <f t="shared" ref="N17:N26" si="9">SUM(L17:M17)</f>
        <v>505</v>
      </c>
      <c r="O17" s="715">
        <f t="shared" si="4"/>
        <v>50.5</v>
      </c>
      <c r="P17" s="720">
        <f t="shared" si="2"/>
        <v>16.380149205319494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22000</v>
      </c>
      <c r="J18" s="538">
        <v>22000</v>
      </c>
      <c r="K18" s="538">
        <v>26783</v>
      </c>
      <c r="L18" s="551">
        <v>19948</v>
      </c>
      <c r="M18" s="386">
        <v>0</v>
      </c>
      <c r="N18" s="742">
        <f t="shared" si="9"/>
        <v>19948</v>
      </c>
      <c r="O18" s="715">
        <f t="shared" si="4"/>
        <v>90.672727272727272</v>
      </c>
      <c r="P18" s="720">
        <f t="shared" si="2"/>
        <v>74.480080648172347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11000</v>
      </c>
      <c r="J19" s="538">
        <v>11000</v>
      </c>
      <c r="K19" s="538">
        <v>11985</v>
      </c>
      <c r="L19" s="551">
        <v>10768</v>
      </c>
      <c r="M19" s="386">
        <v>0</v>
      </c>
      <c r="N19" s="742">
        <f t="shared" si="9"/>
        <v>10768</v>
      </c>
      <c r="O19" s="715">
        <f t="shared" si="4"/>
        <v>97.890909090909091</v>
      </c>
      <c r="P19" s="720">
        <f t="shared" si="2"/>
        <v>89.845640383813091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7000</v>
      </c>
      <c r="J20" s="538">
        <v>7000</v>
      </c>
      <c r="K20" s="538">
        <v>5953</v>
      </c>
      <c r="L20" s="551">
        <v>6938</v>
      </c>
      <c r="M20" s="386">
        <v>0</v>
      </c>
      <c r="N20" s="742">
        <f t="shared" si="9"/>
        <v>6938</v>
      </c>
      <c r="O20" s="715">
        <f t="shared" si="4"/>
        <v>99.114285714285714</v>
      </c>
      <c r="P20" s="720">
        <f t="shared" si="2"/>
        <v>116.54627918696457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4000</v>
      </c>
      <c r="J21" s="538">
        <v>4000</v>
      </c>
      <c r="K21" s="538">
        <v>4500</v>
      </c>
      <c r="L21" s="552">
        <v>3296</v>
      </c>
      <c r="M21" s="388">
        <v>0</v>
      </c>
      <c r="N21" s="742">
        <f t="shared" si="9"/>
        <v>3296</v>
      </c>
      <c r="O21" s="715">
        <f t="shared" si="4"/>
        <v>82.399999999999991</v>
      </c>
      <c r="P21" s="720">
        <f t="shared" si="2"/>
        <v>73.24444444444444</v>
      </c>
      <c r="Q21" s="55"/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6500</v>
      </c>
      <c r="J23" s="538">
        <v>6500</v>
      </c>
      <c r="K23" s="538">
        <v>7608</v>
      </c>
      <c r="L23" s="552">
        <v>6460</v>
      </c>
      <c r="M23" s="388">
        <v>0</v>
      </c>
      <c r="N23" s="742">
        <f t="shared" si="9"/>
        <v>6460</v>
      </c>
      <c r="O23" s="715">
        <f t="shared" si="4"/>
        <v>99.384615384615387</v>
      </c>
      <c r="P23" s="720">
        <f t="shared" si="2"/>
        <v>84.9106203995794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1600</v>
      </c>
      <c r="J24" s="538">
        <v>1600</v>
      </c>
      <c r="K24" s="538">
        <v>1379</v>
      </c>
      <c r="L24" s="552">
        <v>1354</v>
      </c>
      <c r="M24" s="388">
        <v>0</v>
      </c>
      <c r="N24" s="742">
        <f t="shared" si="9"/>
        <v>1354</v>
      </c>
      <c r="O24" s="715">
        <f t="shared" si="4"/>
        <v>84.625</v>
      </c>
      <c r="P24" s="720">
        <f t="shared" si="2"/>
        <v>98.187092095721539</v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65000</v>
      </c>
      <c r="J25" s="538">
        <v>65000</v>
      </c>
      <c r="K25" s="538">
        <v>38536</v>
      </c>
      <c r="L25" s="552">
        <v>61554</v>
      </c>
      <c r="M25" s="388">
        <v>0</v>
      </c>
      <c r="N25" s="742">
        <f t="shared" si="9"/>
        <v>61554</v>
      </c>
      <c r="O25" s="715">
        <f t="shared" si="4"/>
        <v>94.698461538461544</v>
      </c>
      <c r="P25" s="720">
        <f t="shared" si="2"/>
        <v>159.73116047332365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4900</v>
      </c>
      <c r="J28" s="537">
        <f t="shared" ref="J28" si="12">SUM(J29:J30)</f>
        <v>4900</v>
      </c>
      <c r="K28" s="537">
        <f>SUM(K29:K30)</f>
        <v>9744</v>
      </c>
      <c r="L28" s="574">
        <f>SUM(L29:L30)</f>
        <v>4704</v>
      </c>
      <c r="M28" s="318">
        <f>SUM(M29:M30)</f>
        <v>0</v>
      </c>
      <c r="N28" s="732">
        <f>SUM(N29:N30)</f>
        <v>4704</v>
      </c>
      <c r="O28" s="714">
        <f t="shared" si="4"/>
        <v>96</v>
      </c>
      <c r="P28" s="719">
        <f t="shared" si="2"/>
        <v>48.275862068965516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v>0</v>
      </c>
      <c r="J29" s="538">
        <v>0</v>
      </c>
      <c r="K29" s="538">
        <v>5000</v>
      </c>
      <c r="L29" s="608">
        <v>0</v>
      </c>
      <c r="M29" s="319">
        <v>0</v>
      </c>
      <c r="N29" s="742">
        <f t="shared" ref="N29:N30" si="13">SUM(L29:M29)</f>
        <v>0</v>
      </c>
      <c r="O29" s="715" t="str">
        <f t="shared" si="4"/>
        <v/>
      </c>
      <c r="P29" s="720">
        <f t="shared" si="2"/>
        <v>0</v>
      </c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4900</v>
      </c>
      <c r="J30" s="538">
        <v>4900</v>
      </c>
      <c r="K30" s="538">
        <v>4744</v>
      </c>
      <c r="L30" s="608">
        <v>4704</v>
      </c>
      <c r="M30" s="319">
        <v>0</v>
      </c>
      <c r="N30" s="742">
        <f t="shared" si="13"/>
        <v>4704</v>
      </c>
      <c r="O30" s="715">
        <f t="shared" si="4"/>
        <v>96</v>
      </c>
      <c r="P30" s="720">
        <f t="shared" si="2"/>
        <v>99.156829679595276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16</v>
      </c>
      <c r="J32" s="537"/>
      <c r="K32" s="537">
        <v>16</v>
      </c>
      <c r="L32" s="568">
        <v>16</v>
      </c>
      <c r="M32" s="311"/>
      <c r="N32" s="732">
        <v>16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729890</v>
      </c>
      <c r="J33" s="311">
        <f>J8+J13+J16+J28</f>
        <v>726390</v>
      </c>
      <c r="K33" s="561">
        <f t="shared" ref="K33" si="14">K8+K13+K16+K28</f>
        <v>673992</v>
      </c>
      <c r="L33" s="568">
        <f>L8+L13+L16+L28</f>
        <v>717312</v>
      </c>
      <c r="M33" s="311">
        <f>M8+M13+M16+M28</f>
        <v>0</v>
      </c>
      <c r="N33" s="732">
        <f>N8+N13+N16+N28</f>
        <v>717312</v>
      </c>
      <c r="O33" s="714">
        <f t="shared" si="4"/>
        <v>98.750258125800201</v>
      </c>
      <c r="P33" s="719">
        <f t="shared" si="2"/>
        <v>106.42737599259337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</f>
        <v>729890</v>
      </c>
      <c r="J34" s="311">
        <f>J33</f>
        <v>726390</v>
      </c>
      <c r="K34" s="561">
        <f t="shared" ref="K34" si="15">K33</f>
        <v>673992</v>
      </c>
      <c r="L34" s="568">
        <f t="shared" ref="L34:N35" si="16">L33</f>
        <v>717312</v>
      </c>
      <c r="M34" s="311">
        <f t="shared" si="16"/>
        <v>0</v>
      </c>
      <c r="N34" s="732">
        <f t="shared" si="16"/>
        <v>717312</v>
      </c>
      <c r="O34" s="714">
        <f>IF(J34=0,"",N34/J34*100)</f>
        <v>98.750258125800201</v>
      </c>
      <c r="P34" s="719">
        <f t="shared" si="2"/>
        <v>106.42737599259337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729890</v>
      </c>
      <c r="J35" s="15">
        <f>J34</f>
        <v>726390</v>
      </c>
      <c r="K35" s="561">
        <f t="shared" ref="K35" si="17">K34</f>
        <v>673992</v>
      </c>
      <c r="L35" s="568">
        <f t="shared" si="16"/>
        <v>717312</v>
      </c>
      <c r="M35" s="311">
        <f t="shared" si="16"/>
        <v>0</v>
      </c>
      <c r="N35" s="732">
        <f t="shared" si="16"/>
        <v>717312</v>
      </c>
      <c r="O35" s="714">
        <f t="shared" si="4"/>
        <v>98.750258125800201</v>
      </c>
      <c r="P35" s="719">
        <f t="shared" si="2"/>
        <v>106.42737599259337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B41" s="55"/>
      <c r="F41" s="330"/>
      <c r="G41" s="356"/>
      <c r="N41" s="410"/>
    </row>
    <row r="42" spans="1:16" ht="12.95" customHeight="1">
      <c r="B42" s="55"/>
      <c r="F42" s="330"/>
      <c r="G42" s="356"/>
      <c r="N42" s="410"/>
    </row>
    <row r="43" spans="1:16" ht="12.95" customHeight="1">
      <c r="B43" s="55"/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R96"/>
  <sheetViews>
    <sheetView zoomScaleNormal="100" workbookViewId="0">
      <selection activeCell="O32" sqref="O3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403" customFormat="1" ht="20.100000000000001" customHeight="1" thickTop="1" thickBot="1">
      <c r="B2" s="906" t="s">
        <v>189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141</v>
      </c>
      <c r="C7" s="7" t="s">
        <v>80</v>
      </c>
      <c r="D7" s="7" t="s">
        <v>81</v>
      </c>
      <c r="E7" s="653" t="s">
        <v>785</v>
      </c>
      <c r="F7" s="5"/>
      <c r="G7" s="306"/>
      <c r="H7" s="5"/>
      <c r="I7" s="560"/>
      <c r="J7" s="306"/>
      <c r="K7" s="560"/>
      <c r="L7" s="4"/>
      <c r="M7" s="306"/>
      <c r="N7" s="740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63050</v>
      </c>
      <c r="J8" s="537">
        <f t="shared" ref="J8" si="1">SUM(J9:J11)</f>
        <v>63050</v>
      </c>
      <c r="K8" s="537">
        <f>SUM(K9:K11)</f>
        <v>61260</v>
      </c>
      <c r="L8" s="564">
        <f>SUM(L9:L11)</f>
        <v>62767</v>
      </c>
      <c r="M8" s="233">
        <f>SUM(M9:M11)</f>
        <v>0</v>
      </c>
      <c r="N8" s="741">
        <f>SUM(N9:N11)</f>
        <v>62767</v>
      </c>
      <c r="O8" s="714">
        <f>IF(J8=0,"",N8/J8*100)</f>
        <v>99.551149881046783</v>
      </c>
      <c r="P8" s="719">
        <f>IF(K8=0,"",N8/K8*100)</f>
        <v>102.46000652954619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56030</v>
      </c>
      <c r="J9" s="538">
        <v>56030</v>
      </c>
      <c r="K9" s="538">
        <v>52748</v>
      </c>
      <c r="L9" s="565">
        <v>55945</v>
      </c>
      <c r="M9" s="232">
        <v>0</v>
      </c>
      <c r="N9" s="742">
        <f>SUM(L9:M9)</f>
        <v>55945</v>
      </c>
      <c r="O9" s="715">
        <f>IF(J9=0,"",N9/J9*100)</f>
        <v>99.848295555952177</v>
      </c>
      <c r="P9" s="720">
        <f t="shared" ref="P9:P35" si="2">IF(K9=0,"",N9/K9*100)</f>
        <v>106.06089330401151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7020</v>
      </c>
      <c r="J10" s="538">
        <v>7020</v>
      </c>
      <c r="K10" s="538">
        <v>8512</v>
      </c>
      <c r="L10" s="565">
        <v>6822</v>
      </c>
      <c r="M10" s="232">
        <v>0</v>
      </c>
      <c r="N10" s="742">
        <f t="shared" ref="N10:N11" si="3">SUM(L10:M10)</f>
        <v>6822</v>
      </c>
      <c r="O10" s="715">
        <f t="shared" ref="O10:O35" si="4">IF(J10=0,"",N10/J10*100)</f>
        <v>97.179487179487182</v>
      </c>
      <c r="P10" s="720">
        <f t="shared" si="2"/>
        <v>80.145676691729335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378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5940</v>
      </c>
      <c r="J13" s="537">
        <f t="shared" si="6"/>
        <v>5940</v>
      </c>
      <c r="K13" s="537">
        <f>K14</f>
        <v>6341</v>
      </c>
      <c r="L13" s="564">
        <f>L14</f>
        <v>5898</v>
      </c>
      <c r="M13" s="233">
        <f>M14</f>
        <v>0</v>
      </c>
      <c r="N13" s="741">
        <f>N14</f>
        <v>5898</v>
      </c>
      <c r="O13" s="714">
        <f t="shared" si="4"/>
        <v>99.292929292929287</v>
      </c>
      <c r="P13" s="719">
        <f t="shared" si="2"/>
        <v>93.013720233401671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5940</v>
      </c>
      <c r="J14" s="538">
        <v>5940</v>
      </c>
      <c r="K14" s="538">
        <v>6341</v>
      </c>
      <c r="L14" s="565">
        <v>5898</v>
      </c>
      <c r="M14" s="232">
        <v>0</v>
      </c>
      <c r="N14" s="742">
        <f>SUM(L14:M14)</f>
        <v>5898</v>
      </c>
      <c r="O14" s="715">
        <f t="shared" si="4"/>
        <v>99.292929292929287</v>
      </c>
      <c r="P14" s="720">
        <f t="shared" si="2"/>
        <v>93.013720233401671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7"/>
      <c r="M15" s="316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11700</v>
      </c>
      <c r="J16" s="537">
        <f t="shared" ref="J16" si="8">SUM(J17:J26)</f>
        <v>11700</v>
      </c>
      <c r="K16" s="537">
        <f>SUM(K17:K26)</f>
        <v>14539</v>
      </c>
      <c r="L16" s="567">
        <f>SUM(L17:L26)</f>
        <v>10130</v>
      </c>
      <c r="M16" s="316">
        <f>SUM(M17:M26)</f>
        <v>0</v>
      </c>
      <c r="N16" s="732">
        <f>SUM(N17:N26)</f>
        <v>10130</v>
      </c>
      <c r="O16" s="714">
        <f t="shared" si="4"/>
        <v>86.581196581196579</v>
      </c>
      <c r="P16" s="719">
        <f t="shared" si="2"/>
        <v>69.674668133984454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300</v>
      </c>
      <c r="J17" s="538">
        <v>300</v>
      </c>
      <c r="K17" s="538">
        <v>366</v>
      </c>
      <c r="L17" s="550">
        <v>124</v>
      </c>
      <c r="M17" s="385">
        <v>0</v>
      </c>
      <c r="N17" s="742">
        <f t="shared" ref="N17:N26" si="9">SUM(L17:M17)</f>
        <v>124</v>
      </c>
      <c r="O17" s="715">
        <f t="shared" si="4"/>
        <v>41.333333333333336</v>
      </c>
      <c r="P17" s="720">
        <f t="shared" si="2"/>
        <v>33.879781420765028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f t="shared" ref="I18:J26" si="10">SUM(G18:H18)</f>
        <v>0</v>
      </c>
      <c r="J18" s="538">
        <f t="shared" si="10"/>
        <v>0</v>
      </c>
      <c r="K18" s="538">
        <v>0</v>
      </c>
      <c r="L18" s="550">
        <v>0</v>
      </c>
      <c r="M18" s="385">
        <v>0</v>
      </c>
      <c r="N18" s="742">
        <f t="shared" si="9"/>
        <v>0</v>
      </c>
      <c r="O18" s="715" t="str">
        <f t="shared" si="4"/>
        <v/>
      </c>
      <c r="P18" s="720" t="str">
        <f t="shared" si="2"/>
        <v/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3000</v>
      </c>
      <c r="J19" s="538">
        <v>3000</v>
      </c>
      <c r="K19" s="538">
        <v>2310</v>
      </c>
      <c r="L19" s="549">
        <v>2237</v>
      </c>
      <c r="M19" s="387">
        <v>0</v>
      </c>
      <c r="N19" s="742">
        <f t="shared" si="9"/>
        <v>2237</v>
      </c>
      <c r="O19" s="715">
        <f t="shared" si="4"/>
        <v>74.566666666666663</v>
      </c>
      <c r="P19" s="720">
        <f t="shared" si="2"/>
        <v>96.839826839826841</v>
      </c>
      <c r="Q19" s="55"/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900</v>
      </c>
      <c r="J20" s="538">
        <v>900</v>
      </c>
      <c r="K20" s="538">
        <v>1140</v>
      </c>
      <c r="L20" s="550">
        <v>883</v>
      </c>
      <c r="M20" s="385">
        <v>0</v>
      </c>
      <c r="N20" s="742">
        <f t="shared" si="9"/>
        <v>883</v>
      </c>
      <c r="O20" s="715">
        <f t="shared" si="4"/>
        <v>98.111111111111114</v>
      </c>
      <c r="P20" s="720">
        <f t="shared" si="2"/>
        <v>77.456140350877192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f t="shared" si="10"/>
        <v>0</v>
      </c>
      <c r="J21" s="538">
        <f t="shared" si="10"/>
        <v>0</v>
      </c>
      <c r="K21" s="538">
        <v>0</v>
      </c>
      <c r="L21" s="550">
        <v>0</v>
      </c>
      <c r="M21" s="385">
        <v>0</v>
      </c>
      <c r="N21" s="742">
        <f t="shared" si="9"/>
        <v>0</v>
      </c>
      <c r="O21" s="715" t="str">
        <f t="shared" si="4"/>
        <v/>
      </c>
      <c r="P21" s="720" t="str">
        <f t="shared" si="2"/>
        <v/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si="10"/>
        <v>0</v>
      </c>
      <c r="J22" s="538">
        <f t="shared" si="10"/>
        <v>0</v>
      </c>
      <c r="K22" s="538">
        <v>0</v>
      </c>
      <c r="L22" s="550">
        <v>0</v>
      </c>
      <c r="M22" s="385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0</v>
      </c>
      <c r="J23" s="538">
        <v>0</v>
      </c>
      <c r="K23" s="538">
        <v>288</v>
      </c>
      <c r="L23" s="549">
        <v>0</v>
      </c>
      <c r="M23" s="387">
        <v>0</v>
      </c>
      <c r="N23" s="742">
        <f t="shared" si="9"/>
        <v>0</v>
      </c>
      <c r="O23" s="715" t="str">
        <f t="shared" si="4"/>
        <v/>
      </c>
      <c r="P23" s="720">
        <f t="shared" si="2"/>
        <v>0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f t="shared" si="10"/>
        <v>0</v>
      </c>
      <c r="J24" s="538">
        <f t="shared" si="10"/>
        <v>0</v>
      </c>
      <c r="K24" s="538">
        <v>0</v>
      </c>
      <c r="L24" s="549">
        <v>0</v>
      </c>
      <c r="M24" s="387">
        <v>0</v>
      </c>
      <c r="N24" s="742">
        <f t="shared" si="9"/>
        <v>0</v>
      </c>
      <c r="O24" s="715" t="str">
        <f t="shared" si="4"/>
        <v/>
      </c>
      <c r="P24" s="720" t="str">
        <f t="shared" si="2"/>
        <v/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7500</v>
      </c>
      <c r="J25" s="538">
        <v>7500</v>
      </c>
      <c r="K25" s="538">
        <v>10435</v>
      </c>
      <c r="L25" s="549">
        <v>6886</v>
      </c>
      <c r="M25" s="387">
        <v>0</v>
      </c>
      <c r="N25" s="742">
        <f t="shared" si="9"/>
        <v>6886</v>
      </c>
      <c r="O25" s="715">
        <f t="shared" si="4"/>
        <v>91.813333333333333</v>
      </c>
      <c r="P25" s="720">
        <f t="shared" si="2"/>
        <v>65.989458552946815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378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ht="12.95" customHeight="1">
      <c r="B27" s="10"/>
      <c r="C27" s="11"/>
      <c r="D27" s="11"/>
      <c r="E27" s="309"/>
      <c r="F27" s="328"/>
      <c r="G27" s="354"/>
      <c r="H27" s="11"/>
      <c r="I27" s="537"/>
      <c r="J27" s="537"/>
      <c r="K27" s="537"/>
      <c r="L27" s="574"/>
      <c r="M27" s="318"/>
      <c r="N27" s="732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I29+I30</f>
        <v>500</v>
      </c>
      <c r="J28" s="537">
        <f t="shared" ref="J28" si="12">J29+J30</f>
        <v>500</v>
      </c>
      <c r="K28" s="537">
        <f>SUM(K29:K30)</f>
        <v>927</v>
      </c>
      <c r="L28" s="574">
        <f>L29+L30</f>
        <v>0</v>
      </c>
      <c r="M28" s="318">
        <f>M29+M30</f>
        <v>0</v>
      </c>
      <c r="N28" s="732">
        <f>N29+N30</f>
        <v>0</v>
      </c>
      <c r="O28" s="714">
        <f t="shared" si="4"/>
        <v>0</v>
      </c>
      <c r="P28" s="719">
        <f t="shared" si="2"/>
        <v>0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569">
        <v>0</v>
      </c>
      <c r="M29" s="303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500</v>
      </c>
      <c r="J30" s="538">
        <v>500</v>
      </c>
      <c r="K30" s="538">
        <v>927</v>
      </c>
      <c r="L30" s="569">
        <v>0</v>
      </c>
      <c r="M30" s="303">
        <v>0</v>
      </c>
      <c r="N30" s="742">
        <f t="shared" si="14"/>
        <v>0</v>
      </c>
      <c r="O30" s="715">
        <f t="shared" si="4"/>
        <v>0</v>
      </c>
      <c r="P30" s="720">
        <f t="shared" si="2"/>
        <v>0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7"/>
      <c r="J31" s="537"/>
      <c r="K31" s="537"/>
      <c r="L31" s="568"/>
      <c r="M31" s="311"/>
      <c r="N31" s="732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2</v>
      </c>
      <c r="J32" s="537"/>
      <c r="K32" s="537">
        <v>3</v>
      </c>
      <c r="L32" s="568">
        <v>2</v>
      </c>
      <c r="M32" s="311"/>
      <c r="N32" s="732">
        <v>2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81190</v>
      </c>
      <c r="J33" s="311">
        <f>J8+J13+J16+J28</f>
        <v>81190</v>
      </c>
      <c r="K33" s="561">
        <f t="shared" ref="K33" si="15">K8+K13+K16+K28</f>
        <v>83067</v>
      </c>
      <c r="L33" s="568">
        <f>L8+L13+L16+L28</f>
        <v>78795</v>
      </c>
      <c r="M33" s="311">
        <f>M8+M13+M16+M28</f>
        <v>0</v>
      </c>
      <c r="N33" s="732">
        <f>N8+N13+N16+N28</f>
        <v>78795</v>
      </c>
      <c r="O33" s="714">
        <f t="shared" si="4"/>
        <v>97.050129326271701</v>
      </c>
      <c r="P33" s="719">
        <f t="shared" si="2"/>
        <v>94.857163494528521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</f>
        <v>81190</v>
      </c>
      <c r="J34" s="311">
        <f>J33</f>
        <v>81190</v>
      </c>
      <c r="K34" s="561">
        <f t="shared" ref="K34" si="16">K33</f>
        <v>83067</v>
      </c>
      <c r="L34" s="568">
        <f t="shared" ref="L34:N35" si="17">L33</f>
        <v>78795</v>
      </c>
      <c r="M34" s="311">
        <f t="shared" si="17"/>
        <v>0</v>
      </c>
      <c r="N34" s="732">
        <f t="shared" si="17"/>
        <v>78795</v>
      </c>
      <c r="O34" s="714">
        <f>IF(J34=0,"",N34/J34*100)</f>
        <v>97.050129326271701</v>
      </c>
      <c r="P34" s="719">
        <f t="shared" si="2"/>
        <v>94.857163494528521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81190</v>
      </c>
      <c r="J35" s="15">
        <f>J34</f>
        <v>81190</v>
      </c>
      <c r="K35" s="561">
        <f t="shared" ref="K35" si="18">K34</f>
        <v>83067</v>
      </c>
      <c r="L35" s="568">
        <f t="shared" si="17"/>
        <v>78795</v>
      </c>
      <c r="M35" s="311">
        <f t="shared" si="17"/>
        <v>0</v>
      </c>
      <c r="N35" s="732">
        <f t="shared" si="17"/>
        <v>78795</v>
      </c>
      <c r="O35" s="714">
        <f t="shared" si="4"/>
        <v>97.050129326271701</v>
      </c>
      <c r="P35" s="719">
        <f t="shared" si="2"/>
        <v>94.857163494528521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17"/>
      <c r="J36" s="17"/>
      <c r="K36" s="27"/>
      <c r="L36" s="16"/>
      <c r="M36" s="17"/>
      <c r="N36" s="735"/>
      <c r="O36" s="716"/>
      <c r="P36" s="721"/>
    </row>
    <row r="37" spans="1:16" ht="12.95" customHeight="1">
      <c r="F37" s="330"/>
      <c r="G37" s="356"/>
      <c r="N37" s="409"/>
    </row>
    <row r="38" spans="1:16" ht="12.95" customHeight="1">
      <c r="B38" s="55"/>
      <c r="F38" s="330"/>
      <c r="G38" s="356"/>
      <c r="N38" s="409"/>
    </row>
    <row r="39" spans="1:16" ht="12.95" customHeight="1">
      <c r="B39" s="55"/>
      <c r="F39" s="330"/>
      <c r="G39" s="356"/>
      <c r="N39" s="409"/>
    </row>
    <row r="40" spans="1:16" ht="12.95" customHeight="1">
      <c r="F40" s="330"/>
      <c r="G40" s="356"/>
      <c r="N40" s="409"/>
    </row>
    <row r="41" spans="1:16" ht="12.95" customHeight="1"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R96"/>
  <sheetViews>
    <sheetView zoomScaleNormal="100" workbookViewId="0">
      <selection activeCell="O32" sqref="O3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737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142</v>
      </c>
      <c r="C7" s="7" t="s">
        <v>80</v>
      </c>
      <c r="D7" s="7" t="s">
        <v>81</v>
      </c>
      <c r="E7" s="653" t="s">
        <v>785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464520</v>
      </c>
      <c r="J8" s="537">
        <f t="shared" ref="J8" si="1">SUM(J9:J11)</f>
        <v>458520</v>
      </c>
      <c r="K8" s="537">
        <f>SUM(K9:K11)</f>
        <v>437207</v>
      </c>
      <c r="L8" s="564">
        <f>SUM(L9:L11)</f>
        <v>458165</v>
      </c>
      <c r="M8" s="233">
        <f>SUM(M9:M11)</f>
        <v>0</v>
      </c>
      <c r="N8" s="741">
        <f>SUM(N9:N11)</f>
        <v>458165</v>
      </c>
      <c r="O8" s="714">
        <f>IF(J8=0,"",N8/J8*100)</f>
        <v>99.922576986827181</v>
      </c>
      <c r="P8" s="719">
        <f>IF(K8=0,"",N8/K8*100)</f>
        <v>104.7936103493311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403520</v>
      </c>
      <c r="J9" s="538">
        <v>399020</v>
      </c>
      <c r="K9" s="538">
        <v>381531</v>
      </c>
      <c r="L9" s="611">
        <v>398817</v>
      </c>
      <c r="M9" s="235">
        <v>0</v>
      </c>
      <c r="N9" s="742">
        <f>SUM(L9:M9)</f>
        <v>398817</v>
      </c>
      <c r="O9" s="715">
        <f>IF(J9=0,"",N9/J9*100)</f>
        <v>99.949125357124956</v>
      </c>
      <c r="P9" s="720">
        <f t="shared" ref="P9:P35" si="2">IF(K9=0,"",N9/K9*100)</f>
        <v>104.53069344299676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61000</v>
      </c>
      <c r="J10" s="538">
        <v>59500</v>
      </c>
      <c r="K10" s="538">
        <v>55676</v>
      </c>
      <c r="L10" s="611">
        <v>59348</v>
      </c>
      <c r="M10" s="235">
        <v>0</v>
      </c>
      <c r="N10" s="742">
        <f t="shared" ref="N10:N11" si="3">SUM(L10:M10)</f>
        <v>59348</v>
      </c>
      <c r="O10" s="715">
        <f t="shared" ref="O10:O35" si="4">IF(J10=0,"",N10/J10*100)</f>
        <v>99.744537815126051</v>
      </c>
      <c r="P10" s="720">
        <f t="shared" si="2"/>
        <v>106.59530138659386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378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>
        <v>0</v>
      </c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  <c r="R12" s="55"/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43650</v>
      </c>
      <c r="J13" s="537">
        <f t="shared" si="6"/>
        <v>43650</v>
      </c>
      <c r="K13" s="537">
        <f>K14</f>
        <v>43787</v>
      </c>
      <c r="L13" s="564">
        <f>L14</f>
        <v>43119</v>
      </c>
      <c r="M13" s="233">
        <f>M14</f>
        <v>0</v>
      </c>
      <c r="N13" s="741">
        <f>N14</f>
        <v>43119</v>
      </c>
      <c r="O13" s="714">
        <f t="shared" si="4"/>
        <v>98.783505154639172</v>
      </c>
      <c r="P13" s="719">
        <f t="shared" si="2"/>
        <v>98.474433050905517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43650</v>
      </c>
      <c r="J14" s="538">
        <v>43650</v>
      </c>
      <c r="K14" s="538">
        <v>43787</v>
      </c>
      <c r="L14" s="611">
        <v>43119</v>
      </c>
      <c r="M14" s="235">
        <v>0</v>
      </c>
      <c r="N14" s="742">
        <f>SUM(L14:M14)</f>
        <v>43119</v>
      </c>
      <c r="O14" s="715">
        <f t="shared" si="4"/>
        <v>98.783505154639172</v>
      </c>
      <c r="P14" s="720">
        <f t="shared" si="2"/>
        <v>98.474433050905517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7"/>
      <c r="J15" s="537"/>
      <c r="K15" s="537"/>
      <c r="L15" s="568"/>
      <c r="M15" s="311"/>
      <c r="N15" s="732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65050</v>
      </c>
      <c r="J16" s="537">
        <f t="shared" ref="J16" si="8">SUM(J17:J26)</f>
        <v>58050</v>
      </c>
      <c r="K16" s="537">
        <f>SUM(K17:K26)</f>
        <v>71228</v>
      </c>
      <c r="L16" s="567">
        <f>SUM(L17:L26)</f>
        <v>52962</v>
      </c>
      <c r="M16" s="316">
        <f>SUM(M17:M26)</f>
        <v>0</v>
      </c>
      <c r="N16" s="732">
        <f>SUM(N17:N26)</f>
        <v>52962</v>
      </c>
      <c r="O16" s="714">
        <f t="shared" si="4"/>
        <v>91.235142118863038</v>
      </c>
      <c r="P16" s="719">
        <f t="shared" si="2"/>
        <v>74.355590498118715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1000</v>
      </c>
      <c r="K17" s="538">
        <v>1418</v>
      </c>
      <c r="L17" s="551">
        <v>533</v>
      </c>
      <c r="M17" s="386">
        <v>0</v>
      </c>
      <c r="N17" s="742">
        <f t="shared" ref="N17:N26" si="9">SUM(L17:M17)</f>
        <v>533</v>
      </c>
      <c r="O17" s="715">
        <f t="shared" si="4"/>
        <v>53.300000000000004</v>
      </c>
      <c r="P17" s="720">
        <f t="shared" si="2"/>
        <v>37.588152327221444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4000</v>
      </c>
      <c r="J18" s="538">
        <v>4000</v>
      </c>
      <c r="K18" s="538">
        <v>3860</v>
      </c>
      <c r="L18" s="551">
        <v>3850</v>
      </c>
      <c r="M18" s="386">
        <v>0</v>
      </c>
      <c r="N18" s="742">
        <f t="shared" si="9"/>
        <v>3850</v>
      </c>
      <c r="O18" s="715">
        <f t="shared" si="4"/>
        <v>96.25</v>
      </c>
      <c r="P18" s="720">
        <f t="shared" si="2"/>
        <v>99.740932642487053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9000</v>
      </c>
      <c r="J19" s="538">
        <v>9000</v>
      </c>
      <c r="K19" s="538">
        <v>8274</v>
      </c>
      <c r="L19" s="552">
        <v>8203</v>
      </c>
      <c r="M19" s="388">
        <v>0</v>
      </c>
      <c r="N19" s="742">
        <f t="shared" si="9"/>
        <v>8203</v>
      </c>
      <c r="O19" s="715">
        <f t="shared" si="4"/>
        <v>91.144444444444446</v>
      </c>
      <c r="P19" s="720">
        <f t="shared" si="2"/>
        <v>99.141890258641524</v>
      </c>
      <c r="Q19" s="55"/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11500</v>
      </c>
      <c r="J20" s="538">
        <v>11500</v>
      </c>
      <c r="K20" s="538">
        <v>10400</v>
      </c>
      <c r="L20" s="551">
        <v>9603</v>
      </c>
      <c r="M20" s="386">
        <v>0</v>
      </c>
      <c r="N20" s="742">
        <f t="shared" si="9"/>
        <v>9603</v>
      </c>
      <c r="O20" s="715">
        <f t="shared" si="4"/>
        <v>83.504347826086956</v>
      </c>
      <c r="P20" s="720">
        <f t="shared" si="2"/>
        <v>92.336538461538467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1500</v>
      </c>
      <c r="J21" s="538">
        <v>1500</v>
      </c>
      <c r="K21" s="538">
        <v>2283</v>
      </c>
      <c r="L21" s="552">
        <v>931</v>
      </c>
      <c r="M21" s="388">
        <v>0</v>
      </c>
      <c r="N21" s="742">
        <f t="shared" si="9"/>
        <v>931</v>
      </c>
      <c r="O21" s="715">
        <f t="shared" si="4"/>
        <v>62.06666666666667</v>
      </c>
      <c r="P21" s="720">
        <f t="shared" si="2"/>
        <v>40.779675865089793</v>
      </c>
      <c r="Q21" s="55"/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1">
        <v>0</v>
      </c>
      <c r="M22" s="386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2400</v>
      </c>
      <c r="J23" s="538">
        <v>2400</v>
      </c>
      <c r="K23" s="538">
        <v>1608</v>
      </c>
      <c r="L23" s="552">
        <v>1870</v>
      </c>
      <c r="M23" s="388">
        <v>0</v>
      </c>
      <c r="N23" s="742">
        <f t="shared" si="9"/>
        <v>1870</v>
      </c>
      <c r="O23" s="715">
        <f t="shared" si="4"/>
        <v>77.916666666666671</v>
      </c>
      <c r="P23" s="720">
        <f t="shared" si="2"/>
        <v>116.29353233830845</v>
      </c>
      <c r="Q23" s="55"/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650</v>
      </c>
      <c r="J24" s="538">
        <v>650</v>
      </c>
      <c r="K24" s="538">
        <v>525</v>
      </c>
      <c r="L24" s="552">
        <v>545</v>
      </c>
      <c r="M24" s="388">
        <v>0</v>
      </c>
      <c r="N24" s="742">
        <f t="shared" si="9"/>
        <v>545</v>
      </c>
      <c r="O24" s="715">
        <f t="shared" si="4"/>
        <v>83.846153846153854</v>
      </c>
      <c r="P24" s="720">
        <f t="shared" si="2"/>
        <v>103.80952380952382</v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35000</v>
      </c>
      <c r="J25" s="538">
        <v>28000</v>
      </c>
      <c r="K25" s="538">
        <v>42860</v>
      </c>
      <c r="L25" s="552">
        <v>27427</v>
      </c>
      <c r="M25" s="388">
        <v>0</v>
      </c>
      <c r="N25" s="742">
        <f t="shared" si="9"/>
        <v>27427</v>
      </c>
      <c r="O25" s="715">
        <f t="shared" si="4"/>
        <v>97.953571428571422</v>
      </c>
      <c r="P25" s="720">
        <f t="shared" si="2"/>
        <v>63.992067195520299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378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I29+I30</f>
        <v>1000</v>
      </c>
      <c r="J28" s="537">
        <f t="shared" ref="J28" si="12">J29+J30</f>
        <v>1000</v>
      </c>
      <c r="K28" s="537">
        <f>SUM(K29:K30)</f>
        <v>0</v>
      </c>
      <c r="L28" s="574">
        <f>L29+L30</f>
        <v>245</v>
      </c>
      <c r="M28" s="318">
        <f>M29+M30</f>
        <v>0</v>
      </c>
      <c r="N28" s="732">
        <f>N29+N30</f>
        <v>245</v>
      </c>
      <c r="O28" s="714">
        <f t="shared" si="4"/>
        <v>24.5</v>
      </c>
      <c r="P28" s="719" t="str">
        <f t="shared" si="2"/>
        <v/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608">
        <v>0</v>
      </c>
      <c r="M29" s="319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1000</v>
      </c>
      <c r="J30" s="538">
        <v>1000</v>
      </c>
      <c r="K30" s="538">
        <v>0</v>
      </c>
      <c r="L30" s="608">
        <v>245</v>
      </c>
      <c r="M30" s="319">
        <v>0</v>
      </c>
      <c r="N30" s="742">
        <f t="shared" si="14"/>
        <v>245</v>
      </c>
      <c r="O30" s="715">
        <f t="shared" si="4"/>
        <v>24.5</v>
      </c>
      <c r="P30" s="720" t="str">
        <f t="shared" si="2"/>
        <v/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7"/>
      <c r="M31" s="314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12</v>
      </c>
      <c r="J32" s="537"/>
      <c r="K32" s="537">
        <v>13</v>
      </c>
      <c r="L32" s="574">
        <v>11</v>
      </c>
      <c r="M32" s="318"/>
      <c r="N32" s="732">
        <v>11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574220</v>
      </c>
      <c r="J33" s="311">
        <f>J8+J13+J16+J28</f>
        <v>561220</v>
      </c>
      <c r="K33" s="561">
        <f t="shared" ref="K33" si="15">K8+K13+K16+K28</f>
        <v>552222</v>
      </c>
      <c r="L33" s="568">
        <f>L8+L13+L16+L28</f>
        <v>554491</v>
      </c>
      <c r="M33" s="311">
        <f>M8+M13+M16+M28</f>
        <v>0</v>
      </c>
      <c r="N33" s="732">
        <f>N8+N13+N16+N28</f>
        <v>554491</v>
      </c>
      <c r="O33" s="714">
        <f t="shared" si="4"/>
        <v>98.801004953494171</v>
      </c>
      <c r="P33" s="719">
        <f t="shared" si="2"/>
        <v>100.41088547721751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561">
        <f>I33</f>
        <v>574220</v>
      </c>
      <c r="J34" s="311">
        <f>J33</f>
        <v>561220</v>
      </c>
      <c r="K34" s="561">
        <f t="shared" ref="K34" si="16">K33</f>
        <v>552222</v>
      </c>
      <c r="L34" s="568">
        <f t="shared" ref="L34:N35" si="17">L33</f>
        <v>554491</v>
      </c>
      <c r="M34" s="311">
        <f t="shared" si="17"/>
        <v>0</v>
      </c>
      <c r="N34" s="732">
        <f t="shared" si="17"/>
        <v>554491</v>
      </c>
      <c r="O34" s="714">
        <f>IF(J34=0,"",N34/J34*100)</f>
        <v>98.801004953494171</v>
      </c>
      <c r="P34" s="719">
        <f t="shared" si="2"/>
        <v>100.41088547721751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574220</v>
      </c>
      <c r="J35" s="15">
        <f>J34</f>
        <v>561220</v>
      </c>
      <c r="K35" s="561">
        <f t="shared" ref="K35" si="18">K34</f>
        <v>552222</v>
      </c>
      <c r="L35" s="568">
        <f t="shared" si="17"/>
        <v>554491</v>
      </c>
      <c r="M35" s="311">
        <f t="shared" si="17"/>
        <v>0</v>
      </c>
      <c r="N35" s="732">
        <f t="shared" si="17"/>
        <v>554491</v>
      </c>
      <c r="O35" s="714">
        <f t="shared" si="4"/>
        <v>98.801004953494171</v>
      </c>
      <c r="P35" s="719">
        <f t="shared" si="2"/>
        <v>100.41088547721751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B39" s="55"/>
      <c r="F39" s="330"/>
      <c r="G39" s="356"/>
      <c r="N39" s="410"/>
    </row>
    <row r="40" spans="1:16" ht="12.95" customHeight="1">
      <c r="B40" s="55"/>
      <c r="F40" s="330"/>
      <c r="G40" s="356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1:R96"/>
  <sheetViews>
    <sheetView zoomScaleNormal="100" workbookViewId="0">
      <selection activeCell="N32" sqref="N3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3" width="14.7109375" style="63" customWidth="1"/>
    <col min="14" max="14" width="15.7109375" style="63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155</v>
      </c>
      <c r="C2" s="907"/>
      <c r="D2" s="907"/>
      <c r="E2" s="907"/>
      <c r="F2" s="907"/>
      <c r="G2" s="907"/>
      <c r="H2" s="907"/>
      <c r="I2" s="907"/>
      <c r="J2" s="927"/>
      <c r="K2" s="927"/>
      <c r="L2" s="927"/>
      <c r="M2" s="927"/>
      <c r="N2" s="92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154</v>
      </c>
      <c r="C7" s="7" t="s">
        <v>80</v>
      </c>
      <c r="D7" s="7" t="s">
        <v>81</v>
      </c>
      <c r="E7" s="653" t="s">
        <v>786</v>
      </c>
      <c r="F7" s="5"/>
      <c r="G7" s="306"/>
      <c r="H7" s="5"/>
      <c r="I7" s="578"/>
      <c r="J7" s="97"/>
      <c r="K7" s="578"/>
      <c r="L7" s="605"/>
      <c r="M7" s="97"/>
      <c r="N7" s="763"/>
      <c r="O7" s="713"/>
      <c r="P7" s="718"/>
    </row>
    <row r="8" spans="1:18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537">
        <f t="shared" ref="I8" si="0">SUM(I9:I11)</f>
        <v>412640</v>
      </c>
      <c r="J8" s="537">
        <f t="shared" ref="J8" si="1">SUM(J9:J11)</f>
        <v>412640</v>
      </c>
      <c r="K8" s="537">
        <f>SUM(K9:K11)</f>
        <v>413058</v>
      </c>
      <c r="L8" s="564">
        <f>SUM(L9:L11)</f>
        <v>409911</v>
      </c>
      <c r="M8" s="233">
        <f>SUM(M9:M11)</f>
        <v>0</v>
      </c>
      <c r="N8" s="741">
        <f>SUM(N9:N11)</f>
        <v>409911</v>
      </c>
      <c r="O8" s="714">
        <f>IF(J8=0,"",N8/J8*100)</f>
        <v>99.338648701046921</v>
      </c>
      <c r="P8" s="719">
        <f>IF(K8=0,"",N8/K8*100)</f>
        <v>99.238121522885407</v>
      </c>
    </row>
    <row r="9" spans="1:18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538">
        <v>357210</v>
      </c>
      <c r="J9" s="538">
        <v>357210</v>
      </c>
      <c r="K9" s="538">
        <v>351174</v>
      </c>
      <c r="L9" s="611">
        <v>356363</v>
      </c>
      <c r="M9" s="235">
        <v>0</v>
      </c>
      <c r="N9" s="742">
        <f>SUM(L9:M9)</f>
        <v>356363</v>
      </c>
      <c r="O9" s="715">
        <f>IF(J9=0,"",N9/J9*100)</f>
        <v>99.762884577699396</v>
      </c>
      <c r="P9" s="720">
        <f t="shared" ref="P9:P35" si="2">IF(K9=0,"",N9/K9*100)</f>
        <v>101.47761508539925</v>
      </c>
    </row>
    <row r="10" spans="1:18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538">
        <v>55430</v>
      </c>
      <c r="J10" s="538">
        <v>55430</v>
      </c>
      <c r="K10" s="538">
        <v>61884</v>
      </c>
      <c r="L10" s="611">
        <v>53548</v>
      </c>
      <c r="M10" s="235">
        <v>0</v>
      </c>
      <c r="N10" s="742">
        <f t="shared" ref="N10:N11" si="3">SUM(L10:M10)</f>
        <v>53548</v>
      </c>
      <c r="O10" s="715">
        <f t="shared" ref="O10:O35" si="4">IF(J10=0,"",N10/J10*100)</f>
        <v>96.604726682302001</v>
      </c>
      <c r="P10" s="720">
        <f t="shared" si="2"/>
        <v>86.52963609333591</v>
      </c>
    </row>
    <row r="11" spans="1:18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538">
        <f t="shared" ref="I11:J11" si="5">SUM(G11:H11)</f>
        <v>0</v>
      </c>
      <c r="J11" s="538">
        <f t="shared" si="5"/>
        <v>0</v>
      </c>
      <c r="K11" s="538">
        <v>0</v>
      </c>
      <c r="L11" s="565"/>
      <c r="M11" s="232">
        <v>0</v>
      </c>
      <c r="N11" s="742">
        <f t="shared" si="3"/>
        <v>0</v>
      </c>
      <c r="O11" s="715" t="str">
        <f t="shared" si="4"/>
        <v/>
      </c>
      <c r="P11" s="720" t="str">
        <f t="shared" si="2"/>
        <v/>
      </c>
      <c r="R11" s="62"/>
    </row>
    <row r="12" spans="1:18" ht="12.95" customHeight="1">
      <c r="B12" s="10"/>
      <c r="C12" s="11"/>
      <c r="D12" s="11"/>
      <c r="E12" s="309"/>
      <c r="F12" s="328"/>
      <c r="G12" s="354"/>
      <c r="H12" s="11"/>
      <c r="I12" s="537"/>
      <c r="J12" s="537"/>
      <c r="K12" s="537"/>
      <c r="L12" s="564"/>
      <c r="M12" s="233"/>
      <c r="N12" s="741"/>
      <c r="O12" s="715" t="str">
        <f t="shared" si="4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537">
        <f t="shared" ref="I13:J13" si="6">I14</f>
        <v>37980</v>
      </c>
      <c r="J13" s="537">
        <f t="shared" si="6"/>
        <v>37980</v>
      </c>
      <c r="K13" s="537">
        <f>K14</f>
        <v>37485</v>
      </c>
      <c r="L13" s="564">
        <f>L14</f>
        <v>37762</v>
      </c>
      <c r="M13" s="233">
        <f>M14</f>
        <v>0</v>
      </c>
      <c r="N13" s="741">
        <f>N14</f>
        <v>37762</v>
      </c>
      <c r="O13" s="714">
        <f t="shared" si="4"/>
        <v>99.426013691416543</v>
      </c>
      <c r="P13" s="719">
        <f t="shared" si="2"/>
        <v>100.73896225156729</v>
      </c>
    </row>
    <row r="14" spans="1:18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538">
        <v>37980</v>
      </c>
      <c r="J14" s="538">
        <v>37980</v>
      </c>
      <c r="K14" s="538">
        <v>37485</v>
      </c>
      <c r="L14" s="611">
        <v>37762</v>
      </c>
      <c r="M14" s="235">
        <v>0</v>
      </c>
      <c r="N14" s="742">
        <f>SUM(L14:M14)</f>
        <v>37762</v>
      </c>
      <c r="O14" s="715">
        <f t="shared" si="4"/>
        <v>99.426013691416543</v>
      </c>
      <c r="P14" s="720">
        <f t="shared" si="2"/>
        <v>100.73896225156729</v>
      </c>
    </row>
    <row r="15" spans="1:18" ht="12.95" customHeight="1">
      <c r="B15" s="10"/>
      <c r="C15" s="11"/>
      <c r="D15" s="11"/>
      <c r="E15" s="309"/>
      <c r="F15" s="328"/>
      <c r="G15" s="354"/>
      <c r="H15" s="11"/>
      <c r="I15" s="538"/>
      <c r="J15" s="538"/>
      <c r="K15" s="538"/>
      <c r="L15" s="607"/>
      <c r="M15" s="314"/>
      <c r="N15" s="743"/>
      <c r="O15" s="715" t="str">
        <f t="shared" si="4"/>
        <v/>
      </c>
      <c r="P15" s="720" t="str">
        <f t="shared" si="2"/>
        <v/>
      </c>
    </row>
    <row r="16" spans="1:18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537">
        <f t="shared" ref="I16" si="7">SUM(I17:I26)</f>
        <v>29530</v>
      </c>
      <c r="J16" s="537">
        <f t="shared" ref="J16" si="8">SUM(J17:J26)</f>
        <v>29530</v>
      </c>
      <c r="K16" s="537">
        <f>SUM(K17:K26)</f>
        <v>25308</v>
      </c>
      <c r="L16" s="567">
        <f>SUM(L17:L26)</f>
        <v>23796</v>
      </c>
      <c r="M16" s="316">
        <f>SUM(M17:M26)</f>
        <v>0</v>
      </c>
      <c r="N16" s="732">
        <f>SUM(N17:N26)</f>
        <v>23796</v>
      </c>
      <c r="O16" s="714">
        <f t="shared" si="4"/>
        <v>80.582458516762614</v>
      </c>
      <c r="P16" s="719">
        <f t="shared" si="2"/>
        <v>94.025604551920338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538">
        <v>1000</v>
      </c>
      <c r="J17" s="538">
        <v>1000</v>
      </c>
      <c r="K17" s="538">
        <v>897</v>
      </c>
      <c r="L17" s="551">
        <v>572</v>
      </c>
      <c r="M17" s="386">
        <v>0</v>
      </c>
      <c r="N17" s="742">
        <f t="shared" ref="N17:N26" si="9">SUM(L17:M17)</f>
        <v>572</v>
      </c>
      <c r="O17" s="715">
        <f t="shared" si="4"/>
        <v>57.199999999999996</v>
      </c>
      <c r="P17" s="720">
        <f t="shared" si="2"/>
        <v>63.768115942028977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538">
        <v>6500</v>
      </c>
      <c r="J18" s="538">
        <v>6500</v>
      </c>
      <c r="K18" s="538">
        <v>5155</v>
      </c>
      <c r="L18" s="551">
        <v>5609</v>
      </c>
      <c r="M18" s="386">
        <v>0</v>
      </c>
      <c r="N18" s="742">
        <f t="shared" si="9"/>
        <v>5609</v>
      </c>
      <c r="O18" s="715">
        <f t="shared" si="4"/>
        <v>86.292307692307688</v>
      </c>
      <c r="P18" s="720">
        <f t="shared" si="2"/>
        <v>108.80698351115421</v>
      </c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538">
        <v>8000</v>
      </c>
      <c r="J19" s="538">
        <v>8000</v>
      </c>
      <c r="K19" s="538">
        <v>7688</v>
      </c>
      <c r="L19" s="551">
        <v>7037</v>
      </c>
      <c r="M19" s="386">
        <v>0</v>
      </c>
      <c r="N19" s="742">
        <f t="shared" si="9"/>
        <v>7037</v>
      </c>
      <c r="O19" s="715">
        <f t="shared" si="4"/>
        <v>87.962500000000006</v>
      </c>
      <c r="P19" s="720">
        <f t="shared" si="2"/>
        <v>91.532258064516128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538">
        <v>1500</v>
      </c>
      <c r="J20" s="538">
        <v>1500</v>
      </c>
      <c r="K20" s="538">
        <v>613</v>
      </c>
      <c r="L20" s="551">
        <v>1459</v>
      </c>
      <c r="M20" s="386">
        <v>0</v>
      </c>
      <c r="N20" s="742">
        <f t="shared" si="9"/>
        <v>1459</v>
      </c>
      <c r="O20" s="715">
        <f t="shared" si="4"/>
        <v>97.266666666666666</v>
      </c>
      <c r="P20" s="720">
        <f t="shared" si="2"/>
        <v>238.00978792822187</v>
      </c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538">
        <v>5000</v>
      </c>
      <c r="J21" s="538">
        <v>5000</v>
      </c>
      <c r="K21" s="538">
        <v>4648</v>
      </c>
      <c r="L21" s="551">
        <v>3072</v>
      </c>
      <c r="M21" s="386">
        <v>0</v>
      </c>
      <c r="N21" s="742">
        <f t="shared" si="9"/>
        <v>3072</v>
      </c>
      <c r="O21" s="715">
        <f t="shared" si="4"/>
        <v>61.44</v>
      </c>
      <c r="P21" s="720">
        <f t="shared" si="2"/>
        <v>66.09294320137694</v>
      </c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538">
        <f t="shared" ref="I22:J26" si="10">SUM(G22:H22)</f>
        <v>0</v>
      </c>
      <c r="J22" s="538">
        <f t="shared" si="10"/>
        <v>0</v>
      </c>
      <c r="K22" s="538">
        <v>0</v>
      </c>
      <c r="L22" s="552">
        <v>0</v>
      </c>
      <c r="M22" s="388">
        <v>0</v>
      </c>
      <c r="N22" s="742">
        <f t="shared" si="9"/>
        <v>0</v>
      </c>
      <c r="O22" s="715" t="str">
        <f t="shared" si="4"/>
        <v/>
      </c>
      <c r="P22" s="720" t="str">
        <f t="shared" si="2"/>
        <v/>
      </c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538">
        <v>4000</v>
      </c>
      <c r="J23" s="538">
        <v>4000</v>
      </c>
      <c r="K23" s="538">
        <v>3368</v>
      </c>
      <c r="L23" s="552">
        <v>2978</v>
      </c>
      <c r="M23" s="388">
        <v>0</v>
      </c>
      <c r="N23" s="742">
        <f t="shared" si="9"/>
        <v>2978</v>
      </c>
      <c r="O23" s="715">
        <f t="shared" si="4"/>
        <v>74.45</v>
      </c>
      <c r="P23" s="720">
        <f t="shared" si="2"/>
        <v>88.420427553444185</v>
      </c>
      <c r="Q23" s="55"/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538">
        <v>730</v>
      </c>
      <c r="J24" s="538">
        <v>730</v>
      </c>
      <c r="K24" s="538">
        <v>671</v>
      </c>
      <c r="L24" s="552">
        <v>722</v>
      </c>
      <c r="M24" s="388">
        <v>0</v>
      </c>
      <c r="N24" s="742">
        <f t="shared" si="9"/>
        <v>722</v>
      </c>
      <c r="O24" s="715">
        <f t="shared" si="4"/>
        <v>98.904109589041099</v>
      </c>
      <c r="P24" s="720">
        <f t="shared" si="2"/>
        <v>107.60059612518629</v>
      </c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538">
        <v>2800</v>
      </c>
      <c r="J25" s="538">
        <v>2800</v>
      </c>
      <c r="K25" s="538">
        <v>2268</v>
      </c>
      <c r="L25" s="552">
        <v>2347</v>
      </c>
      <c r="M25" s="388">
        <v>0</v>
      </c>
      <c r="N25" s="742">
        <f t="shared" si="9"/>
        <v>2347</v>
      </c>
      <c r="O25" s="715">
        <f t="shared" si="4"/>
        <v>83.821428571428569</v>
      </c>
      <c r="P25" s="720">
        <f t="shared" si="2"/>
        <v>103.48324514991181</v>
      </c>
      <c r="Q25" s="55"/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538">
        <f t="shared" si="10"/>
        <v>0</v>
      </c>
      <c r="J26" s="538">
        <f t="shared" si="10"/>
        <v>0</v>
      </c>
      <c r="K26" s="538">
        <v>0</v>
      </c>
      <c r="L26" s="552">
        <v>0</v>
      </c>
      <c r="M26" s="388">
        <v>0</v>
      </c>
      <c r="N26" s="742">
        <f t="shared" si="9"/>
        <v>0</v>
      </c>
      <c r="O26" s="715" t="str">
        <f t="shared" si="4"/>
        <v/>
      </c>
      <c r="P26" s="720" t="str">
        <f t="shared" si="2"/>
        <v/>
      </c>
    </row>
    <row r="27" spans="1:17" s="1" customFormat="1" ht="12.95" customHeight="1">
      <c r="A27" s="304"/>
      <c r="B27" s="12"/>
      <c r="C27" s="8"/>
      <c r="D27" s="8"/>
      <c r="E27" s="8"/>
      <c r="F27" s="327"/>
      <c r="G27" s="353"/>
      <c r="H27" s="8"/>
      <c r="I27" s="538"/>
      <c r="J27" s="538"/>
      <c r="K27" s="538"/>
      <c r="L27" s="608"/>
      <c r="M27" s="319"/>
      <c r="N27" s="743"/>
      <c r="O27" s="715" t="str">
        <f t="shared" si="4"/>
        <v/>
      </c>
      <c r="P27" s="720" t="str">
        <f t="shared" si="2"/>
        <v/>
      </c>
    </row>
    <row r="28" spans="1:17" s="1" customFormat="1" ht="12.95" customHeight="1">
      <c r="A28" s="304"/>
      <c r="B28" s="12"/>
      <c r="C28" s="8"/>
      <c r="D28" s="8"/>
      <c r="E28" s="8"/>
      <c r="F28" s="327">
        <v>821000</v>
      </c>
      <c r="G28" s="353"/>
      <c r="H28" s="8" t="s">
        <v>89</v>
      </c>
      <c r="I28" s="537">
        <f t="shared" ref="I28" si="11">SUM(I29:I30)</f>
        <v>2000</v>
      </c>
      <c r="J28" s="537">
        <f t="shared" ref="J28" si="12">SUM(J29:J30)</f>
        <v>2000</v>
      </c>
      <c r="K28" s="537">
        <f>SUM(K29:K30)</f>
        <v>989</v>
      </c>
      <c r="L28" s="574">
        <f>SUM(L29:L30)</f>
        <v>1993</v>
      </c>
      <c r="M28" s="318">
        <f>SUM(M29:M30)</f>
        <v>0</v>
      </c>
      <c r="N28" s="732">
        <f>SUM(N29:N30)</f>
        <v>1993</v>
      </c>
      <c r="O28" s="714">
        <f t="shared" si="4"/>
        <v>99.65</v>
      </c>
      <c r="P28" s="719">
        <f t="shared" si="2"/>
        <v>201.51668351870575</v>
      </c>
    </row>
    <row r="29" spans="1:17" ht="12.95" customHeight="1">
      <c r="B29" s="10"/>
      <c r="C29" s="11"/>
      <c r="D29" s="11"/>
      <c r="E29" s="309"/>
      <c r="F29" s="328">
        <v>821200</v>
      </c>
      <c r="G29" s="354"/>
      <c r="H29" s="11" t="s">
        <v>90</v>
      </c>
      <c r="I29" s="538">
        <f t="shared" ref="I29:J29" si="13">SUM(G29:H29)</f>
        <v>0</v>
      </c>
      <c r="J29" s="538">
        <f t="shared" si="13"/>
        <v>0</v>
      </c>
      <c r="K29" s="538">
        <v>0</v>
      </c>
      <c r="L29" s="608">
        <v>0</v>
      </c>
      <c r="M29" s="319">
        <v>0</v>
      </c>
      <c r="N29" s="742">
        <f t="shared" ref="N29:N30" si="14">SUM(L29:M29)</f>
        <v>0</v>
      </c>
      <c r="O29" s="715" t="str">
        <f t="shared" si="4"/>
        <v/>
      </c>
      <c r="P29" s="720" t="str">
        <f t="shared" si="2"/>
        <v/>
      </c>
    </row>
    <row r="30" spans="1:17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538">
        <v>2000</v>
      </c>
      <c r="J30" s="538">
        <v>2000</v>
      </c>
      <c r="K30" s="538">
        <v>989</v>
      </c>
      <c r="L30" s="608">
        <v>1993</v>
      </c>
      <c r="M30" s="319">
        <v>0</v>
      </c>
      <c r="N30" s="742">
        <f t="shared" si="14"/>
        <v>1993</v>
      </c>
      <c r="O30" s="715">
        <f t="shared" si="4"/>
        <v>99.65</v>
      </c>
      <c r="P30" s="720">
        <f t="shared" si="2"/>
        <v>201.51668351870575</v>
      </c>
    </row>
    <row r="31" spans="1:17" ht="12.95" customHeight="1">
      <c r="B31" s="10"/>
      <c r="C31" s="11"/>
      <c r="D31" s="11"/>
      <c r="E31" s="309"/>
      <c r="F31" s="328"/>
      <c r="G31" s="354"/>
      <c r="H31" s="11"/>
      <c r="I31" s="538"/>
      <c r="J31" s="538"/>
      <c r="K31" s="538"/>
      <c r="L31" s="608"/>
      <c r="M31" s="319"/>
      <c r="N31" s="743"/>
      <c r="O31" s="715" t="str">
        <f t="shared" si="4"/>
        <v/>
      </c>
      <c r="P31" s="720" t="str">
        <f t="shared" si="2"/>
        <v/>
      </c>
    </row>
    <row r="32" spans="1:17" s="1" customFormat="1" ht="12.95" customHeight="1">
      <c r="A32" s="304"/>
      <c r="B32" s="12"/>
      <c r="C32" s="8"/>
      <c r="D32" s="8"/>
      <c r="E32" s="8"/>
      <c r="F32" s="327"/>
      <c r="G32" s="353"/>
      <c r="H32" s="8" t="s">
        <v>92</v>
      </c>
      <c r="I32" s="537">
        <v>14</v>
      </c>
      <c r="J32" s="537"/>
      <c r="K32" s="537">
        <v>14</v>
      </c>
      <c r="L32" s="568">
        <v>14</v>
      </c>
      <c r="M32" s="311"/>
      <c r="N32" s="732">
        <v>14</v>
      </c>
      <c r="O32" s="715"/>
      <c r="P32" s="720"/>
    </row>
    <row r="33" spans="1:16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561">
        <f>I8+I13+I16+I28</f>
        <v>482150</v>
      </c>
      <c r="J33" s="311">
        <f>J8+J13+J16+J28</f>
        <v>482150</v>
      </c>
      <c r="K33" s="561">
        <f t="shared" ref="K33" si="15">K8+K13+K16+K28</f>
        <v>476840</v>
      </c>
      <c r="L33" s="568">
        <f>L8+L13+L16+L28</f>
        <v>473462</v>
      </c>
      <c r="M33" s="311">
        <f>M8+M13+M16+M28</f>
        <v>0</v>
      </c>
      <c r="N33" s="732">
        <f>N8+N13+N16+N28</f>
        <v>473462</v>
      </c>
      <c r="O33" s="714">
        <f t="shared" si="4"/>
        <v>98.198071139686817</v>
      </c>
      <c r="P33" s="719">
        <f t="shared" si="2"/>
        <v>99.291586276319094</v>
      </c>
    </row>
    <row r="34" spans="1:16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>
        <f>I33</f>
        <v>482150</v>
      </c>
      <c r="J34" s="15">
        <f>J33</f>
        <v>482150</v>
      </c>
      <c r="K34" s="561">
        <f t="shared" ref="K34" si="16">K33</f>
        <v>476840</v>
      </c>
      <c r="L34" s="568">
        <f t="shared" ref="L34:N35" si="17">L33</f>
        <v>473462</v>
      </c>
      <c r="M34" s="311">
        <f t="shared" si="17"/>
        <v>0</v>
      </c>
      <c r="N34" s="732">
        <f t="shared" si="17"/>
        <v>473462</v>
      </c>
      <c r="O34" s="714">
        <f>IF(J34=0,"",N34/J34*100)</f>
        <v>98.198071139686817</v>
      </c>
      <c r="P34" s="719">
        <f t="shared" si="2"/>
        <v>99.291586276319094</v>
      </c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482150</v>
      </c>
      <c r="J35" s="15">
        <f>J34</f>
        <v>482150</v>
      </c>
      <c r="K35" s="561">
        <f t="shared" ref="K35" si="18">K34</f>
        <v>476840</v>
      </c>
      <c r="L35" s="568">
        <f t="shared" si="17"/>
        <v>473462</v>
      </c>
      <c r="M35" s="311">
        <f t="shared" si="17"/>
        <v>0</v>
      </c>
      <c r="N35" s="732">
        <f t="shared" si="17"/>
        <v>473462</v>
      </c>
      <c r="O35" s="714">
        <f t="shared" si="4"/>
        <v>98.198071139686817</v>
      </c>
      <c r="P35" s="719">
        <f t="shared" si="2"/>
        <v>99.291586276319094</v>
      </c>
    </row>
    <row r="36" spans="1:16" ht="12.95" customHeight="1" thickBot="1"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6" ht="12.95" customHeight="1">
      <c r="F37" s="330"/>
      <c r="G37" s="356"/>
      <c r="N37" s="410"/>
    </row>
    <row r="38" spans="1:16" ht="12.95" customHeight="1">
      <c r="B38" s="55"/>
      <c r="F38" s="330"/>
      <c r="G38" s="356"/>
      <c r="N38" s="410"/>
    </row>
    <row r="39" spans="1:16" ht="12.95" customHeight="1">
      <c r="F39" s="330"/>
      <c r="G39" s="356"/>
      <c r="N39" s="410"/>
    </row>
    <row r="40" spans="1:16" ht="12.95" customHeight="1">
      <c r="F40" s="330"/>
      <c r="G40" s="356"/>
      <c r="N40" s="410"/>
    </row>
    <row r="41" spans="1:16" ht="12.95" customHeight="1">
      <c r="F41" s="330"/>
      <c r="G41" s="356"/>
      <c r="N41" s="410"/>
    </row>
    <row r="42" spans="1:16" ht="12.95" customHeight="1">
      <c r="F42" s="330"/>
      <c r="G42" s="356"/>
      <c r="N42" s="410"/>
    </row>
    <row r="43" spans="1:16" ht="12.95" customHeight="1">
      <c r="F43" s="330"/>
      <c r="G43" s="356"/>
      <c r="N43" s="410"/>
    </row>
    <row r="44" spans="1:16" ht="12.95" customHeight="1">
      <c r="F44" s="330"/>
      <c r="G44" s="356"/>
      <c r="N44" s="410"/>
    </row>
    <row r="45" spans="1:16" ht="12.95" customHeight="1">
      <c r="F45" s="330"/>
      <c r="G45" s="356"/>
      <c r="N45" s="410"/>
    </row>
    <row r="46" spans="1:16" ht="12.95" customHeight="1">
      <c r="F46" s="330"/>
      <c r="G46" s="356"/>
      <c r="N46" s="410"/>
    </row>
    <row r="47" spans="1:16" ht="12.95" customHeight="1">
      <c r="F47" s="330"/>
      <c r="G47" s="356"/>
      <c r="N47" s="410"/>
    </row>
    <row r="48" spans="1:16" ht="12.95" customHeight="1">
      <c r="F48" s="330"/>
      <c r="G48" s="356"/>
      <c r="N48" s="410"/>
    </row>
    <row r="49" spans="6:14" ht="12.95" customHeight="1">
      <c r="F49" s="330"/>
      <c r="G49" s="356"/>
      <c r="N49" s="410"/>
    </row>
    <row r="50" spans="6:14" ht="12.95" customHeight="1">
      <c r="F50" s="330"/>
      <c r="G50" s="356"/>
      <c r="N50" s="410"/>
    </row>
    <row r="51" spans="6:14" ht="12.95" customHeight="1">
      <c r="F51" s="330"/>
      <c r="G51" s="356"/>
      <c r="N51" s="410"/>
    </row>
    <row r="52" spans="6:14" ht="12.95" customHeight="1">
      <c r="F52" s="330"/>
      <c r="G52" s="356"/>
      <c r="N52" s="410"/>
    </row>
    <row r="53" spans="6:14" ht="12.95" customHeight="1">
      <c r="F53" s="330"/>
      <c r="G53" s="356"/>
      <c r="N53" s="410"/>
    </row>
    <row r="54" spans="6:14" ht="12.95" customHeight="1">
      <c r="F54" s="330"/>
      <c r="G54" s="356"/>
      <c r="N54" s="410"/>
    </row>
    <row r="55" spans="6:14" ht="12.95" customHeight="1">
      <c r="F55" s="330"/>
      <c r="G55" s="356"/>
      <c r="N55" s="410"/>
    </row>
    <row r="56" spans="6:14" ht="12.95" customHeight="1">
      <c r="F56" s="330"/>
      <c r="G56" s="356"/>
      <c r="N56" s="410"/>
    </row>
    <row r="57" spans="6:14" ht="12.95" customHeight="1">
      <c r="F57" s="330"/>
      <c r="G57" s="356"/>
      <c r="N57" s="410"/>
    </row>
    <row r="58" spans="6:14" ht="12.95" customHeight="1">
      <c r="F58" s="330"/>
      <c r="G58" s="356"/>
      <c r="N58" s="410"/>
    </row>
    <row r="59" spans="6:14" ht="12.95" customHeight="1">
      <c r="F59" s="330"/>
      <c r="G59" s="356"/>
      <c r="N59" s="410"/>
    </row>
    <row r="60" spans="6:14" ht="17.100000000000001" customHeight="1">
      <c r="F60" s="330"/>
      <c r="G60" s="356"/>
      <c r="N60" s="410"/>
    </row>
    <row r="61" spans="6:14" ht="14.25">
      <c r="F61" s="330"/>
      <c r="G61" s="356"/>
      <c r="N61" s="410"/>
    </row>
    <row r="62" spans="6:14" ht="14.25">
      <c r="F62" s="330"/>
      <c r="G62" s="356"/>
      <c r="N62" s="410"/>
    </row>
    <row r="63" spans="6:14" ht="14.25">
      <c r="F63" s="330"/>
      <c r="G63" s="356"/>
      <c r="N63" s="410"/>
    </row>
    <row r="64" spans="6:14" ht="14.25">
      <c r="F64" s="330"/>
      <c r="G64" s="356"/>
      <c r="N64" s="410"/>
    </row>
    <row r="65" spans="6:14" ht="14.25">
      <c r="F65" s="330"/>
      <c r="G65" s="356"/>
      <c r="N65" s="410"/>
    </row>
    <row r="66" spans="6:14" ht="14.25">
      <c r="F66" s="330"/>
      <c r="G66" s="356"/>
      <c r="N66" s="410"/>
    </row>
    <row r="67" spans="6:14" ht="14.25">
      <c r="F67" s="330"/>
      <c r="G67" s="356"/>
      <c r="N67" s="410"/>
    </row>
    <row r="68" spans="6:14" ht="14.25">
      <c r="F68" s="330"/>
      <c r="G68" s="356"/>
      <c r="N68" s="410"/>
    </row>
    <row r="69" spans="6:14" ht="14.25">
      <c r="F69" s="330"/>
      <c r="G69" s="356"/>
      <c r="N69" s="410"/>
    </row>
    <row r="70" spans="6:14" ht="14.25">
      <c r="F70" s="330"/>
      <c r="G70" s="356"/>
      <c r="N70" s="410"/>
    </row>
    <row r="71" spans="6:14" ht="14.25">
      <c r="F71" s="330"/>
      <c r="G71" s="356"/>
      <c r="N71" s="410"/>
    </row>
    <row r="72" spans="6:14" ht="14.25">
      <c r="F72" s="330"/>
      <c r="G72" s="356"/>
      <c r="N72" s="410"/>
    </row>
    <row r="73" spans="6:14" ht="14.25">
      <c r="F73" s="330"/>
      <c r="G73" s="356"/>
      <c r="N73" s="410"/>
    </row>
    <row r="74" spans="6:14" ht="14.25">
      <c r="F74" s="330"/>
      <c r="G74" s="330"/>
      <c r="N74" s="410"/>
    </row>
    <row r="75" spans="6:14" ht="14.25">
      <c r="F75" s="330"/>
      <c r="G75" s="330"/>
      <c r="N75" s="410"/>
    </row>
    <row r="76" spans="6:14" ht="14.25">
      <c r="F76" s="330"/>
      <c r="G76" s="330"/>
      <c r="N76" s="410"/>
    </row>
    <row r="77" spans="6:14" ht="14.25">
      <c r="F77" s="330"/>
      <c r="G77" s="330"/>
      <c r="N77" s="410"/>
    </row>
    <row r="78" spans="6:14" ht="14.25">
      <c r="F78" s="330"/>
      <c r="G78" s="330"/>
      <c r="N78" s="410"/>
    </row>
    <row r="79" spans="6:14" ht="14.25">
      <c r="F79" s="330"/>
      <c r="G79" s="330"/>
      <c r="N79" s="410"/>
    </row>
    <row r="80" spans="6:14" ht="14.25">
      <c r="F80" s="330"/>
      <c r="G80" s="330"/>
      <c r="N80" s="410"/>
    </row>
    <row r="81" spans="6:14" ht="14.25">
      <c r="F81" s="330"/>
      <c r="G81" s="330"/>
      <c r="N81" s="410"/>
    </row>
    <row r="82" spans="6:14" ht="14.25">
      <c r="F82" s="330"/>
      <c r="G82" s="330"/>
      <c r="N82" s="410"/>
    </row>
    <row r="83" spans="6:14" ht="14.25">
      <c r="F83" s="330"/>
      <c r="G83" s="330"/>
      <c r="N83" s="410"/>
    </row>
    <row r="84" spans="6:14" ht="14.25">
      <c r="F84" s="330"/>
      <c r="G84" s="330"/>
      <c r="N84" s="410"/>
    </row>
    <row r="85" spans="6:14" ht="14.25">
      <c r="F85" s="330"/>
      <c r="G85" s="330"/>
      <c r="N85" s="410"/>
    </row>
    <row r="86" spans="6:14" ht="14.25">
      <c r="F86" s="330"/>
      <c r="G86" s="330"/>
      <c r="N86" s="410"/>
    </row>
    <row r="87" spans="6:14" ht="14.25">
      <c r="F87" s="330"/>
      <c r="G87" s="330"/>
      <c r="N87" s="410"/>
    </row>
    <row r="88" spans="6:14" ht="14.25">
      <c r="F88" s="330"/>
      <c r="G88" s="330"/>
      <c r="N88" s="410"/>
    </row>
    <row r="89" spans="6:14" ht="14.25">
      <c r="F89" s="330"/>
      <c r="G89" s="330"/>
      <c r="N89" s="410"/>
    </row>
    <row r="90" spans="6:14" ht="14.25">
      <c r="F90" s="330"/>
      <c r="G90" s="330"/>
      <c r="N90" s="41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2:O45"/>
  <sheetViews>
    <sheetView topLeftCell="A7" zoomScaleNormal="100" workbookViewId="0">
      <selection activeCell="P44" sqref="P44"/>
    </sheetView>
  </sheetViews>
  <sheetFormatPr defaultRowHeight="12.75"/>
  <cols>
    <col min="1" max="1" width="11.85546875" style="39" customWidth="1"/>
    <col min="2" max="2" width="82.28515625" customWidth="1"/>
    <col min="3" max="11" width="10.7109375" customWidth="1"/>
    <col min="12" max="12" width="11.42578125" style="45" customWidth="1"/>
  </cols>
  <sheetData>
    <row r="2" spans="1:15" ht="15.75">
      <c r="A2" s="878" t="s">
        <v>872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</row>
    <row r="4" spans="1:15" s="45" customFormat="1" ht="51">
      <c r="A4" s="160" t="s">
        <v>329</v>
      </c>
      <c r="B4" s="161" t="s">
        <v>337</v>
      </c>
      <c r="C4" s="160" t="s">
        <v>330</v>
      </c>
      <c r="D4" s="160" t="s">
        <v>331</v>
      </c>
      <c r="E4" s="160" t="s">
        <v>338</v>
      </c>
      <c r="F4" s="160" t="s">
        <v>339</v>
      </c>
      <c r="G4" s="160" t="s">
        <v>332</v>
      </c>
      <c r="H4" s="160" t="s">
        <v>333</v>
      </c>
      <c r="I4" s="160" t="s">
        <v>334</v>
      </c>
      <c r="J4" s="160" t="s">
        <v>340</v>
      </c>
      <c r="K4" s="160" t="s">
        <v>335</v>
      </c>
      <c r="L4" s="160" t="s">
        <v>336</v>
      </c>
    </row>
    <row r="5" spans="1:15" ht="15.95" customHeight="1">
      <c r="A5" s="154">
        <v>10010001</v>
      </c>
      <c r="B5" s="23" t="s">
        <v>199</v>
      </c>
      <c r="C5" s="152">
        <f>'1'!N9</f>
        <v>448912</v>
      </c>
      <c r="D5" s="152">
        <f>'1'!N10+'1'!N11</f>
        <v>94689</v>
      </c>
      <c r="E5" s="152">
        <f>'1'!N13</f>
        <v>47381</v>
      </c>
      <c r="F5" s="152">
        <f>'1'!N16</f>
        <v>230861</v>
      </c>
      <c r="G5" s="152">
        <v>0</v>
      </c>
      <c r="H5" s="152">
        <v>0</v>
      </c>
      <c r="I5" s="23">
        <v>0</v>
      </c>
      <c r="J5" s="152">
        <f>'1'!N28</f>
        <v>2982</v>
      </c>
      <c r="K5" s="23">
        <v>0</v>
      </c>
      <c r="L5" s="153">
        <f>SUM(C5:K5)</f>
        <v>824825</v>
      </c>
    </row>
    <row r="6" spans="1:15" ht="15.95" customHeight="1">
      <c r="A6" s="154">
        <v>11010001</v>
      </c>
      <c r="B6" s="23" t="s">
        <v>200</v>
      </c>
      <c r="C6" s="152">
        <f>'3'!N14</f>
        <v>137637</v>
      </c>
      <c r="D6" s="152">
        <f>'3'!N15+'3'!N16</f>
        <v>63699</v>
      </c>
      <c r="E6" s="152">
        <f>'3'!N18</f>
        <v>14940</v>
      </c>
      <c r="F6" s="152">
        <f>'3'!N21</f>
        <v>166722</v>
      </c>
      <c r="G6" s="152">
        <f>'3'!N34</f>
        <v>766800</v>
      </c>
      <c r="H6" s="152">
        <f>'3'!N46</f>
        <v>437000</v>
      </c>
      <c r="I6" s="23">
        <v>0</v>
      </c>
      <c r="J6" s="152">
        <f>'3'!N49</f>
        <v>75345</v>
      </c>
      <c r="K6" s="23">
        <v>0</v>
      </c>
      <c r="L6" s="153">
        <f t="shared" ref="L6:L41" si="0">SUM(C6:K6)</f>
        <v>1662143</v>
      </c>
      <c r="O6" s="74"/>
    </row>
    <row r="7" spans="1:15" ht="15.95" customHeight="1">
      <c r="A7" s="154">
        <v>11010002</v>
      </c>
      <c r="B7" s="23" t="s">
        <v>747</v>
      </c>
      <c r="C7" s="152">
        <f>'4 (S)'!N9</f>
        <v>0</v>
      </c>
      <c r="D7" s="152">
        <f>'4 (S)'!N10+'4 (S)'!N11</f>
        <v>0</v>
      </c>
      <c r="E7" s="152">
        <f>'4 (S)'!N13</f>
        <v>0</v>
      </c>
      <c r="F7" s="152">
        <f>'4 (S)'!N16</f>
        <v>0</v>
      </c>
      <c r="G7" s="152">
        <f>'4 (S)'!N28</f>
        <v>0</v>
      </c>
      <c r="H7" s="23">
        <v>0</v>
      </c>
      <c r="I7" s="23">
        <v>0</v>
      </c>
      <c r="J7" s="152">
        <f>'4 (S)'!N31</f>
        <v>0</v>
      </c>
      <c r="K7" s="23">
        <v>0</v>
      </c>
      <c r="L7" s="153">
        <f t="shared" si="0"/>
        <v>0</v>
      </c>
    </row>
    <row r="8" spans="1:15" ht="15.95" customHeight="1">
      <c r="A8" s="154">
        <v>11010003</v>
      </c>
      <c r="B8" s="23" t="s">
        <v>702</v>
      </c>
      <c r="C8" s="152">
        <f>'5'!N9</f>
        <v>48059</v>
      </c>
      <c r="D8" s="152">
        <f>'5'!N10+'5'!N11</f>
        <v>6145</v>
      </c>
      <c r="E8" s="152">
        <f>'5'!N13</f>
        <v>5069</v>
      </c>
      <c r="F8" s="152">
        <f>'5'!N16</f>
        <v>154</v>
      </c>
      <c r="G8" s="23">
        <v>0</v>
      </c>
      <c r="H8" s="23">
        <v>0</v>
      </c>
      <c r="I8" s="23">
        <v>0</v>
      </c>
      <c r="J8" s="152">
        <f>'5'!N28</f>
        <v>0</v>
      </c>
      <c r="K8" s="23">
        <v>0</v>
      </c>
      <c r="L8" s="153">
        <f t="shared" si="0"/>
        <v>59427</v>
      </c>
    </row>
    <row r="9" spans="1:15" ht="15.95" customHeight="1">
      <c r="A9" s="154">
        <v>11010004</v>
      </c>
      <c r="B9" s="23" t="s">
        <v>700</v>
      </c>
      <c r="C9" s="152">
        <f>'6'!N9</f>
        <v>65854</v>
      </c>
      <c r="D9" s="152">
        <f>'6'!N10+'6'!N11</f>
        <v>10222</v>
      </c>
      <c r="E9" s="152">
        <f>'6'!N13</f>
        <v>6949</v>
      </c>
      <c r="F9" s="152">
        <f>'6'!N16</f>
        <v>4276</v>
      </c>
      <c r="G9" s="23">
        <v>0</v>
      </c>
      <c r="H9" s="23">
        <v>0</v>
      </c>
      <c r="I9" s="23">
        <v>0</v>
      </c>
      <c r="J9" s="152">
        <f>'6'!N28</f>
        <v>993</v>
      </c>
      <c r="K9" s="23">
        <v>0</v>
      </c>
      <c r="L9" s="153">
        <f t="shared" si="0"/>
        <v>88294</v>
      </c>
    </row>
    <row r="10" spans="1:15" ht="15.95" customHeight="1">
      <c r="A10" s="154">
        <v>11010005</v>
      </c>
      <c r="B10" s="526" t="s">
        <v>509</v>
      </c>
      <c r="C10" s="152">
        <f>'7'!N9</f>
        <v>144770</v>
      </c>
      <c r="D10" s="152">
        <f>'7'!N10+'7'!N11</f>
        <v>45254</v>
      </c>
      <c r="E10" s="152">
        <f>'7'!N13</f>
        <v>15304</v>
      </c>
      <c r="F10" s="152">
        <f>'7'!N16</f>
        <v>7041</v>
      </c>
      <c r="G10" s="23">
        <v>0</v>
      </c>
      <c r="H10" s="23">
        <v>0</v>
      </c>
      <c r="I10" s="23">
        <v>0</v>
      </c>
      <c r="J10" s="152">
        <f>'7'!N28</f>
        <v>3976</v>
      </c>
      <c r="K10" s="23">
        <v>0</v>
      </c>
      <c r="L10" s="153">
        <f t="shared" si="0"/>
        <v>216345</v>
      </c>
    </row>
    <row r="11" spans="1:15" s="643" customFormat="1" ht="15.95" customHeight="1">
      <c r="A11" s="154">
        <v>11010006</v>
      </c>
      <c r="B11" s="23" t="s">
        <v>724</v>
      </c>
      <c r="C11" s="152">
        <f>'4 (N)'!N9</f>
        <v>72287</v>
      </c>
      <c r="D11" s="152">
        <f>'4 (N)'!N10</f>
        <v>20061</v>
      </c>
      <c r="E11" s="152">
        <f>'4 (N)'!N13</f>
        <v>7633</v>
      </c>
      <c r="F11" s="152">
        <f>'4 (N)'!N16</f>
        <v>2246</v>
      </c>
      <c r="G11" s="152">
        <f>'4 (N)'!N28</f>
        <v>0</v>
      </c>
      <c r="H11" s="23">
        <v>0</v>
      </c>
      <c r="I11" s="23">
        <v>0</v>
      </c>
      <c r="J11" s="152">
        <f>'4 (N)'!N31</f>
        <v>1956</v>
      </c>
      <c r="K11" s="23">
        <v>0</v>
      </c>
      <c r="L11" s="153">
        <f t="shared" ref="L11" si="1">SUM(C11:K11)</f>
        <v>104183</v>
      </c>
    </row>
    <row r="12" spans="1:15" ht="15.95" customHeight="1">
      <c r="A12" s="154">
        <v>12010001</v>
      </c>
      <c r="B12" s="23" t="s">
        <v>698</v>
      </c>
      <c r="C12" s="152">
        <f>'8'!N9</f>
        <v>237982</v>
      </c>
      <c r="D12" s="152">
        <f>'8'!N10+'8'!N11</f>
        <v>64271</v>
      </c>
      <c r="E12" s="152">
        <f>'8'!N13</f>
        <v>25724</v>
      </c>
      <c r="F12" s="152">
        <f>'8'!N16</f>
        <v>367021</v>
      </c>
      <c r="G12" s="23">
        <v>0</v>
      </c>
      <c r="H12" s="23">
        <v>0</v>
      </c>
      <c r="I12" s="23">
        <v>0</v>
      </c>
      <c r="J12" s="152">
        <f>'8'!N28</f>
        <v>39998</v>
      </c>
      <c r="K12" s="23">
        <v>0</v>
      </c>
      <c r="L12" s="153">
        <f t="shared" si="0"/>
        <v>734996</v>
      </c>
    </row>
    <row r="13" spans="1:15" ht="15.95" customHeight="1">
      <c r="A13" s="154">
        <v>13010001</v>
      </c>
      <c r="B13" s="23" t="s">
        <v>201</v>
      </c>
      <c r="C13" s="152">
        <f>'9'!N9</f>
        <v>4450366</v>
      </c>
      <c r="D13" s="152">
        <f>'9'!N10+'9'!N11</f>
        <v>875919</v>
      </c>
      <c r="E13" s="152">
        <f>'9'!N13</f>
        <v>694026</v>
      </c>
      <c r="F13" s="152">
        <f>'9'!N16</f>
        <v>733503</v>
      </c>
      <c r="G13" s="23">
        <v>0</v>
      </c>
      <c r="H13" s="23">
        <v>0</v>
      </c>
      <c r="I13" s="23">
        <v>0</v>
      </c>
      <c r="J13" s="152">
        <f>'9'!N28</f>
        <v>74898</v>
      </c>
      <c r="K13" s="23">
        <v>0</v>
      </c>
      <c r="L13" s="153">
        <f t="shared" si="0"/>
        <v>6828712</v>
      </c>
    </row>
    <row r="14" spans="1:15" ht="15.95" customHeight="1">
      <c r="A14" s="154">
        <v>14010001</v>
      </c>
      <c r="B14" s="23" t="s">
        <v>704</v>
      </c>
      <c r="C14" s="152">
        <f>'10'!N9</f>
        <v>101861</v>
      </c>
      <c r="D14" s="152">
        <f>'10'!N10+'10'!N11</f>
        <v>19145</v>
      </c>
      <c r="E14" s="152">
        <f>'10'!N13</f>
        <v>10923</v>
      </c>
      <c r="F14" s="152">
        <f>'10'!N16</f>
        <v>143496</v>
      </c>
      <c r="G14" s="23">
        <v>0</v>
      </c>
      <c r="H14" s="23">
        <v>0</v>
      </c>
      <c r="I14" s="23">
        <v>0</v>
      </c>
      <c r="J14" s="152">
        <f>'10'!N30</f>
        <v>4906</v>
      </c>
      <c r="K14" s="23">
        <v>0</v>
      </c>
      <c r="L14" s="153">
        <f t="shared" si="0"/>
        <v>280331</v>
      </c>
    </row>
    <row r="15" spans="1:15" ht="15.95" customHeight="1">
      <c r="A15" s="154">
        <v>14020003</v>
      </c>
      <c r="B15" s="23" t="s">
        <v>732</v>
      </c>
      <c r="C15" s="152">
        <f>'11'!N9</f>
        <v>967050</v>
      </c>
      <c r="D15" s="152">
        <f>'11'!N10+'11'!N11</f>
        <v>168383</v>
      </c>
      <c r="E15" s="152">
        <f>'11'!N13</f>
        <v>104675</v>
      </c>
      <c r="F15" s="152">
        <f>'11'!N16</f>
        <v>232780</v>
      </c>
      <c r="G15" s="23">
        <v>0</v>
      </c>
      <c r="H15" s="23">
        <v>0</v>
      </c>
      <c r="I15" s="23">
        <v>0</v>
      </c>
      <c r="J15" s="152">
        <f>'11'!N29</f>
        <v>4070</v>
      </c>
      <c r="K15" s="23">
        <v>0</v>
      </c>
      <c r="L15" s="153">
        <f t="shared" si="0"/>
        <v>1476958</v>
      </c>
    </row>
    <row r="16" spans="1:15" ht="15.95" customHeight="1">
      <c r="A16" s="154">
        <v>14050001</v>
      </c>
      <c r="B16" s="23" t="s">
        <v>728</v>
      </c>
      <c r="C16" s="152">
        <f>'12'!N9</f>
        <v>29457</v>
      </c>
      <c r="D16" s="152">
        <f>'12'!N10+'12'!N11</f>
        <v>3459</v>
      </c>
      <c r="E16" s="152">
        <f>'12'!N13</f>
        <v>3105</v>
      </c>
      <c r="F16" s="152">
        <f>'12'!N16</f>
        <v>1012</v>
      </c>
      <c r="G16" s="23">
        <v>0</v>
      </c>
      <c r="H16" s="23">
        <v>0</v>
      </c>
      <c r="I16" s="23">
        <v>0</v>
      </c>
      <c r="J16" s="152">
        <f>'12'!N28</f>
        <v>0</v>
      </c>
      <c r="K16" s="23">
        <v>0</v>
      </c>
      <c r="L16" s="153">
        <f t="shared" si="0"/>
        <v>37033</v>
      </c>
    </row>
    <row r="17" spans="1:15" ht="15.95" customHeight="1">
      <c r="A17" s="154">
        <v>14050002</v>
      </c>
      <c r="B17" s="23" t="s">
        <v>729</v>
      </c>
      <c r="C17" s="152">
        <f>'13'!N9</f>
        <v>31765</v>
      </c>
      <c r="D17" s="152">
        <f>'13'!N10+'13'!N11</f>
        <v>7595</v>
      </c>
      <c r="E17" s="152">
        <f>'13'!N13</f>
        <v>3358</v>
      </c>
      <c r="F17" s="152">
        <f>'13'!N16</f>
        <v>1533</v>
      </c>
      <c r="G17" s="23">
        <v>0</v>
      </c>
      <c r="H17" s="23">
        <v>0</v>
      </c>
      <c r="I17" s="23">
        <v>0</v>
      </c>
      <c r="J17" s="152">
        <f>'13'!N28</f>
        <v>0</v>
      </c>
      <c r="K17" s="23">
        <v>0</v>
      </c>
      <c r="L17" s="153">
        <f t="shared" si="0"/>
        <v>44251</v>
      </c>
    </row>
    <row r="18" spans="1:15" ht="15.95" customHeight="1">
      <c r="A18" s="154">
        <v>14060001</v>
      </c>
      <c r="B18" s="23" t="s">
        <v>730</v>
      </c>
      <c r="C18" s="152">
        <f>'14'!N9</f>
        <v>68088</v>
      </c>
      <c r="D18" s="152">
        <f>'14'!N10+'14'!N11</f>
        <v>8390</v>
      </c>
      <c r="E18" s="152">
        <f>'14'!N13</f>
        <v>7181</v>
      </c>
      <c r="F18" s="152">
        <f>'14'!N16</f>
        <v>2355</v>
      </c>
      <c r="G18" s="23">
        <v>0</v>
      </c>
      <c r="H18" s="23">
        <v>0</v>
      </c>
      <c r="I18" s="23">
        <v>0</v>
      </c>
      <c r="J18" s="152">
        <f>'14'!N28</f>
        <v>0</v>
      </c>
      <c r="K18" s="23">
        <v>0</v>
      </c>
      <c r="L18" s="153">
        <f t="shared" si="0"/>
        <v>86014</v>
      </c>
    </row>
    <row r="19" spans="1:15" ht="15.95" customHeight="1">
      <c r="A19" s="154">
        <v>15010001</v>
      </c>
      <c r="B19" s="23" t="s">
        <v>705</v>
      </c>
      <c r="C19" s="152">
        <f>'15'!N9</f>
        <v>183993</v>
      </c>
      <c r="D19" s="152">
        <f>'15'!N10+'15'!N11</f>
        <v>38613</v>
      </c>
      <c r="E19" s="152">
        <f>'15'!N13</f>
        <v>19418</v>
      </c>
      <c r="F19" s="152">
        <f>'15'!N16</f>
        <v>25650</v>
      </c>
      <c r="G19" s="152">
        <f>'15'!N29</f>
        <v>1657448</v>
      </c>
      <c r="H19" s="152">
        <f>'15'!N33</f>
        <v>417715</v>
      </c>
      <c r="I19" s="23">
        <v>0</v>
      </c>
      <c r="J19" s="152">
        <f>'15'!N36</f>
        <v>1898</v>
      </c>
      <c r="K19" s="23">
        <v>0</v>
      </c>
      <c r="L19" s="153">
        <f t="shared" si="0"/>
        <v>2344735</v>
      </c>
    </row>
    <row r="20" spans="1:15" ht="15.95" customHeight="1">
      <c r="A20" s="154">
        <v>16010001</v>
      </c>
      <c r="B20" s="23" t="s">
        <v>706</v>
      </c>
      <c r="C20" s="152">
        <f>'16'!N12</f>
        <v>309173</v>
      </c>
      <c r="D20" s="152">
        <f>'16'!N13+'16'!N14</f>
        <v>65930</v>
      </c>
      <c r="E20" s="152">
        <f>'16'!N16</f>
        <v>32759</v>
      </c>
      <c r="F20" s="152">
        <f>'16'!N19</f>
        <v>96906</v>
      </c>
      <c r="G20" s="152">
        <f>'16'!N32</f>
        <v>484554</v>
      </c>
      <c r="H20" s="23">
        <v>0</v>
      </c>
      <c r="I20" s="152">
        <f>'16'!N37</f>
        <v>41694</v>
      </c>
      <c r="J20" s="152">
        <f>'16'!N43</f>
        <v>799</v>
      </c>
      <c r="K20" s="152">
        <f>'16'!N47</f>
        <v>514991</v>
      </c>
      <c r="L20" s="153">
        <f t="shared" si="0"/>
        <v>1546806</v>
      </c>
      <c r="O20" s="74"/>
    </row>
    <row r="21" spans="1:15" ht="15.95" customHeight="1">
      <c r="A21" s="154">
        <v>17010001</v>
      </c>
      <c r="B21" s="23" t="s">
        <v>707</v>
      </c>
      <c r="C21" s="152">
        <f>'17'!N9</f>
        <v>216390</v>
      </c>
      <c r="D21" s="152">
        <f>'17'!N10+'17'!N11</f>
        <v>34206</v>
      </c>
      <c r="E21" s="152">
        <f>'17'!N13</f>
        <v>23236</v>
      </c>
      <c r="F21" s="152">
        <f>'17'!N16</f>
        <v>57924</v>
      </c>
      <c r="G21" s="152">
        <f>'17'!N28</f>
        <v>4741584</v>
      </c>
      <c r="H21" s="152">
        <v>0</v>
      </c>
      <c r="I21" s="23">
        <v>0</v>
      </c>
      <c r="J21" s="152">
        <f>'17'!N33</f>
        <v>1456</v>
      </c>
      <c r="K21" s="23">
        <v>0</v>
      </c>
      <c r="L21" s="153">
        <f t="shared" si="0"/>
        <v>5074796</v>
      </c>
    </row>
    <row r="22" spans="1:15" ht="15.95" customHeight="1">
      <c r="A22" s="154">
        <v>18010001</v>
      </c>
      <c r="B22" s="23" t="s">
        <v>708</v>
      </c>
      <c r="C22" s="152">
        <f>'18'!N9</f>
        <v>216803</v>
      </c>
      <c r="D22" s="152">
        <f>'18'!N10+'18'!N11</f>
        <v>39557</v>
      </c>
      <c r="E22" s="152">
        <f>'18'!N13</f>
        <v>23235</v>
      </c>
      <c r="F22" s="152">
        <f>'18'!N16</f>
        <v>230258</v>
      </c>
      <c r="G22" s="152">
        <f>'18'!N29</f>
        <v>300000</v>
      </c>
      <c r="H22" s="23">
        <v>0</v>
      </c>
      <c r="I22" s="23">
        <v>0</v>
      </c>
      <c r="J22" s="152">
        <f>'18'!N33</f>
        <v>1035459</v>
      </c>
      <c r="K22" s="23">
        <v>0</v>
      </c>
      <c r="L22" s="153">
        <f t="shared" si="0"/>
        <v>1845312</v>
      </c>
    </row>
    <row r="23" spans="1:15" ht="15.95" customHeight="1">
      <c r="A23" s="154">
        <v>19010001</v>
      </c>
      <c r="B23" s="23" t="s">
        <v>709</v>
      </c>
      <c r="C23" s="152">
        <f>'19'!N9</f>
        <v>526974</v>
      </c>
      <c r="D23" s="152">
        <f>'19'!N10+'19'!N11</f>
        <v>102088</v>
      </c>
      <c r="E23" s="152">
        <f>'19'!N13</f>
        <v>55867</v>
      </c>
      <c r="F23" s="152">
        <f>'19'!N16</f>
        <v>76469</v>
      </c>
      <c r="G23" s="152">
        <f>'19'!N28</f>
        <v>1538138</v>
      </c>
      <c r="H23" s="152">
        <f>'19'!N34</f>
        <v>72980</v>
      </c>
      <c r="I23" s="23">
        <v>0</v>
      </c>
      <c r="J23" s="152">
        <f>'19'!N38</f>
        <v>34681</v>
      </c>
      <c r="K23" s="23">
        <v>0</v>
      </c>
      <c r="L23" s="153">
        <f t="shared" si="0"/>
        <v>2407197</v>
      </c>
    </row>
    <row r="24" spans="1:15" ht="15.95" customHeight="1">
      <c r="A24" s="154">
        <v>20010001</v>
      </c>
      <c r="B24" s="23" t="s">
        <v>710</v>
      </c>
      <c r="C24" s="152">
        <f>'20'!N9</f>
        <v>266737</v>
      </c>
      <c r="D24" s="152">
        <f>'20'!N10+'20'!N11</f>
        <v>38614</v>
      </c>
      <c r="E24" s="152">
        <f>'20'!N13</f>
        <v>28135</v>
      </c>
      <c r="F24" s="152">
        <f>'20'!N16</f>
        <v>93478</v>
      </c>
      <c r="G24" s="152">
        <f>'20'!N30</f>
        <v>1151507</v>
      </c>
      <c r="H24" s="152">
        <v>0</v>
      </c>
      <c r="I24" s="152">
        <f>'20'!N42</f>
        <v>0</v>
      </c>
      <c r="J24" s="152">
        <f>'20'!N45</f>
        <v>503715</v>
      </c>
      <c r="K24" s="152">
        <f>'20'!N49</f>
        <v>0</v>
      </c>
      <c r="L24" s="153">
        <f t="shared" si="0"/>
        <v>2082186</v>
      </c>
    </row>
    <row r="25" spans="1:15" ht="15.95" customHeight="1">
      <c r="A25" s="154">
        <v>20020002</v>
      </c>
      <c r="B25" s="23" t="s">
        <v>759</v>
      </c>
      <c r="C25" s="152">
        <f>'21'!N9</f>
        <v>850643</v>
      </c>
      <c r="D25" s="152">
        <f>'21'!N10+'21'!N11</f>
        <v>167130</v>
      </c>
      <c r="E25" s="152">
        <f>'21'!N13</f>
        <v>91394</v>
      </c>
      <c r="F25" s="152">
        <f>'21'!N16</f>
        <v>153201</v>
      </c>
      <c r="G25" s="23">
        <v>0</v>
      </c>
      <c r="H25" s="23">
        <v>0</v>
      </c>
      <c r="I25" s="23">
        <v>0</v>
      </c>
      <c r="J25" s="152">
        <f>'21'!N28</f>
        <v>4912</v>
      </c>
      <c r="K25" s="23">
        <v>0</v>
      </c>
      <c r="L25" s="153">
        <f t="shared" si="0"/>
        <v>1267280</v>
      </c>
    </row>
    <row r="26" spans="1:15" ht="15.95" customHeight="1">
      <c r="A26" s="154">
        <v>20020003</v>
      </c>
      <c r="B26" s="23" t="s">
        <v>760</v>
      </c>
      <c r="C26" s="152">
        <f>'22'!N9</f>
        <v>843376</v>
      </c>
      <c r="D26" s="152">
        <f>'22'!N10+'22'!N11</f>
        <v>187363</v>
      </c>
      <c r="E26" s="152">
        <f>'22'!N13</f>
        <v>89076</v>
      </c>
      <c r="F26" s="152">
        <f>'22'!N16</f>
        <v>166256</v>
      </c>
      <c r="G26" s="23">
        <v>0</v>
      </c>
      <c r="H26" s="23">
        <v>0</v>
      </c>
      <c r="I26" s="23">
        <v>0</v>
      </c>
      <c r="J26" s="152">
        <f>'22'!N28</f>
        <v>20871</v>
      </c>
      <c r="K26" s="23">
        <v>0</v>
      </c>
      <c r="L26" s="153">
        <f t="shared" si="0"/>
        <v>1306942</v>
      </c>
    </row>
    <row r="27" spans="1:15" ht="15.95" customHeight="1">
      <c r="A27" s="154">
        <v>20020004</v>
      </c>
      <c r="B27" s="23" t="s">
        <v>761</v>
      </c>
      <c r="C27" s="152">
        <f>'23'!N9</f>
        <v>699286</v>
      </c>
      <c r="D27" s="152">
        <f>'23'!N10+'23'!N11</f>
        <v>143536</v>
      </c>
      <c r="E27" s="152">
        <f>'23'!N13</f>
        <v>75772</v>
      </c>
      <c r="F27" s="152">
        <f>'23'!N16</f>
        <v>111217</v>
      </c>
      <c r="G27" s="23">
        <v>0</v>
      </c>
      <c r="H27" s="23">
        <v>0</v>
      </c>
      <c r="I27" s="23">
        <v>0</v>
      </c>
      <c r="J27" s="152">
        <f>'23'!N28</f>
        <v>4953</v>
      </c>
      <c r="K27" s="23">
        <v>0</v>
      </c>
      <c r="L27" s="153">
        <f t="shared" si="0"/>
        <v>1034764</v>
      </c>
    </row>
    <row r="28" spans="1:15" ht="15.95" customHeight="1">
      <c r="A28" s="154">
        <v>20030001</v>
      </c>
      <c r="B28" s="526" t="s">
        <v>738</v>
      </c>
      <c r="C28" s="152">
        <f>'24'!N9</f>
        <v>902068</v>
      </c>
      <c r="D28" s="152">
        <f>'24'!N10+'24'!N11</f>
        <v>165364</v>
      </c>
      <c r="E28" s="152">
        <f>'24'!N13</f>
        <v>95569</v>
      </c>
      <c r="F28" s="152">
        <f>'24'!N16</f>
        <v>84729</v>
      </c>
      <c r="G28" s="23">
        <v>0</v>
      </c>
      <c r="H28" s="23">
        <v>0</v>
      </c>
      <c r="I28" s="23">
        <v>0</v>
      </c>
      <c r="J28" s="152">
        <f>'24'!N28</f>
        <v>4899</v>
      </c>
      <c r="K28" s="23">
        <v>0</v>
      </c>
      <c r="L28" s="153">
        <f t="shared" si="0"/>
        <v>1252629</v>
      </c>
    </row>
    <row r="29" spans="1:15" ht="15.95" customHeight="1">
      <c r="A29" s="154">
        <v>20030002</v>
      </c>
      <c r="B29" s="23" t="s">
        <v>762</v>
      </c>
      <c r="C29" s="152">
        <f>'25'!N9</f>
        <v>1895408</v>
      </c>
      <c r="D29" s="152">
        <f>'25'!N10+'25'!N11</f>
        <v>394227</v>
      </c>
      <c r="E29" s="152">
        <f>'25'!N13</f>
        <v>202816</v>
      </c>
      <c r="F29" s="152">
        <f>'25'!N16</f>
        <v>169783</v>
      </c>
      <c r="G29" s="23">
        <v>0</v>
      </c>
      <c r="H29" s="23">
        <v>0</v>
      </c>
      <c r="I29" s="23">
        <v>0</v>
      </c>
      <c r="J29" s="152">
        <f>'25'!N28</f>
        <v>4888</v>
      </c>
      <c r="K29" s="23">
        <v>0</v>
      </c>
      <c r="L29" s="153">
        <f t="shared" si="0"/>
        <v>2667122</v>
      </c>
    </row>
    <row r="30" spans="1:15" ht="15.95" customHeight="1">
      <c r="A30" s="154">
        <v>20030003</v>
      </c>
      <c r="B30" s="23" t="s">
        <v>763</v>
      </c>
      <c r="C30" s="152">
        <f>'26'!N9</f>
        <v>512732</v>
      </c>
      <c r="D30" s="152">
        <f>'26'!N10+'26'!N11</f>
        <v>96160</v>
      </c>
      <c r="E30" s="152">
        <f>'26'!N13</f>
        <v>54328</v>
      </c>
      <c r="F30" s="152">
        <f>'26'!N16</f>
        <v>53708</v>
      </c>
      <c r="G30" s="23">
        <v>0</v>
      </c>
      <c r="H30" s="23">
        <v>0</v>
      </c>
      <c r="I30" s="23">
        <v>0</v>
      </c>
      <c r="J30" s="152">
        <f>'26'!N28</f>
        <v>3721</v>
      </c>
      <c r="K30" s="23">
        <v>0</v>
      </c>
      <c r="L30" s="153">
        <f t="shared" si="0"/>
        <v>720649</v>
      </c>
    </row>
    <row r="31" spans="1:15" ht="15.95" customHeight="1">
      <c r="A31" s="154">
        <v>20030004</v>
      </c>
      <c r="B31" s="23" t="s">
        <v>764</v>
      </c>
      <c r="C31" s="152">
        <f>'27'!N9</f>
        <v>614557</v>
      </c>
      <c r="D31" s="152">
        <f>'27'!N10+'27'!N11</f>
        <v>108764</v>
      </c>
      <c r="E31" s="152">
        <f>'27'!N13</f>
        <v>65852</v>
      </c>
      <c r="F31" s="152">
        <f>'27'!N16</f>
        <v>68168</v>
      </c>
      <c r="G31" s="23">
        <v>0</v>
      </c>
      <c r="H31" s="23">
        <v>0</v>
      </c>
      <c r="I31" s="23">
        <v>0</v>
      </c>
      <c r="J31" s="152">
        <f>'27'!N28</f>
        <v>14168</v>
      </c>
      <c r="K31" s="23">
        <v>0</v>
      </c>
      <c r="L31" s="153">
        <f t="shared" si="0"/>
        <v>871509</v>
      </c>
    </row>
    <row r="32" spans="1:15" ht="15.95" customHeight="1">
      <c r="A32" s="154">
        <v>20030005</v>
      </c>
      <c r="B32" s="526" t="s">
        <v>765</v>
      </c>
      <c r="C32" s="152">
        <f>'28'!N9</f>
        <v>728479</v>
      </c>
      <c r="D32" s="152">
        <f>'28'!N10+'28'!N11</f>
        <v>146111</v>
      </c>
      <c r="E32" s="152">
        <f>'28'!N13</f>
        <v>77609</v>
      </c>
      <c r="F32" s="152">
        <f>'28'!N16</f>
        <v>68271</v>
      </c>
      <c r="G32" s="23">
        <v>0</v>
      </c>
      <c r="H32" s="23">
        <v>0</v>
      </c>
      <c r="I32" s="23">
        <v>0</v>
      </c>
      <c r="J32" s="152">
        <f>'28'!N28</f>
        <v>22279</v>
      </c>
      <c r="K32" s="23">
        <v>0</v>
      </c>
      <c r="L32" s="153">
        <f t="shared" si="0"/>
        <v>1042749</v>
      </c>
    </row>
    <row r="33" spans="1:12" ht="15.95" customHeight="1">
      <c r="A33" s="154">
        <v>20030006</v>
      </c>
      <c r="B33" s="23" t="s">
        <v>766</v>
      </c>
      <c r="C33" s="152">
        <f>'29'!N9</f>
        <v>281970</v>
      </c>
      <c r="D33" s="152">
        <f>'29'!N10+'29'!N11</f>
        <v>61130</v>
      </c>
      <c r="E33" s="152">
        <f>'29'!N13</f>
        <v>30778</v>
      </c>
      <c r="F33" s="152">
        <f>'29'!N16</f>
        <v>37412</v>
      </c>
      <c r="G33" s="23">
        <v>0</v>
      </c>
      <c r="H33" s="23">
        <v>0</v>
      </c>
      <c r="I33" s="23">
        <v>0</v>
      </c>
      <c r="J33" s="152">
        <f>'29'!N28</f>
        <v>1950</v>
      </c>
      <c r="K33" s="23">
        <v>0</v>
      </c>
      <c r="L33" s="153">
        <f t="shared" si="0"/>
        <v>413240</v>
      </c>
    </row>
    <row r="34" spans="1:12" ht="15.95" customHeight="1">
      <c r="A34" s="154">
        <v>20030007</v>
      </c>
      <c r="B34" s="23" t="s">
        <v>767</v>
      </c>
      <c r="C34" s="152">
        <f>'30'!N9</f>
        <v>436596</v>
      </c>
      <c r="D34" s="152">
        <f>'30'!N10+'30'!N11</f>
        <v>92692</v>
      </c>
      <c r="E34" s="152">
        <f>'30'!N13</f>
        <v>46497</v>
      </c>
      <c r="F34" s="152">
        <f>'30'!N16</f>
        <v>54584</v>
      </c>
      <c r="G34" s="23">
        <v>0</v>
      </c>
      <c r="H34" s="23">
        <v>0</v>
      </c>
      <c r="I34" s="23">
        <v>0</v>
      </c>
      <c r="J34" s="152">
        <f>'30'!N28</f>
        <v>2958</v>
      </c>
      <c r="K34" s="23">
        <v>0</v>
      </c>
      <c r="L34" s="153">
        <f t="shared" si="0"/>
        <v>633327</v>
      </c>
    </row>
    <row r="35" spans="1:12" ht="15.95" customHeight="1">
      <c r="A35" s="154">
        <v>21010001</v>
      </c>
      <c r="B35" s="23" t="s">
        <v>711</v>
      </c>
      <c r="C35" s="152">
        <f>'31'!N9</f>
        <v>186554</v>
      </c>
      <c r="D35" s="152">
        <f>'31'!N10+'31'!N11</f>
        <v>45068</v>
      </c>
      <c r="E35" s="152">
        <f>'31'!N13</f>
        <v>19710</v>
      </c>
      <c r="F35" s="152">
        <f>'31'!N16</f>
        <v>41883</v>
      </c>
      <c r="G35" s="152">
        <f>'31'!N28</f>
        <v>1062602</v>
      </c>
      <c r="H35" s="23">
        <v>0</v>
      </c>
      <c r="I35" s="23">
        <v>0</v>
      </c>
      <c r="J35" s="152">
        <f>'31'!N31</f>
        <v>2818</v>
      </c>
      <c r="K35" s="23">
        <v>0</v>
      </c>
      <c r="L35" s="153">
        <f t="shared" si="0"/>
        <v>1358635</v>
      </c>
    </row>
    <row r="36" spans="1:12" ht="15.95" customHeight="1">
      <c r="A36" s="154">
        <v>22010001</v>
      </c>
      <c r="B36" s="23" t="s">
        <v>725</v>
      </c>
      <c r="C36" s="152">
        <f>'32'!N9</f>
        <v>75977</v>
      </c>
      <c r="D36" s="152">
        <f>'32'!N10+'32'!N11</f>
        <v>18216</v>
      </c>
      <c r="E36" s="152">
        <f>'32'!N13</f>
        <v>7977</v>
      </c>
      <c r="F36" s="152">
        <f>'32'!N16</f>
        <v>18609</v>
      </c>
      <c r="G36" s="23">
        <v>0</v>
      </c>
      <c r="H36" s="23">
        <v>0</v>
      </c>
      <c r="I36" s="23">
        <v>0</v>
      </c>
      <c r="J36" s="152">
        <f>'32'!N28</f>
        <v>2500</v>
      </c>
      <c r="K36" s="23">
        <v>0</v>
      </c>
      <c r="L36" s="153">
        <f t="shared" si="0"/>
        <v>123279</v>
      </c>
    </row>
    <row r="37" spans="1:12" ht="15.95" customHeight="1">
      <c r="A37" s="154">
        <v>23010001</v>
      </c>
      <c r="B37" s="23" t="s">
        <v>723</v>
      </c>
      <c r="C37" s="152">
        <f>'33'!N9</f>
        <v>210185</v>
      </c>
      <c r="D37" s="152">
        <f>'33'!N10+'33'!N11</f>
        <v>49179</v>
      </c>
      <c r="E37" s="152">
        <f>'33'!N13</f>
        <v>22225</v>
      </c>
      <c r="F37" s="152">
        <f>'33'!N16</f>
        <v>44126</v>
      </c>
      <c r="G37" s="152">
        <f>'33'!N28</f>
        <v>61868</v>
      </c>
      <c r="H37" s="23">
        <v>0</v>
      </c>
      <c r="I37" s="23">
        <v>0</v>
      </c>
      <c r="J37" s="152">
        <f>'33'!N32</f>
        <v>4379</v>
      </c>
      <c r="K37" s="23">
        <v>0</v>
      </c>
      <c r="L37" s="153">
        <f t="shared" si="0"/>
        <v>391962</v>
      </c>
    </row>
    <row r="38" spans="1:12" ht="15.95" customHeight="1">
      <c r="A38" s="154">
        <v>24010001</v>
      </c>
      <c r="B38" s="23" t="s">
        <v>203</v>
      </c>
      <c r="C38" s="152">
        <f>'34'!N9</f>
        <v>489414</v>
      </c>
      <c r="D38" s="152">
        <f>'34'!N10+'34'!N11</f>
        <v>62323</v>
      </c>
      <c r="E38" s="152">
        <f>'34'!N13</f>
        <v>50048</v>
      </c>
      <c r="F38" s="152">
        <f>'34'!N16</f>
        <v>110823</v>
      </c>
      <c r="G38" s="23">
        <v>0</v>
      </c>
      <c r="H38" s="23">
        <v>0</v>
      </c>
      <c r="I38" s="23">
        <v>0</v>
      </c>
      <c r="J38" s="152">
        <f>'34'!N28</f>
        <v>4704</v>
      </c>
      <c r="K38" s="23">
        <v>0</v>
      </c>
      <c r="L38" s="153">
        <f t="shared" si="0"/>
        <v>717312</v>
      </c>
    </row>
    <row r="39" spans="1:12" ht="15.95" customHeight="1">
      <c r="A39" s="154">
        <v>26010001</v>
      </c>
      <c r="B39" s="23" t="s">
        <v>204</v>
      </c>
      <c r="C39" s="152">
        <f>'35'!N9</f>
        <v>55945</v>
      </c>
      <c r="D39" s="152">
        <f>'35'!N10+'35'!N11</f>
        <v>6822</v>
      </c>
      <c r="E39" s="152">
        <f>'35'!N13</f>
        <v>5898</v>
      </c>
      <c r="F39" s="152">
        <f>'35'!N16</f>
        <v>10130</v>
      </c>
      <c r="G39" s="152">
        <v>0</v>
      </c>
      <c r="H39" s="23">
        <v>0</v>
      </c>
      <c r="I39" s="23">
        <v>0</v>
      </c>
      <c r="J39" s="152">
        <f>'35'!N28</f>
        <v>0</v>
      </c>
      <c r="K39" s="23">
        <v>0</v>
      </c>
      <c r="L39" s="153">
        <f t="shared" si="0"/>
        <v>78795</v>
      </c>
    </row>
    <row r="40" spans="1:12" ht="15.95" customHeight="1">
      <c r="A40" s="154">
        <v>27010001</v>
      </c>
      <c r="B40" s="23" t="s">
        <v>731</v>
      </c>
      <c r="C40" s="152">
        <f>'36'!N9</f>
        <v>398817</v>
      </c>
      <c r="D40" s="152">
        <f>'36'!N10+'36'!N11</f>
        <v>59348</v>
      </c>
      <c r="E40" s="152">
        <f>'36'!N13</f>
        <v>43119</v>
      </c>
      <c r="F40" s="152">
        <f>'36'!N16</f>
        <v>52962</v>
      </c>
      <c r="G40" s="23">
        <v>0</v>
      </c>
      <c r="H40" s="23">
        <v>0</v>
      </c>
      <c r="I40" s="23">
        <v>0</v>
      </c>
      <c r="J40" s="152">
        <f>'36'!N28</f>
        <v>245</v>
      </c>
      <c r="K40" s="23">
        <v>0</v>
      </c>
      <c r="L40" s="153">
        <f t="shared" si="0"/>
        <v>554491</v>
      </c>
    </row>
    <row r="41" spans="1:12" ht="15.95" customHeight="1">
      <c r="A41" s="154">
        <v>28010001</v>
      </c>
      <c r="B41" s="23" t="s">
        <v>205</v>
      </c>
      <c r="C41" s="152">
        <f>'37'!N9</f>
        <v>356363</v>
      </c>
      <c r="D41" s="152">
        <f>'37'!N10+'37'!N11</f>
        <v>53548</v>
      </c>
      <c r="E41" s="152">
        <f>'37'!N13</f>
        <v>37762</v>
      </c>
      <c r="F41" s="152">
        <f>'37'!N16</f>
        <v>23796</v>
      </c>
      <c r="G41" s="152">
        <v>0</v>
      </c>
      <c r="H41" s="23">
        <v>0</v>
      </c>
      <c r="I41" s="23">
        <v>0</v>
      </c>
      <c r="J41" s="152">
        <f>'37'!N28</f>
        <v>1993</v>
      </c>
      <c r="K41" s="23">
        <v>0</v>
      </c>
      <c r="L41" s="153">
        <f t="shared" si="0"/>
        <v>473462</v>
      </c>
    </row>
    <row r="42" spans="1:12" s="45" customFormat="1" ht="15.95" customHeight="1">
      <c r="A42" s="87"/>
      <c r="B42" s="158" t="s">
        <v>341</v>
      </c>
      <c r="C42" s="159">
        <f>SUM(C5:C41)</f>
        <v>18062528</v>
      </c>
      <c r="D42" s="159">
        <f t="shared" ref="D42:K42" si="2">SUM(D5:D41)</f>
        <v>3563221</v>
      </c>
      <c r="E42" s="159">
        <f t="shared" si="2"/>
        <v>2145348</v>
      </c>
      <c r="F42" s="159">
        <f t="shared" si="2"/>
        <v>3743343</v>
      </c>
      <c r="G42" s="159">
        <f t="shared" si="2"/>
        <v>11764501</v>
      </c>
      <c r="H42" s="159">
        <f t="shared" si="2"/>
        <v>927695</v>
      </c>
      <c r="I42" s="159">
        <f t="shared" si="2"/>
        <v>41694</v>
      </c>
      <c r="J42" s="159">
        <f t="shared" si="2"/>
        <v>1889370</v>
      </c>
      <c r="K42" s="159">
        <f t="shared" si="2"/>
        <v>514991</v>
      </c>
      <c r="L42" s="159">
        <f>SUM(L5:L41)</f>
        <v>42652691</v>
      </c>
    </row>
    <row r="43" spans="1:12" ht="18" customHeight="1">
      <c r="B43" t="s">
        <v>342</v>
      </c>
      <c r="L43" s="101">
        <f>Rashodi!K9</f>
        <v>546291</v>
      </c>
    </row>
    <row r="44" spans="1:12" ht="18" customHeight="1">
      <c r="B44" t="s">
        <v>362</v>
      </c>
      <c r="L44" s="101">
        <f>Uvod!G42</f>
        <v>682107</v>
      </c>
    </row>
    <row r="45" spans="1:12" ht="18" customHeight="1">
      <c r="A45" s="155"/>
      <c r="B45" s="157" t="s">
        <v>341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62">
        <f>L42+L43+L44</f>
        <v>43881089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J119"/>
  <sheetViews>
    <sheetView topLeftCell="B1" zoomScaleNormal="100" zoomScaleSheetLayoutView="100" workbookViewId="0">
      <selection activeCell="J15" sqref="J15"/>
    </sheetView>
  </sheetViews>
  <sheetFormatPr defaultRowHeight="12.75"/>
  <cols>
    <col min="1" max="1" width="6.140625" style="447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  <col min="9" max="10" width="10.140625" bestFit="1" customWidth="1"/>
  </cols>
  <sheetData>
    <row r="2" spans="2:10" ht="15">
      <c r="B2" s="944" t="s">
        <v>873</v>
      </c>
      <c r="C2" s="945"/>
      <c r="D2" s="945"/>
      <c r="E2" s="945"/>
      <c r="F2" s="945"/>
      <c r="G2" s="945"/>
    </row>
    <row r="3" spans="2:10" ht="15">
      <c r="B3" s="167"/>
      <c r="C3" s="169"/>
      <c r="D3" s="168"/>
      <c r="E3" s="168"/>
      <c r="F3" s="168"/>
    </row>
    <row r="4" spans="2:10">
      <c r="B4" s="170"/>
      <c r="C4" s="170"/>
      <c r="D4" s="171"/>
      <c r="E4" s="172"/>
      <c r="F4" s="830"/>
    </row>
    <row r="5" spans="2:10" ht="66" customHeight="1">
      <c r="B5" s="173" t="s">
        <v>206</v>
      </c>
      <c r="C5" s="174" t="s">
        <v>364</v>
      </c>
      <c r="D5" s="174" t="s">
        <v>365</v>
      </c>
      <c r="E5" s="173" t="s">
        <v>820</v>
      </c>
      <c r="F5" s="175" t="s">
        <v>868</v>
      </c>
      <c r="G5" s="175" t="s">
        <v>55</v>
      </c>
      <c r="I5" s="185"/>
    </row>
    <row r="6" spans="2:10">
      <c r="B6" s="176"/>
      <c r="C6" s="177">
        <v>1</v>
      </c>
      <c r="D6" s="177">
        <v>2</v>
      </c>
      <c r="E6" s="178">
        <v>3</v>
      </c>
      <c r="F6" s="178">
        <v>4</v>
      </c>
      <c r="G6" s="287">
        <v>5</v>
      </c>
    </row>
    <row r="7" spans="2:10">
      <c r="B7" s="515">
        <v>1</v>
      </c>
      <c r="C7" s="516"/>
      <c r="D7" s="516" t="s">
        <v>54</v>
      </c>
      <c r="E7" s="517">
        <f>E8+E17+E23+E30+E40+E47+E54+E61+E68+E77</f>
        <v>43170986</v>
      </c>
      <c r="F7" s="517">
        <f>F8+F17+F23+F30+F40+F47+F54+F61+F68+F77</f>
        <v>43198982</v>
      </c>
      <c r="G7" s="518">
        <f>IF(E7=0,"",F7/E7*100)</f>
        <v>100.06484910953853</v>
      </c>
      <c r="I7" s="74"/>
      <c r="J7" s="74"/>
    </row>
    <row r="8" spans="2:10">
      <c r="B8" s="515">
        <v>2</v>
      </c>
      <c r="C8" s="519" t="s">
        <v>80</v>
      </c>
      <c r="D8" s="520" t="s">
        <v>58</v>
      </c>
      <c r="E8" s="517">
        <f>SUM(E9:E16)</f>
        <v>5294170</v>
      </c>
      <c r="F8" s="517">
        <f>SUM(F9:F16)</f>
        <v>5498174</v>
      </c>
      <c r="G8" s="521">
        <f>IF(E8=0,"",F8/E8*100)</f>
        <v>103.85337078333336</v>
      </c>
    </row>
    <row r="9" spans="2:10" ht="14.1" customHeight="1">
      <c r="B9" s="176">
        <v>3</v>
      </c>
      <c r="C9" s="179" t="s">
        <v>366</v>
      </c>
      <c r="D9" s="180" t="s">
        <v>59</v>
      </c>
      <c r="E9" s="148">
        <f>'1'!J33+'3'!J55-'3'!J8+'4 (S)'!J36+'5'!J33+'6'!J33+'7'!J33+'4 (N)'!J36+'16'!J54-'16'!J8</f>
        <v>4554650</v>
      </c>
      <c r="F9" s="148">
        <v>4762993</v>
      </c>
      <c r="G9" s="181">
        <f>IF(E9=0,"",F9/E9*100)</f>
        <v>104.57429220686552</v>
      </c>
      <c r="J9" s="74"/>
    </row>
    <row r="10" spans="2:10" ht="14.1" customHeight="1">
      <c r="B10" s="176">
        <v>4</v>
      </c>
      <c r="C10" s="179" t="s">
        <v>367</v>
      </c>
      <c r="D10" s="180" t="s">
        <v>368</v>
      </c>
      <c r="E10" s="148">
        <v>0</v>
      </c>
      <c r="F10" s="148">
        <v>0</v>
      </c>
      <c r="G10" s="181" t="str">
        <f t="shared" ref="G10:G73" si="0">IF(E10=0,"",F10/E10*100)</f>
        <v/>
      </c>
    </row>
    <row r="11" spans="2:10" ht="14.1" customHeight="1">
      <c r="B11" s="176">
        <v>5</v>
      </c>
      <c r="C11" s="179" t="s">
        <v>369</v>
      </c>
      <c r="D11" s="180" t="s">
        <v>370</v>
      </c>
      <c r="E11" s="148">
        <f>'8'!J33</f>
        <v>739520</v>
      </c>
      <c r="F11" s="148">
        <v>735181</v>
      </c>
      <c r="G11" s="181">
        <f t="shared" si="0"/>
        <v>99.413268065772399</v>
      </c>
    </row>
    <row r="12" spans="2:10" ht="14.1" customHeight="1">
      <c r="B12" s="176">
        <v>6</v>
      </c>
      <c r="C12" s="179" t="s">
        <v>371</v>
      </c>
      <c r="D12" s="180" t="s">
        <v>372</v>
      </c>
      <c r="E12" s="148">
        <v>0</v>
      </c>
      <c r="F12" s="148">
        <v>0</v>
      </c>
      <c r="G12" s="181" t="str">
        <f t="shared" si="0"/>
        <v/>
      </c>
    </row>
    <row r="13" spans="2:10" ht="14.1" customHeight="1">
      <c r="B13" s="176">
        <v>7</v>
      </c>
      <c r="C13" s="179" t="s">
        <v>373</v>
      </c>
      <c r="D13" s="180" t="s">
        <v>374</v>
      </c>
      <c r="E13" s="148">
        <v>0</v>
      </c>
      <c r="F13" s="148">
        <v>0</v>
      </c>
      <c r="G13" s="181" t="str">
        <f t="shared" si="0"/>
        <v/>
      </c>
    </row>
    <row r="14" spans="2:10" ht="14.1" customHeight="1">
      <c r="B14" s="176">
        <v>8</v>
      </c>
      <c r="C14" s="179" t="s">
        <v>375</v>
      </c>
      <c r="D14" s="180" t="s">
        <v>376</v>
      </c>
      <c r="E14" s="148">
        <v>0</v>
      </c>
      <c r="F14" s="148">
        <v>0</v>
      </c>
      <c r="G14" s="181" t="str">
        <f t="shared" si="0"/>
        <v/>
      </c>
    </row>
    <row r="15" spans="2:10" ht="14.1" customHeight="1">
      <c r="B15" s="176">
        <v>9</v>
      </c>
      <c r="C15" s="179" t="s">
        <v>377</v>
      </c>
      <c r="D15" s="180" t="s">
        <v>378</v>
      </c>
      <c r="E15" s="148">
        <v>0</v>
      </c>
      <c r="F15" s="148">
        <v>0</v>
      </c>
      <c r="G15" s="181" t="str">
        <f t="shared" si="0"/>
        <v/>
      </c>
    </row>
    <row r="16" spans="2:10" ht="14.1" customHeight="1">
      <c r="B16" s="176">
        <v>10</v>
      </c>
      <c r="C16" s="179" t="s">
        <v>379</v>
      </c>
      <c r="D16" s="180" t="s">
        <v>60</v>
      </c>
      <c r="E16" s="148">
        <v>0</v>
      </c>
      <c r="F16" s="148">
        <v>0</v>
      </c>
      <c r="G16" s="181" t="str">
        <f t="shared" si="0"/>
        <v/>
      </c>
    </row>
    <row r="17" spans="2:7" ht="14.1" customHeight="1">
      <c r="B17" s="515">
        <v>11</v>
      </c>
      <c r="C17" s="519" t="s">
        <v>124</v>
      </c>
      <c r="D17" s="520" t="s">
        <v>61</v>
      </c>
      <c r="E17" s="517">
        <f>SUM(E18:E22)</f>
        <v>0</v>
      </c>
      <c r="F17" s="517">
        <f>SUM(F18:F22)</f>
        <v>0</v>
      </c>
      <c r="G17" s="521" t="str">
        <f t="shared" si="0"/>
        <v/>
      </c>
    </row>
    <row r="18" spans="2:7" ht="14.1" customHeight="1">
      <c r="B18" s="176">
        <v>12</v>
      </c>
      <c r="C18" s="179" t="s">
        <v>380</v>
      </c>
      <c r="D18" s="180" t="s">
        <v>62</v>
      </c>
      <c r="E18" s="148">
        <v>0</v>
      </c>
      <c r="F18" s="148">
        <v>0</v>
      </c>
      <c r="G18" s="181" t="str">
        <f t="shared" si="0"/>
        <v/>
      </c>
    </row>
    <row r="19" spans="2:7" ht="14.1" customHeight="1">
      <c r="B19" s="176">
        <v>13</v>
      </c>
      <c r="C19" s="179" t="s">
        <v>381</v>
      </c>
      <c r="D19" s="180" t="s">
        <v>63</v>
      </c>
      <c r="E19" s="148">
        <v>0</v>
      </c>
      <c r="F19" s="148">
        <v>0</v>
      </c>
      <c r="G19" s="181" t="str">
        <f t="shared" si="0"/>
        <v/>
      </c>
    </row>
    <row r="20" spans="2:7" ht="14.1" customHeight="1">
      <c r="B20" s="176">
        <v>14</v>
      </c>
      <c r="C20" s="179" t="s">
        <v>382</v>
      </c>
      <c r="D20" s="180" t="s">
        <v>64</v>
      </c>
      <c r="E20" s="148">
        <v>0</v>
      </c>
      <c r="F20" s="148">
        <v>0</v>
      </c>
      <c r="G20" s="181" t="str">
        <f t="shared" si="0"/>
        <v/>
      </c>
    </row>
    <row r="21" spans="2:7" ht="14.1" customHeight="1">
      <c r="B21" s="176">
        <v>15</v>
      </c>
      <c r="C21" s="179" t="s">
        <v>383</v>
      </c>
      <c r="D21" s="180" t="s">
        <v>65</v>
      </c>
      <c r="E21" s="148">
        <v>0</v>
      </c>
      <c r="F21" s="148">
        <v>0</v>
      </c>
      <c r="G21" s="181" t="str">
        <f t="shared" si="0"/>
        <v/>
      </c>
    </row>
    <row r="22" spans="2:7" ht="14.1" customHeight="1">
      <c r="B22" s="176">
        <v>16</v>
      </c>
      <c r="C22" s="179" t="s">
        <v>384</v>
      </c>
      <c r="D22" s="180" t="s">
        <v>66</v>
      </c>
      <c r="E22" s="148">
        <v>0</v>
      </c>
      <c r="F22" s="148">
        <v>0</v>
      </c>
      <c r="G22" s="181" t="str">
        <f t="shared" si="0"/>
        <v/>
      </c>
    </row>
    <row r="23" spans="2:7" ht="14.1" customHeight="1">
      <c r="B23" s="515">
        <v>17</v>
      </c>
      <c r="C23" s="519" t="s">
        <v>132</v>
      </c>
      <c r="D23" s="520" t="s">
        <v>510</v>
      </c>
      <c r="E23" s="517">
        <f>SUM(E24:E29)</f>
        <v>10575880</v>
      </c>
      <c r="F23" s="517">
        <f>SUM(F24:F29)</f>
        <v>10496729</v>
      </c>
      <c r="G23" s="521">
        <f t="shared" si="0"/>
        <v>99.251589465841136</v>
      </c>
    </row>
    <row r="24" spans="2:7" ht="14.1" customHeight="1">
      <c r="B24" s="176">
        <v>18</v>
      </c>
      <c r="C24" s="179" t="s">
        <v>385</v>
      </c>
      <c r="D24" s="180" t="s">
        <v>386</v>
      </c>
      <c r="E24" s="148">
        <f>'9'!J33</f>
        <v>6836390</v>
      </c>
      <c r="F24" s="148">
        <v>6828612</v>
      </c>
      <c r="G24" s="181">
        <f t="shared" si="0"/>
        <v>99.886226502583966</v>
      </c>
    </row>
    <row r="25" spans="2:7" ht="14.1" customHeight="1">
      <c r="B25" s="176">
        <v>19</v>
      </c>
      <c r="C25" s="179" t="s">
        <v>387</v>
      </c>
      <c r="D25" s="180" t="s">
        <v>511</v>
      </c>
      <c r="E25" s="148">
        <f>'33'!J37</f>
        <v>432750</v>
      </c>
      <c r="F25" s="148">
        <v>391428</v>
      </c>
      <c r="G25" s="181">
        <f t="shared" si="0"/>
        <v>90.451299826689777</v>
      </c>
    </row>
    <row r="26" spans="2:7" ht="14.1" customHeight="1">
      <c r="B26" s="176">
        <v>20</v>
      </c>
      <c r="C26" s="179" t="s">
        <v>388</v>
      </c>
      <c r="D26" s="180" t="s">
        <v>389</v>
      </c>
      <c r="E26" s="148">
        <f>'11'!J34+'12'!J33+'13'!J33+'14'!J33+'34'!J33+'35'!J33+'36'!J33</f>
        <v>3020120</v>
      </c>
      <c r="F26" s="148">
        <v>2995471</v>
      </c>
      <c r="G26" s="181">
        <f t="shared" si="0"/>
        <v>99.183840377203552</v>
      </c>
    </row>
    <row r="27" spans="2:7" ht="14.1" customHeight="1">
      <c r="B27" s="176">
        <v>21</v>
      </c>
      <c r="C27" s="179" t="s">
        <v>390</v>
      </c>
      <c r="D27" s="180" t="s">
        <v>391</v>
      </c>
      <c r="E27" s="148">
        <v>0</v>
      </c>
      <c r="F27" s="148">
        <v>0</v>
      </c>
      <c r="G27" s="181" t="str">
        <f t="shared" si="0"/>
        <v/>
      </c>
    </row>
    <row r="28" spans="2:7" ht="14.1" customHeight="1">
      <c r="B28" s="176">
        <v>22</v>
      </c>
      <c r="C28" s="179" t="s">
        <v>392</v>
      </c>
      <c r="D28" s="180" t="s">
        <v>393</v>
      </c>
      <c r="E28" s="148">
        <v>0</v>
      </c>
      <c r="F28" s="148">
        <v>0</v>
      </c>
      <c r="G28" s="181" t="str">
        <f t="shared" si="0"/>
        <v/>
      </c>
    </row>
    <row r="29" spans="2:7" ht="14.1" customHeight="1">
      <c r="B29" s="176">
        <v>23</v>
      </c>
      <c r="C29" s="179" t="s">
        <v>394</v>
      </c>
      <c r="D29" s="180" t="s">
        <v>395</v>
      </c>
      <c r="E29" s="148">
        <f>'10'!J35</f>
        <v>286620</v>
      </c>
      <c r="F29" s="148">
        <v>281218</v>
      </c>
      <c r="G29" s="181">
        <f t="shared" si="0"/>
        <v>98.115274579582717</v>
      </c>
    </row>
    <row r="30" spans="2:7" ht="14.1" customHeight="1">
      <c r="B30" s="515">
        <v>24</v>
      </c>
      <c r="C30" s="519" t="s">
        <v>396</v>
      </c>
      <c r="D30" s="520" t="s">
        <v>397</v>
      </c>
      <c r="E30" s="517">
        <f>SUM(E31:E39)</f>
        <v>7465190</v>
      </c>
      <c r="F30" s="517">
        <f>SUM(F31:F39)</f>
        <v>7192551</v>
      </c>
      <c r="G30" s="521">
        <f t="shared" si="0"/>
        <v>96.347862546030299</v>
      </c>
    </row>
    <row r="31" spans="2:7" ht="14.1" customHeight="1">
      <c r="B31" s="176">
        <v>25</v>
      </c>
      <c r="C31" s="179" t="s">
        <v>398</v>
      </c>
      <c r="D31" s="180" t="s">
        <v>399</v>
      </c>
      <c r="E31" s="148">
        <v>0</v>
      </c>
      <c r="F31" s="148">
        <v>0</v>
      </c>
      <c r="G31" s="181" t="str">
        <f t="shared" si="0"/>
        <v/>
      </c>
    </row>
    <row r="32" spans="2:7" ht="14.1" customHeight="1">
      <c r="B32" s="176">
        <v>26</v>
      </c>
      <c r="C32" s="179" t="s">
        <v>400</v>
      </c>
      <c r="D32" s="180" t="s">
        <v>401</v>
      </c>
      <c r="E32" s="148">
        <f>'19'!J43</f>
        <v>2419400</v>
      </c>
      <c r="F32" s="148">
        <v>2407623</v>
      </c>
      <c r="G32" s="181">
        <f t="shared" si="0"/>
        <v>99.513226419773488</v>
      </c>
    </row>
    <row r="33" spans="2:7" ht="14.1" customHeight="1">
      <c r="B33" s="176">
        <v>27</v>
      </c>
      <c r="C33" s="179" t="s">
        <v>402</v>
      </c>
      <c r="D33" s="180" t="s">
        <v>403</v>
      </c>
      <c r="E33" s="148">
        <v>0</v>
      </c>
      <c r="F33" s="148">
        <v>0</v>
      </c>
      <c r="G33" s="181" t="str">
        <f t="shared" si="0"/>
        <v/>
      </c>
    </row>
    <row r="34" spans="2:7" ht="14.1" customHeight="1">
      <c r="B34" s="176">
        <v>28</v>
      </c>
      <c r="C34" s="179" t="s">
        <v>404</v>
      </c>
      <c r="D34" s="180" t="s">
        <v>405</v>
      </c>
      <c r="E34" s="148">
        <v>0</v>
      </c>
      <c r="F34" s="148">
        <v>0</v>
      </c>
      <c r="G34" s="181" t="str">
        <f t="shared" si="0"/>
        <v/>
      </c>
    </row>
    <row r="35" spans="2:7" ht="14.1" customHeight="1">
      <c r="B35" s="176">
        <v>29</v>
      </c>
      <c r="C35" s="179" t="s">
        <v>406</v>
      </c>
      <c r="D35" s="180" t="s">
        <v>67</v>
      </c>
      <c r="E35" s="148">
        <v>0</v>
      </c>
      <c r="F35" s="148">
        <v>0</v>
      </c>
      <c r="G35" s="181" t="str">
        <f t="shared" si="0"/>
        <v/>
      </c>
    </row>
    <row r="36" spans="2:7" ht="14.1" customHeight="1">
      <c r="B36" s="176">
        <v>30</v>
      </c>
      <c r="C36" s="179" t="s">
        <v>407</v>
      </c>
      <c r="D36" s="180" t="s">
        <v>408</v>
      </c>
      <c r="E36" s="148">
        <v>0</v>
      </c>
      <c r="F36" s="148">
        <v>0</v>
      </c>
      <c r="G36" s="181" t="str">
        <f t="shared" si="0"/>
        <v/>
      </c>
    </row>
    <row r="37" spans="2:7" ht="14.1" customHeight="1">
      <c r="B37" s="176">
        <v>31</v>
      </c>
      <c r="C37" s="179" t="s">
        <v>409</v>
      </c>
      <c r="D37" s="180" t="s">
        <v>410</v>
      </c>
      <c r="E37" s="148">
        <v>0</v>
      </c>
      <c r="F37" s="148">
        <v>0</v>
      </c>
      <c r="G37" s="181" t="str">
        <f t="shared" si="0"/>
        <v/>
      </c>
    </row>
    <row r="38" spans="2:7" ht="14.1" customHeight="1">
      <c r="B38" s="176">
        <v>32</v>
      </c>
      <c r="C38" s="179" t="s">
        <v>411</v>
      </c>
      <c r="D38" s="180" t="s">
        <v>412</v>
      </c>
      <c r="E38" s="148">
        <v>0</v>
      </c>
      <c r="F38" s="148">
        <v>0</v>
      </c>
      <c r="G38" s="181" t="str">
        <f t="shared" si="0"/>
        <v/>
      </c>
    </row>
    <row r="39" spans="2:7" ht="14.1" customHeight="1">
      <c r="B39" s="176">
        <v>33</v>
      </c>
      <c r="C39" s="179" t="s">
        <v>413</v>
      </c>
      <c r="D39" s="180" t="s">
        <v>414</v>
      </c>
      <c r="E39" s="148">
        <f>'15'!J41+'18'!J41+'32'!J33+'37'!J33</f>
        <v>5045790</v>
      </c>
      <c r="F39" s="148">
        <v>4784928</v>
      </c>
      <c r="G39" s="181">
        <f t="shared" si="0"/>
        <v>94.830105890257016</v>
      </c>
    </row>
    <row r="40" spans="2:7" ht="14.1" customHeight="1">
      <c r="B40" s="515">
        <v>34</v>
      </c>
      <c r="C40" s="519" t="s">
        <v>125</v>
      </c>
      <c r="D40" s="520" t="s">
        <v>415</v>
      </c>
      <c r="E40" s="517">
        <f>SUM(E41:E46)</f>
        <v>0</v>
      </c>
      <c r="F40" s="517">
        <f>SUM(F41:F46)</f>
        <v>0</v>
      </c>
      <c r="G40" s="521" t="str">
        <f t="shared" si="0"/>
        <v/>
      </c>
    </row>
    <row r="41" spans="2:7" ht="14.1" customHeight="1">
      <c r="B41" s="176">
        <v>35</v>
      </c>
      <c r="C41" s="179" t="s">
        <v>416</v>
      </c>
      <c r="D41" s="180" t="s">
        <v>417</v>
      </c>
      <c r="E41" s="148">
        <v>0</v>
      </c>
      <c r="F41" s="148">
        <v>0</v>
      </c>
      <c r="G41" s="181" t="str">
        <f t="shared" si="0"/>
        <v/>
      </c>
    </row>
    <row r="42" spans="2:7" ht="14.1" customHeight="1">
      <c r="B42" s="176">
        <v>36</v>
      </c>
      <c r="C42" s="179" t="s">
        <v>418</v>
      </c>
      <c r="D42" s="180" t="s">
        <v>419</v>
      </c>
      <c r="E42" s="148">
        <v>0</v>
      </c>
      <c r="F42" s="148">
        <v>0</v>
      </c>
      <c r="G42" s="181" t="str">
        <f t="shared" si="0"/>
        <v/>
      </c>
    </row>
    <row r="43" spans="2:7" ht="14.1" customHeight="1">
      <c r="B43" s="176">
        <v>37</v>
      </c>
      <c r="C43" s="179" t="s">
        <v>420</v>
      </c>
      <c r="D43" s="180" t="s">
        <v>421</v>
      </c>
      <c r="E43" s="148">
        <v>0</v>
      </c>
      <c r="F43" s="148">
        <v>0</v>
      </c>
      <c r="G43" s="181" t="str">
        <f t="shared" si="0"/>
        <v/>
      </c>
    </row>
    <row r="44" spans="2:7" ht="14.1" customHeight="1">
      <c r="B44" s="176">
        <v>38</v>
      </c>
      <c r="C44" s="179" t="s">
        <v>422</v>
      </c>
      <c r="D44" s="180" t="s">
        <v>68</v>
      </c>
      <c r="E44" s="148">
        <v>0</v>
      </c>
      <c r="F44" s="148">
        <v>0</v>
      </c>
      <c r="G44" s="181" t="str">
        <f t="shared" si="0"/>
        <v/>
      </c>
    </row>
    <row r="45" spans="2:7" ht="14.1" customHeight="1">
      <c r="B45" s="176">
        <v>39</v>
      </c>
      <c r="C45" s="179" t="s">
        <v>423</v>
      </c>
      <c r="D45" s="180" t="s">
        <v>56</v>
      </c>
      <c r="E45" s="148">
        <v>0</v>
      </c>
      <c r="F45" s="148">
        <v>0</v>
      </c>
      <c r="G45" s="181" t="str">
        <f t="shared" si="0"/>
        <v/>
      </c>
    </row>
    <row r="46" spans="2:7" ht="14.1" customHeight="1">
      <c r="B46" s="176">
        <v>40</v>
      </c>
      <c r="C46" s="179" t="s">
        <v>424</v>
      </c>
      <c r="D46" s="180" t="s">
        <v>425</v>
      </c>
      <c r="E46" s="148">
        <v>0</v>
      </c>
      <c r="F46" s="148">
        <v>0</v>
      </c>
      <c r="G46" s="181" t="str">
        <f t="shared" si="0"/>
        <v/>
      </c>
    </row>
    <row r="47" spans="2:7" ht="14.1" customHeight="1">
      <c r="B47" s="515">
        <v>41</v>
      </c>
      <c r="C47" s="519" t="s">
        <v>168</v>
      </c>
      <c r="D47" s="520" t="s">
        <v>426</v>
      </c>
      <c r="E47" s="517">
        <f>SUM(E48:E53)</f>
        <v>0</v>
      </c>
      <c r="F47" s="517">
        <f>SUM(F48:F53)</f>
        <v>0</v>
      </c>
      <c r="G47" s="521" t="str">
        <f t="shared" si="0"/>
        <v/>
      </c>
    </row>
    <row r="48" spans="2:7" ht="14.1" customHeight="1">
      <c r="B48" s="176">
        <v>42</v>
      </c>
      <c r="C48" s="179" t="s">
        <v>427</v>
      </c>
      <c r="D48" s="180" t="s">
        <v>428</v>
      </c>
      <c r="E48" s="148">
        <v>0</v>
      </c>
      <c r="F48" s="148">
        <v>0</v>
      </c>
      <c r="G48" s="181" t="str">
        <f t="shared" si="0"/>
        <v/>
      </c>
    </row>
    <row r="49" spans="2:7" ht="14.1" customHeight="1">
      <c r="B49" s="176">
        <v>43</v>
      </c>
      <c r="C49" s="179" t="s">
        <v>429</v>
      </c>
      <c r="D49" s="180" t="s">
        <v>430</v>
      </c>
      <c r="E49" s="148">
        <v>0</v>
      </c>
      <c r="F49" s="148">
        <v>0</v>
      </c>
      <c r="G49" s="181" t="str">
        <f t="shared" si="0"/>
        <v/>
      </c>
    </row>
    <row r="50" spans="2:7" ht="14.1" customHeight="1">
      <c r="B50" s="176">
        <v>44</v>
      </c>
      <c r="C50" s="179" t="s">
        <v>431</v>
      </c>
      <c r="D50" s="180" t="s">
        <v>69</v>
      </c>
      <c r="E50" s="148">
        <v>0</v>
      </c>
      <c r="F50" s="148">
        <v>0</v>
      </c>
      <c r="G50" s="181" t="str">
        <f t="shared" si="0"/>
        <v/>
      </c>
    </row>
    <row r="51" spans="2:7" ht="14.1" customHeight="1">
      <c r="B51" s="176">
        <v>45</v>
      </c>
      <c r="C51" s="179" t="s">
        <v>432</v>
      </c>
      <c r="D51" s="180" t="s">
        <v>433</v>
      </c>
      <c r="E51" s="148">
        <v>0</v>
      </c>
      <c r="F51" s="148">
        <v>0</v>
      </c>
      <c r="G51" s="181" t="str">
        <f t="shared" si="0"/>
        <v/>
      </c>
    </row>
    <row r="52" spans="2:7" ht="14.1" customHeight="1">
      <c r="B52" s="176">
        <v>46</v>
      </c>
      <c r="C52" s="179" t="s">
        <v>434</v>
      </c>
      <c r="D52" s="180" t="s">
        <v>435</v>
      </c>
      <c r="E52" s="148">
        <v>0</v>
      </c>
      <c r="F52" s="148">
        <v>0</v>
      </c>
      <c r="G52" s="181" t="str">
        <f t="shared" si="0"/>
        <v/>
      </c>
    </row>
    <row r="53" spans="2:7" ht="14.1" customHeight="1">
      <c r="B53" s="176">
        <v>47</v>
      </c>
      <c r="C53" s="179" t="s">
        <v>436</v>
      </c>
      <c r="D53" s="180" t="s">
        <v>437</v>
      </c>
      <c r="E53" s="148">
        <v>0</v>
      </c>
      <c r="F53" s="148">
        <v>0</v>
      </c>
      <c r="G53" s="181" t="str">
        <f t="shared" si="0"/>
        <v/>
      </c>
    </row>
    <row r="54" spans="2:7" ht="14.1" customHeight="1">
      <c r="B54" s="515">
        <v>48</v>
      </c>
      <c r="C54" s="519" t="s">
        <v>438</v>
      </c>
      <c r="D54" s="520" t="s">
        <v>439</v>
      </c>
      <c r="E54" s="517">
        <f>SUM(E55:E60)</f>
        <v>0</v>
      </c>
      <c r="F54" s="517">
        <f>SUM(F55:F60)</f>
        <v>0</v>
      </c>
      <c r="G54" s="521" t="str">
        <f t="shared" si="0"/>
        <v/>
      </c>
    </row>
    <row r="55" spans="2:7" ht="14.1" customHeight="1">
      <c r="B55" s="176">
        <v>49</v>
      </c>
      <c r="C55" s="179" t="s">
        <v>440</v>
      </c>
      <c r="D55" s="180" t="s">
        <v>441</v>
      </c>
      <c r="E55" s="148">
        <v>0</v>
      </c>
      <c r="F55" s="148">
        <v>0</v>
      </c>
      <c r="G55" s="181" t="str">
        <f t="shared" si="0"/>
        <v/>
      </c>
    </row>
    <row r="56" spans="2:7" ht="14.1" customHeight="1">
      <c r="B56" s="176">
        <v>50</v>
      </c>
      <c r="C56" s="179" t="s">
        <v>442</v>
      </c>
      <c r="D56" s="180" t="s">
        <v>70</v>
      </c>
      <c r="E56" s="148">
        <v>0</v>
      </c>
      <c r="F56" s="148">
        <v>0</v>
      </c>
      <c r="G56" s="181" t="str">
        <f t="shared" si="0"/>
        <v/>
      </c>
    </row>
    <row r="57" spans="2:7" ht="14.1" customHeight="1">
      <c r="B57" s="176">
        <v>51</v>
      </c>
      <c r="C57" s="179" t="s">
        <v>0</v>
      </c>
      <c r="D57" s="180" t="s">
        <v>1</v>
      </c>
      <c r="E57" s="148">
        <v>0</v>
      </c>
      <c r="F57" s="148">
        <v>0</v>
      </c>
      <c r="G57" s="181" t="str">
        <f t="shared" si="0"/>
        <v/>
      </c>
    </row>
    <row r="58" spans="2:7" ht="14.1" customHeight="1">
      <c r="B58" s="176">
        <v>52</v>
      </c>
      <c r="C58" s="179" t="s">
        <v>2</v>
      </c>
      <c r="D58" s="180" t="s">
        <v>3</v>
      </c>
      <c r="E58" s="148">
        <v>0</v>
      </c>
      <c r="F58" s="148">
        <v>0</v>
      </c>
      <c r="G58" s="181" t="str">
        <f t="shared" si="0"/>
        <v/>
      </c>
    </row>
    <row r="59" spans="2:7" ht="14.1" customHeight="1">
      <c r="B59" s="176">
        <v>53</v>
      </c>
      <c r="C59" s="179" t="s">
        <v>4</v>
      </c>
      <c r="D59" s="180" t="s">
        <v>5</v>
      </c>
      <c r="E59" s="148">
        <v>0</v>
      </c>
      <c r="F59" s="148">
        <v>0</v>
      </c>
      <c r="G59" s="181" t="str">
        <f t="shared" si="0"/>
        <v/>
      </c>
    </row>
    <row r="60" spans="2:7" ht="14.1" customHeight="1">
      <c r="B60" s="176">
        <v>54</v>
      </c>
      <c r="C60" s="179" t="s">
        <v>6</v>
      </c>
      <c r="D60" s="180" t="s">
        <v>7</v>
      </c>
      <c r="E60" s="148">
        <v>0</v>
      </c>
      <c r="F60" s="148">
        <v>0</v>
      </c>
      <c r="G60" s="181" t="str">
        <f t="shared" si="0"/>
        <v/>
      </c>
    </row>
    <row r="61" spans="2:7">
      <c r="B61" s="515">
        <v>55</v>
      </c>
      <c r="C61" s="519" t="s">
        <v>8</v>
      </c>
      <c r="D61" s="520" t="s">
        <v>9</v>
      </c>
      <c r="E61" s="517">
        <f>SUM(E62:E67)</f>
        <v>640000</v>
      </c>
      <c r="F61" s="517">
        <f>SUM(F62:F67)</f>
        <v>819120</v>
      </c>
      <c r="G61" s="521">
        <f t="shared" si="0"/>
        <v>127.98750000000001</v>
      </c>
    </row>
    <row r="62" spans="2:7">
      <c r="B62" s="176">
        <v>56</v>
      </c>
      <c r="C62" s="179" t="s">
        <v>10</v>
      </c>
      <c r="D62" s="180" t="s">
        <v>666</v>
      </c>
      <c r="E62" s="148">
        <f>'20'!J32+'20'!J39</f>
        <v>240000</v>
      </c>
      <c r="F62" s="148">
        <v>336800</v>
      </c>
      <c r="G62" s="182">
        <f t="shared" si="0"/>
        <v>140.33333333333334</v>
      </c>
    </row>
    <row r="63" spans="2:7">
      <c r="B63" s="176">
        <v>57</v>
      </c>
      <c r="C63" s="179" t="s">
        <v>11</v>
      </c>
      <c r="D63" s="180" t="s">
        <v>12</v>
      </c>
      <c r="E63" s="148">
        <f>'20'!J33+'20'!J40</f>
        <v>80000</v>
      </c>
      <c r="F63" s="148">
        <v>99300</v>
      </c>
      <c r="G63" s="182">
        <f t="shared" si="0"/>
        <v>124.125</v>
      </c>
    </row>
    <row r="64" spans="2:7">
      <c r="B64" s="176">
        <v>58</v>
      </c>
      <c r="C64" s="179" t="s">
        <v>13</v>
      </c>
      <c r="D64" s="180" t="s">
        <v>71</v>
      </c>
      <c r="E64" s="148">
        <f>'20'!J37</f>
        <v>100000</v>
      </c>
      <c r="F64" s="148">
        <v>127700</v>
      </c>
      <c r="G64" s="182">
        <f t="shared" si="0"/>
        <v>127.69999999999999</v>
      </c>
    </row>
    <row r="65" spans="2:7">
      <c r="B65" s="176">
        <v>59</v>
      </c>
      <c r="C65" s="179" t="s">
        <v>14</v>
      </c>
      <c r="D65" s="180" t="s">
        <v>57</v>
      </c>
      <c r="E65" s="148">
        <f>'20'!J38</f>
        <v>220000</v>
      </c>
      <c r="F65" s="148">
        <v>255320</v>
      </c>
      <c r="G65" s="182">
        <f t="shared" si="0"/>
        <v>116.05454545454546</v>
      </c>
    </row>
    <row r="66" spans="2:7">
      <c r="B66" s="176">
        <v>60</v>
      </c>
      <c r="C66" s="179" t="s">
        <v>15</v>
      </c>
      <c r="D66" s="180" t="s">
        <v>16</v>
      </c>
      <c r="E66" s="148">
        <v>0</v>
      </c>
      <c r="F66" s="148">
        <v>0</v>
      </c>
      <c r="G66" s="182" t="str">
        <f t="shared" si="0"/>
        <v/>
      </c>
    </row>
    <row r="67" spans="2:7">
      <c r="B67" s="176">
        <v>61</v>
      </c>
      <c r="C67" s="179" t="s">
        <v>17</v>
      </c>
      <c r="D67" s="180" t="s">
        <v>18</v>
      </c>
      <c r="E67" s="148">
        <v>0</v>
      </c>
      <c r="F67" s="148">
        <v>0</v>
      </c>
      <c r="G67" s="182" t="str">
        <f t="shared" si="0"/>
        <v/>
      </c>
    </row>
    <row r="68" spans="2:7">
      <c r="B68" s="515">
        <v>62</v>
      </c>
      <c r="C68" s="519" t="s">
        <v>19</v>
      </c>
      <c r="D68" s="520" t="s">
        <v>20</v>
      </c>
      <c r="E68" s="517">
        <f>SUM(E69:E76)</f>
        <v>12716616</v>
      </c>
      <c r="F68" s="517">
        <f>SUM(F69:F76)</f>
        <v>12661767</v>
      </c>
      <c r="G68" s="521">
        <f t="shared" si="0"/>
        <v>99.568682423059713</v>
      </c>
    </row>
    <row r="69" spans="2:7">
      <c r="B69" s="176">
        <v>63</v>
      </c>
      <c r="C69" s="179" t="s">
        <v>21</v>
      </c>
      <c r="D69" s="180" t="s">
        <v>22</v>
      </c>
      <c r="E69" s="148">
        <f>7635270+5822</f>
        <v>7641092</v>
      </c>
      <c r="F69" s="148">
        <v>7616225</v>
      </c>
      <c r="G69" s="182">
        <f t="shared" si="0"/>
        <v>99.674562222258288</v>
      </c>
    </row>
    <row r="70" spans="2:7">
      <c r="B70" s="176">
        <v>64</v>
      </c>
      <c r="C70" s="179" t="s">
        <v>23</v>
      </c>
      <c r="D70" s="180" t="s">
        <v>24</v>
      </c>
      <c r="E70" s="148">
        <f>'21'!J33+'22'!J33+'23'!J33+5000</f>
        <v>3630170</v>
      </c>
      <c r="F70" s="148">
        <v>3608986</v>
      </c>
      <c r="G70" s="182">
        <f t="shared" si="0"/>
        <v>99.416446061754684</v>
      </c>
    </row>
    <row r="71" spans="2:7">
      <c r="B71" s="176">
        <v>65</v>
      </c>
      <c r="C71" s="179" t="s">
        <v>25</v>
      </c>
      <c r="D71" s="180" t="s">
        <v>26</v>
      </c>
      <c r="E71" s="148">
        <v>0</v>
      </c>
      <c r="F71" s="148">
        <v>0</v>
      </c>
      <c r="G71" s="182" t="str">
        <f t="shared" si="0"/>
        <v/>
      </c>
    </row>
    <row r="72" spans="2:7">
      <c r="B72" s="176">
        <v>66</v>
      </c>
      <c r="C72" s="179" t="s">
        <v>27</v>
      </c>
      <c r="D72" s="180" t="s">
        <v>28</v>
      </c>
      <c r="E72" s="148">
        <f>'20'!J31+'20'!J35</f>
        <v>275000</v>
      </c>
      <c r="F72" s="148">
        <v>275620</v>
      </c>
      <c r="G72" s="182">
        <f t="shared" si="0"/>
        <v>100.22545454545455</v>
      </c>
    </row>
    <row r="73" spans="2:7">
      <c r="B73" s="176">
        <v>67</v>
      </c>
      <c r="C73" s="179" t="s">
        <v>29</v>
      </c>
      <c r="D73" s="180" t="s">
        <v>72</v>
      </c>
      <c r="E73" s="148">
        <v>0</v>
      </c>
      <c r="F73" s="148">
        <v>0</v>
      </c>
      <c r="G73" s="182" t="str">
        <f t="shared" si="0"/>
        <v/>
      </c>
    </row>
    <row r="74" spans="2:7">
      <c r="B74" s="176">
        <v>68</v>
      </c>
      <c r="C74" s="179" t="s">
        <v>30</v>
      </c>
      <c r="D74" s="180" t="s">
        <v>31</v>
      </c>
      <c r="E74" s="148">
        <v>0</v>
      </c>
      <c r="F74" s="148">
        <v>0</v>
      </c>
      <c r="G74" s="182" t="str">
        <f t="shared" ref="G74:G86" si="1">IF(E74=0,"",F74/E74*100)</f>
        <v/>
      </c>
    </row>
    <row r="75" spans="2:7">
      <c r="B75" s="176">
        <v>69</v>
      </c>
      <c r="C75" s="179" t="s">
        <v>32</v>
      </c>
      <c r="D75" s="180" t="s">
        <v>33</v>
      </c>
      <c r="E75" s="148">
        <v>0</v>
      </c>
      <c r="F75" s="148">
        <v>0</v>
      </c>
      <c r="G75" s="182" t="str">
        <f t="shared" si="1"/>
        <v/>
      </c>
    </row>
    <row r="76" spans="2:7">
      <c r="B76" s="176">
        <v>70</v>
      </c>
      <c r="C76" s="179" t="s">
        <v>34</v>
      </c>
      <c r="D76" s="180" t="s">
        <v>35</v>
      </c>
      <c r="E76" s="148">
        <f>1163010+7344</f>
        <v>1170354</v>
      </c>
      <c r="F76" s="148">
        <v>1160936</v>
      </c>
      <c r="G76" s="182">
        <f t="shared" si="1"/>
        <v>99.195286212547657</v>
      </c>
    </row>
    <row r="77" spans="2:7">
      <c r="B77" s="515">
        <v>71</v>
      </c>
      <c r="C77" s="519" t="s">
        <v>36</v>
      </c>
      <c r="D77" s="516" t="s">
        <v>37</v>
      </c>
      <c r="E77" s="517">
        <f>SUM(E78:E86)</f>
        <v>6479130</v>
      </c>
      <c r="F77" s="517">
        <f>SUM(F78:F86)</f>
        <v>6530641</v>
      </c>
      <c r="G77" s="521">
        <f t="shared" si="1"/>
        <v>100.79502957958861</v>
      </c>
    </row>
    <row r="78" spans="2:7">
      <c r="B78" s="176">
        <v>72</v>
      </c>
      <c r="C78" s="179" t="s">
        <v>38</v>
      </c>
      <c r="D78" s="180" t="s">
        <v>39</v>
      </c>
      <c r="E78" s="148">
        <v>0</v>
      </c>
      <c r="F78" s="148">
        <v>0</v>
      </c>
      <c r="G78" s="182" t="str">
        <f t="shared" si="1"/>
        <v/>
      </c>
    </row>
    <row r="79" spans="2:7">
      <c r="B79" s="176">
        <v>73</v>
      </c>
      <c r="C79" s="179" t="s">
        <v>40</v>
      </c>
      <c r="D79" s="180" t="s">
        <v>41</v>
      </c>
      <c r="E79" s="148">
        <v>0</v>
      </c>
      <c r="F79" s="148">
        <v>0</v>
      </c>
      <c r="G79" s="182" t="str">
        <f t="shared" si="1"/>
        <v/>
      </c>
    </row>
    <row r="80" spans="2:7">
      <c r="B80" s="176">
        <v>74</v>
      </c>
      <c r="C80" s="179" t="s">
        <v>42</v>
      </c>
      <c r="D80" s="180" t="s">
        <v>43</v>
      </c>
      <c r="E80" s="148">
        <v>0</v>
      </c>
      <c r="F80" s="148">
        <v>0</v>
      </c>
      <c r="G80" s="182" t="str">
        <f t="shared" si="1"/>
        <v/>
      </c>
    </row>
    <row r="81" spans="2:7">
      <c r="B81" s="176">
        <v>75</v>
      </c>
      <c r="C81" s="179" t="s">
        <v>44</v>
      </c>
      <c r="D81" s="180" t="s">
        <v>73</v>
      </c>
      <c r="E81" s="148">
        <v>0</v>
      </c>
      <c r="F81" s="148">
        <v>0</v>
      </c>
      <c r="G81" s="182" t="str">
        <f t="shared" si="1"/>
        <v/>
      </c>
    </row>
    <row r="82" spans="2:7">
      <c r="B82" s="176">
        <v>76</v>
      </c>
      <c r="C82" s="179" t="s">
        <v>45</v>
      </c>
      <c r="D82" s="180" t="s">
        <v>74</v>
      </c>
      <c r="E82" s="148">
        <v>0</v>
      </c>
      <c r="F82" s="148">
        <v>0</v>
      </c>
      <c r="G82" s="182" t="str">
        <f t="shared" si="1"/>
        <v/>
      </c>
    </row>
    <row r="83" spans="2:7">
      <c r="B83" s="176">
        <v>77</v>
      </c>
      <c r="C83" s="179" t="s">
        <v>46</v>
      </c>
      <c r="D83" s="180" t="s">
        <v>47</v>
      </c>
      <c r="E83" s="148">
        <v>0</v>
      </c>
      <c r="F83" s="148">
        <v>0</v>
      </c>
      <c r="G83" s="182" t="str">
        <f t="shared" si="1"/>
        <v/>
      </c>
    </row>
    <row r="84" spans="2:7">
      <c r="B84" s="176">
        <v>78</v>
      </c>
      <c r="C84" s="179" t="s">
        <v>48</v>
      </c>
      <c r="D84" s="180" t="s">
        <v>49</v>
      </c>
      <c r="E84" s="148">
        <v>0</v>
      </c>
      <c r="F84" s="148">
        <v>0</v>
      </c>
      <c r="G84" s="182" t="str">
        <f t="shared" si="1"/>
        <v/>
      </c>
    </row>
    <row r="85" spans="2:7">
      <c r="B85" s="176">
        <v>79</v>
      </c>
      <c r="C85" s="179" t="s">
        <v>50</v>
      </c>
      <c r="D85" s="180" t="s">
        <v>51</v>
      </c>
      <c r="E85" s="148">
        <v>0</v>
      </c>
      <c r="F85" s="148">
        <v>0</v>
      </c>
      <c r="G85" s="182" t="str">
        <f t="shared" si="1"/>
        <v/>
      </c>
    </row>
    <row r="86" spans="2:7">
      <c r="B86" s="176">
        <v>80</v>
      </c>
      <c r="C86" s="179" t="s">
        <v>52</v>
      </c>
      <c r="D86" s="180" t="s">
        <v>53</v>
      </c>
      <c r="E86" s="148">
        <f>'17'!J38+'31'!J36</f>
        <v>6479130</v>
      </c>
      <c r="F86" s="148">
        <v>6530641</v>
      </c>
      <c r="G86" s="182">
        <f t="shared" si="1"/>
        <v>100.79502957958861</v>
      </c>
    </row>
    <row r="87" spans="2:7">
      <c r="B87" s="70"/>
      <c r="C87" s="70"/>
      <c r="D87" s="70"/>
      <c r="E87" s="70"/>
      <c r="F87" s="70"/>
      <c r="G87" s="70"/>
    </row>
    <row r="88" spans="2:7">
      <c r="B88" s="70"/>
      <c r="C88" s="70"/>
      <c r="D88" s="70"/>
      <c r="E88" s="70"/>
      <c r="F88" s="70"/>
      <c r="G88" s="70"/>
    </row>
    <row r="89" spans="2:7">
      <c r="B89" s="70"/>
      <c r="C89" s="70"/>
      <c r="D89" s="70"/>
      <c r="E89" s="70"/>
      <c r="F89" s="70"/>
      <c r="G89" s="70"/>
    </row>
    <row r="90" spans="2:7">
      <c r="B90" s="70"/>
      <c r="C90" s="70"/>
      <c r="D90" s="70"/>
      <c r="E90" s="70"/>
      <c r="F90" s="70"/>
      <c r="G90" s="70"/>
    </row>
    <row r="91" spans="2:7">
      <c r="B91" s="70"/>
      <c r="C91" s="70"/>
      <c r="D91" s="70"/>
      <c r="E91" s="70"/>
      <c r="F91" s="70"/>
      <c r="G91" s="70"/>
    </row>
    <row r="92" spans="2:7">
      <c r="B92" s="70"/>
      <c r="C92" s="70"/>
      <c r="D92" s="70"/>
      <c r="E92" s="70"/>
      <c r="F92" s="70"/>
      <c r="G92" s="70"/>
    </row>
    <row r="93" spans="2:7">
      <c r="B93" s="70"/>
      <c r="C93" s="70"/>
      <c r="D93" s="70"/>
      <c r="E93" s="70"/>
      <c r="F93" s="70"/>
      <c r="G93" s="70"/>
    </row>
    <row r="94" spans="2:7">
      <c r="B94" s="70"/>
      <c r="C94" s="70"/>
      <c r="D94" s="70"/>
      <c r="E94" s="70"/>
      <c r="F94" s="70"/>
      <c r="G94" s="70"/>
    </row>
    <row r="95" spans="2:7">
      <c r="B95" s="70"/>
      <c r="C95" s="70"/>
      <c r="D95" s="70"/>
      <c r="E95" s="70"/>
      <c r="F95" s="70"/>
      <c r="G95" s="70"/>
    </row>
    <row r="96" spans="2:7">
      <c r="B96" s="70"/>
      <c r="C96" s="70"/>
      <c r="D96" s="70"/>
      <c r="E96" s="70"/>
      <c r="F96" s="70"/>
      <c r="G96" s="70"/>
    </row>
    <row r="97" spans="2:7">
      <c r="B97" s="70"/>
      <c r="C97" s="70"/>
      <c r="D97" s="70"/>
      <c r="E97" s="70"/>
      <c r="F97" s="70"/>
      <c r="G97" s="70"/>
    </row>
    <row r="98" spans="2:7">
      <c r="B98" s="70"/>
      <c r="C98" s="70"/>
      <c r="D98" s="70"/>
      <c r="E98" s="70"/>
      <c r="F98" s="70"/>
      <c r="G98" s="70"/>
    </row>
    <row r="99" spans="2:7">
      <c r="B99" s="70"/>
      <c r="C99" s="70"/>
      <c r="D99" s="70"/>
      <c r="E99" s="70"/>
      <c r="F99" s="70"/>
      <c r="G99" s="70"/>
    </row>
    <row r="100" spans="2:7">
      <c r="B100" s="70"/>
      <c r="C100" s="70"/>
      <c r="D100" s="70"/>
      <c r="E100" s="70"/>
      <c r="F100" s="70"/>
      <c r="G100" s="70"/>
    </row>
    <row r="101" spans="2:7">
      <c r="B101" s="70"/>
      <c r="C101" s="70"/>
      <c r="D101" s="70"/>
      <c r="E101" s="70"/>
      <c r="F101" s="70"/>
      <c r="G101" s="70"/>
    </row>
    <row r="102" spans="2:7">
      <c r="B102" s="70"/>
      <c r="C102" s="70"/>
      <c r="D102" s="70"/>
      <c r="E102" s="70"/>
      <c r="F102" s="70"/>
      <c r="G102" s="70"/>
    </row>
    <row r="103" spans="2:7">
      <c r="B103" s="70"/>
      <c r="C103" s="70"/>
      <c r="D103" s="70"/>
      <c r="E103" s="70"/>
      <c r="F103" s="70"/>
      <c r="G103" s="70"/>
    </row>
    <row r="104" spans="2:7">
      <c r="B104" s="70"/>
      <c r="C104" s="70"/>
      <c r="D104" s="70"/>
      <c r="E104" s="70"/>
      <c r="F104" s="70"/>
      <c r="G104" s="70"/>
    </row>
    <row r="105" spans="2:7">
      <c r="B105" s="70"/>
      <c r="C105" s="70"/>
      <c r="D105" s="70"/>
      <c r="E105" s="70"/>
      <c r="F105" s="70"/>
      <c r="G105" s="70"/>
    </row>
    <row r="106" spans="2:7">
      <c r="B106" s="70"/>
      <c r="C106" s="70"/>
      <c r="D106" s="70"/>
      <c r="E106" s="70"/>
      <c r="F106" s="70"/>
      <c r="G106" s="70"/>
    </row>
    <row r="107" spans="2:7">
      <c r="B107" s="70"/>
      <c r="C107" s="70"/>
      <c r="D107" s="70"/>
      <c r="E107" s="70"/>
      <c r="F107" s="70"/>
      <c r="G107" s="70"/>
    </row>
    <row r="108" spans="2:7">
      <c r="B108" s="70"/>
      <c r="C108" s="70"/>
      <c r="D108" s="70"/>
      <c r="E108" s="70"/>
      <c r="F108" s="70"/>
      <c r="G108" s="70"/>
    </row>
    <row r="109" spans="2:7">
      <c r="B109" s="70"/>
      <c r="C109" s="70"/>
      <c r="D109" s="70"/>
      <c r="E109" s="70"/>
      <c r="F109" s="70"/>
      <c r="G109" s="70"/>
    </row>
    <row r="110" spans="2:7">
      <c r="B110" s="70"/>
      <c r="C110" s="70"/>
      <c r="D110" s="70"/>
      <c r="E110" s="70"/>
      <c r="F110" s="70"/>
      <c r="G110" s="70"/>
    </row>
    <row r="111" spans="2:7">
      <c r="B111" s="70"/>
      <c r="C111" s="70"/>
      <c r="D111" s="70"/>
      <c r="E111" s="70"/>
      <c r="F111" s="70"/>
      <c r="G111" s="70"/>
    </row>
    <row r="112" spans="2:7">
      <c r="B112" s="70"/>
      <c r="C112" s="70"/>
      <c r="D112" s="70"/>
      <c r="E112" s="70"/>
      <c r="F112" s="70"/>
      <c r="G112" s="70"/>
    </row>
    <row r="113" spans="2:7">
      <c r="B113" s="70"/>
      <c r="C113" s="70"/>
      <c r="D113" s="70"/>
      <c r="E113" s="70"/>
      <c r="F113" s="70"/>
      <c r="G113" s="70"/>
    </row>
    <row r="114" spans="2:7">
      <c r="B114" s="70"/>
      <c r="C114" s="70"/>
      <c r="D114" s="70"/>
      <c r="E114" s="70"/>
      <c r="F114" s="70"/>
      <c r="G114" s="70"/>
    </row>
    <row r="115" spans="2:7">
      <c r="B115" s="70"/>
      <c r="C115" s="70"/>
      <c r="D115" s="70"/>
      <c r="E115" s="70"/>
      <c r="F115" s="70"/>
      <c r="G115" s="70"/>
    </row>
    <row r="116" spans="2:7">
      <c r="B116" s="70"/>
      <c r="C116" s="70"/>
      <c r="D116" s="70"/>
      <c r="E116" s="70"/>
      <c r="F116" s="70"/>
      <c r="G116" s="70"/>
    </row>
    <row r="117" spans="2:7">
      <c r="B117" s="70"/>
      <c r="C117" s="70"/>
      <c r="D117" s="70"/>
      <c r="E117" s="70"/>
      <c r="F117" s="70"/>
      <c r="G117" s="70"/>
    </row>
    <row r="118" spans="2:7">
      <c r="B118" s="70"/>
      <c r="C118" s="70"/>
      <c r="D118" s="70"/>
      <c r="E118" s="70"/>
      <c r="F118" s="70"/>
      <c r="G118" s="70"/>
    </row>
    <row r="119" spans="2:7">
      <c r="B119" s="70"/>
      <c r="C119" s="70"/>
      <c r="D119" s="70"/>
      <c r="E119" s="70"/>
      <c r="F119" s="70"/>
      <c r="G119" s="70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F45"/>
  <sheetViews>
    <sheetView zoomScaleNormal="100" workbookViewId="0">
      <selection activeCell="K7" sqref="K7"/>
    </sheetView>
  </sheetViews>
  <sheetFormatPr defaultRowHeight="12.75"/>
  <cols>
    <col min="1" max="1" width="15.7109375" style="39" customWidth="1"/>
    <col min="2" max="2" width="82.28515625" customWidth="1"/>
    <col min="3" max="6" width="18.7109375" customWidth="1"/>
  </cols>
  <sheetData>
    <row r="2" spans="1:6" ht="15.75">
      <c r="A2" s="878" t="s">
        <v>874</v>
      </c>
      <c r="B2" s="943"/>
      <c r="C2" s="943"/>
      <c r="D2" s="943"/>
      <c r="E2" s="943"/>
      <c r="F2" s="943"/>
    </row>
    <row r="4" spans="1:6" s="45" customFormat="1" ht="12.75" customHeight="1">
      <c r="A4" s="949" t="s">
        <v>329</v>
      </c>
      <c r="B4" s="949" t="s">
        <v>337</v>
      </c>
      <c r="C4" s="949" t="s">
        <v>868</v>
      </c>
      <c r="D4" s="946" t="s">
        <v>344</v>
      </c>
      <c r="E4" s="947"/>
      <c r="F4" s="948"/>
    </row>
    <row r="5" spans="1:6" s="45" customFormat="1" ht="39" customHeight="1">
      <c r="A5" s="950"/>
      <c r="B5" s="950"/>
      <c r="C5" s="950"/>
      <c r="D5" s="160" t="s">
        <v>343</v>
      </c>
      <c r="E5" s="160" t="s">
        <v>456</v>
      </c>
      <c r="F5" s="160" t="s">
        <v>457</v>
      </c>
    </row>
    <row r="6" spans="1:6" s="45" customFormat="1">
      <c r="A6" s="160">
        <v>1</v>
      </c>
      <c r="B6" s="161">
        <v>2</v>
      </c>
      <c r="C6" s="160" t="s">
        <v>345</v>
      </c>
      <c r="D6" s="160">
        <v>4</v>
      </c>
      <c r="E6" s="160">
        <v>5</v>
      </c>
      <c r="F6" s="160">
        <v>6</v>
      </c>
    </row>
    <row r="7" spans="1:6" ht="15.95" customHeight="1">
      <c r="A7" s="154">
        <v>10010001</v>
      </c>
      <c r="B7" s="23" t="s">
        <v>199</v>
      </c>
      <c r="C7" s="152">
        <f>D7+E7+F7</f>
        <v>2982</v>
      </c>
      <c r="D7" s="152">
        <f>'1'!N28-E7-F7</f>
        <v>2982</v>
      </c>
      <c r="E7" s="152">
        <v>0</v>
      </c>
      <c r="F7" s="152">
        <v>0</v>
      </c>
    </row>
    <row r="8" spans="1:6" ht="15.95" customHeight="1">
      <c r="A8" s="154">
        <v>11010001</v>
      </c>
      <c r="B8" s="23" t="s">
        <v>200</v>
      </c>
      <c r="C8" s="152">
        <f t="shared" ref="C8:C43" si="0">D8+E8+F8</f>
        <v>75345</v>
      </c>
      <c r="D8" s="152">
        <f>'3'!N49-E8-F8</f>
        <v>75345</v>
      </c>
      <c r="E8" s="152">
        <v>0</v>
      </c>
      <c r="F8" s="152">
        <v>0</v>
      </c>
    </row>
    <row r="9" spans="1:6" ht="15.95" customHeight="1">
      <c r="A9" s="154">
        <v>11010002</v>
      </c>
      <c r="B9" s="526" t="s">
        <v>747</v>
      </c>
      <c r="C9" s="152">
        <f t="shared" si="0"/>
        <v>0</v>
      </c>
      <c r="D9" s="152">
        <f>'4 (S)'!N31-E9-F9</f>
        <v>0</v>
      </c>
      <c r="E9" s="152">
        <v>0</v>
      </c>
      <c r="F9" s="152">
        <v>0</v>
      </c>
    </row>
    <row r="10" spans="1:6" ht="15.95" customHeight="1">
      <c r="A10" s="154">
        <v>11010003</v>
      </c>
      <c r="B10" s="23" t="s">
        <v>702</v>
      </c>
      <c r="C10" s="152">
        <f t="shared" si="0"/>
        <v>0</v>
      </c>
      <c r="D10" s="152">
        <f>'5'!N28-E10-F10</f>
        <v>0</v>
      </c>
      <c r="E10" s="152">
        <v>0</v>
      </c>
      <c r="F10" s="152">
        <v>0</v>
      </c>
    </row>
    <row r="11" spans="1:6" ht="15.95" customHeight="1">
      <c r="A11" s="154">
        <v>11010004</v>
      </c>
      <c r="B11" s="23" t="s">
        <v>700</v>
      </c>
      <c r="C11" s="152">
        <f t="shared" si="0"/>
        <v>993</v>
      </c>
      <c r="D11" s="152">
        <f>'6'!N28-E11-F11</f>
        <v>993</v>
      </c>
      <c r="E11" s="152">
        <v>0</v>
      </c>
      <c r="F11" s="152">
        <v>0</v>
      </c>
    </row>
    <row r="12" spans="1:6" ht="15.95" customHeight="1">
      <c r="A12" s="154">
        <v>11010005</v>
      </c>
      <c r="B12" s="259" t="s">
        <v>509</v>
      </c>
      <c r="C12" s="152">
        <f t="shared" si="0"/>
        <v>3976</v>
      </c>
      <c r="D12" s="152">
        <f>'7'!N28-E12-F12</f>
        <v>3976</v>
      </c>
      <c r="E12" s="152">
        <v>0</v>
      </c>
      <c r="F12" s="152">
        <v>0</v>
      </c>
    </row>
    <row r="13" spans="1:6" s="643" customFormat="1" ht="15.95" customHeight="1">
      <c r="A13" s="154">
        <v>11010006</v>
      </c>
      <c r="B13" s="526" t="s">
        <v>724</v>
      </c>
      <c r="C13" s="152">
        <f t="shared" ref="C13" si="1">D13+E13+F13</f>
        <v>1956</v>
      </c>
      <c r="D13" s="152">
        <f>'4 (N)'!N31-E13-F13</f>
        <v>1956</v>
      </c>
      <c r="E13" s="152">
        <v>0</v>
      </c>
      <c r="F13" s="152">
        <v>0</v>
      </c>
    </row>
    <row r="14" spans="1:6" ht="15.95" customHeight="1">
      <c r="A14" s="154">
        <v>12010001</v>
      </c>
      <c r="B14" s="23" t="s">
        <v>698</v>
      </c>
      <c r="C14" s="152">
        <f t="shared" si="0"/>
        <v>39998</v>
      </c>
      <c r="D14" s="152">
        <f>'8'!N28-E14-F14</f>
        <v>39998</v>
      </c>
      <c r="E14" s="152">
        <v>0</v>
      </c>
      <c r="F14" s="152">
        <v>0</v>
      </c>
    </row>
    <row r="15" spans="1:6" ht="15.95" customHeight="1">
      <c r="A15" s="154">
        <v>13010001</v>
      </c>
      <c r="B15" s="526" t="s">
        <v>201</v>
      </c>
      <c r="C15" s="152">
        <f t="shared" si="0"/>
        <v>74898</v>
      </c>
      <c r="D15" s="152">
        <f>'9'!N28-E15-F15</f>
        <v>74898</v>
      </c>
      <c r="E15" s="152">
        <v>0</v>
      </c>
      <c r="F15" s="152">
        <v>0</v>
      </c>
    </row>
    <row r="16" spans="1:6" ht="15.95" customHeight="1">
      <c r="A16" s="154">
        <v>14010001</v>
      </c>
      <c r="B16" s="526" t="s">
        <v>704</v>
      </c>
      <c r="C16" s="152">
        <f t="shared" si="0"/>
        <v>4906</v>
      </c>
      <c r="D16" s="152">
        <f>'10'!N30-E16-F16</f>
        <v>4906</v>
      </c>
      <c r="E16" s="152">
        <v>0</v>
      </c>
      <c r="F16" s="152">
        <v>0</v>
      </c>
    </row>
    <row r="17" spans="1:6" ht="15.95" customHeight="1">
      <c r="A17" s="154">
        <v>14020003</v>
      </c>
      <c r="B17" s="526" t="s">
        <v>732</v>
      </c>
      <c r="C17" s="152">
        <f t="shared" si="0"/>
        <v>4070</v>
      </c>
      <c r="D17" s="152">
        <f>'11'!N29-E17-F17</f>
        <v>4070</v>
      </c>
      <c r="E17" s="152">
        <v>0</v>
      </c>
      <c r="F17" s="152">
        <v>0</v>
      </c>
    </row>
    <row r="18" spans="1:6" ht="15.95" customHeight="1">
      <c r="A18" s="154">
        <v>14050001</v>
      </c>
      <c r="B18" s="526" t="s">
        <v>728</v>
      </c>
      <c r="C18" s="152">
        <f t="shared" si="0"/>
        <v>0</v>
      </c>
      <c r="D18" s="152">
        <f>'12'!N28-E18-F18</f>
        <v>0</v>
      </c>
      <c r="E18" s="152">
        <v>0</v>
      </c>
      <c r="F18" s="152">
        <v>0</v>
      </c>
    </row>
    <row r="19" spans="1:6" ht="15.95" customHeight="1">
      <c r="A19" s="154">
        <v>14050002</v>
      </c>
      <c r="B19" s="526" t="s">
        <v>729</v>
      </c>
      <c r="C19" s="152">
        <f t="shared" si="0"/>
        <v>0</v>
      </c>
      <c r="D19" s="152">
        <f>'13'!N28-E19-F19</f>
        <v>0</v>
      </c>
      <c r="E19" s="152">
        <v>0</v>
      </c>
      <c r="F19" s="152">
        <v>0</v>
      </c>
    </row>
    <row r="20" spans="1:6" ht="15.95" customHeight="1">
      <c r="A20" s="154">
        <v>14060001</v>
      </c>
      <c r="B20" s="526" t="s">
        <v>730</v>
      </c>
      <c r="C20" s="152">
        <f t="shared" si="0"/>
        <v>0</v>
      </c>
      <c r="D20" s="152">
        <f>'14'!N28-E20-F20</f>
        <v>0</v>
      </c>
      <c r="E20" s="152">
        <v>0</v>
      </c>
      <c r="F20" s="152">
        <v>0</v>
      </c>
    </row>
    <row r="21" spans="1:6" ht="15.95" customHeight="1">
      <c r="A21" s="154">
        <v>15010001</v>
      </c>
      <c r="B21" s="526" t="s">
        <v>705</v>
      </c>
      <c r="C21" s="152">
        <f t="shared" si="0"/>
        <v>1898</v>
      </c>
      <c r="D21" s="152">
        <f>'15'!N36-E21-F21</f>
        <v>1898</v>
      </c>
      <c r="E21" s="152">
        <v>0</v>
      </c>
      <c r="F21" s="152">
        <v>0</v>
      </c>
    </row>
    <row r="22" spans="1:6" ht="15.95" customHeight="1">
      <c r="A22" s="154">
        <v>16010001</v>
      </c>
      <c r="B22" s="526" t="s">
        <v>706</v>
      </c>
      <c r="C22" s="152">
        <f t="shared" si="0"/>
        <v>799</v>
      </c>
      <c r="D22" s="152">
        <f>'16'!N43-E22-F22</f>
        <v>799</v>
      </c>
      <c r="E22" s="152">
        <v>0</v>
      </c>
      <c r="F22" s="152">
        <v>0</v>
      </c>
    </row>
    <row r="23" spans="1:6" ht="15.95" customHeight="1">
      <c r="A23" s="154">
        <v>17010001</v>
      </c>
      <c r="B23" s="526" t="s">
        <v>707</v>
      </c>
      <c r="C23" s="152">
        <f t="shared" si="0"/>
        <v>1456</v>
      </c>
      <c r="D23" s="152">
        <f>'17'!N33-E23-F23</f>
        <v>1456</v>
      </c>
      <c r="E23" s="152">
        <v>0</v>
      </c>
      <c r="F23" s="152">
        <v>0</v>
      </c>
    </row>
    <row r="24" spans="1:6" ht="15.95" customHeight="1">
      <c r="A24" s="154">
        <v>18010001</v>
      </c>
      <c r="B24" s="526" t="s">
        <v>708</v>
      </c>
      <c r="C24" s="152">
        <f t="shared" si="0"/>
        <v>1035459</v>
      </c>
      <c r="D24" s="152">
        <f>'18'!N33-E24-F24</f>
        <v>6751</v>
      </c>
      <c r="E24" s="152">
        <v>1028708</v>
      </c>
      <c r="F24" s="152">
        <v>0</v>
      </c>
    </row>
    <row r="25" spans="1:6" ht="15.95" customHeight="1">
      <c r="A25" s="154">
        <v>19010001</v>
      </c>
      <c r="B25" s="526" t="s">
        <v>709</v>
      </c>
      <c r="C25" s="152">
        <f t="shared" si="0"/>
        <v>34681</v>
      </c>
      <c r="D25" s="152">
        <f>'19'!N38-E25-F25</f>
        <v>4958</v>
      </c>
      <c r="E25" s="152">
        <v>29723</v>
      </c>
      <c r="F25" s="152">
        <v>0</v>
      </c>
    </row>
    <row r="26" spans="1:6" ht="15.95" customHeight="1">
      <c r="A26" s="154">
        <v>20010001</v>
      </c>
      <c r="B26" s="526" t="s">
        <v>710</v>
      </c>
      <c r="C26" s="152">
        <f t="shared" si="0"/>
        <v>503715</v>
      </c>
      <c r="D26" s="152">
        <f>'20'!N45-E26-F26</f>
        <v>152509</v>
      </c>
      <c r="E26" s="152">
        <v>0</v>
      </c>
      <c r="F26" s="152">
        <v>351206</v>
      </c>
    </row>
    <row r="27" spans="1:6" ht="15.95" customHeight="1">
      <c r="A27" s="154">
        <v>20020002</v>
      </c>
      <c r="B27" s="526" t="s">
        <v>759</v>
      </c>
      <c r="C27" s="152">
        <f t="shared" si="0"/>
        <v>4912</v>
      </c>
      <c r="D27" s="152">
        <f>'21'!N28-E27-F27</f>
        <v>4912</v>
      </c>
      <c r="E27" s="152">
        <v>0</v>
      </c>
      <c r="F27" s="152">
        <v>0</v>
      </c>
    </row>
    <row r="28" spans="1:6" ht="15.95" customHeight="1">
      <c r="A28" s="154">
        <v>20020003</v>
      </c>
      <c r="B28" s="526" t="s">
        <v>760</v>
      </c>
      <c r="C28" s="152">
        <f t="shared" si="0"/>
        <v>20871</v>
      </c>
      <c r="D28" s="152">
        <f>'22'!N28-E28-F28</f>
        <v>8128</v>
      </c>
      <c r="E28" s="152">
        <v>0</v>
      </c>
      <c r="F28" s="152">
        <v>12743</v>
      </c>
    </row>
    <row r="29" spans="1:6" ht="15.95" customHeight="1">
      <c r="A29" s="154">
        <v>20020004</v>
      </c>
      <c r="B29" s="526" t="s">
        <v>761</v>
      </c>
      <c r="C29" s="152">
        <f t="shared" si="0"/>
        <v>4953</v>
      </c>
      <c r="D29" s="152">
        <f>'23'!N28-E29-F29</f>
        <v>4953</v>
      </c>
      <c r="E29" s="152">
        <v>0</v>
      </c>
      <c r="F29" s="289">
        <v>0</v>
      </c>
    </row>
    <row r="30" spans="1:6" ht="15.95" customHeight="1">
      <c r="A30" s="154">
        <v>20030001</v>
      </c>
      <c r="B30" s="526" t="s">
        <v>738</v>
      </c>
      <c r="C30" s="152">
        <f t="shared" si="0"/>
        <v>4899</v>
      </c>
      <c r="D30" s="152">
        <f>'24'!N28-E30-F30</f>
        <v>4899</v>
      </c>
      <c r="E30" s="152">
        <v>0</v>
      </c>
      <c r="F30" s="152">
        <v>0</v>
      </c>
    </row>
    <row r="31" spans="1:6" ht="15.95" customHeight="1">
      <c r="A31" s="154">
        <v>20030002</v>
      </c>
      <c r="B31" s="526" t="s">
        <v>762</v>
      </c>
      <c r="C31" s="152">
        <f t="shared" si="0"/>
        <v>4888</v>
      </c>
      <c r="D31" s="152">
        <f>'25'!N28-E31-F31</f>
        <v>4888</v>
      </c>
      <c r="E31" s="152">
        <v>0</v>
      </c>
      <c r="F31" s="152">
        <v>0</v>
      </c>
    </row>
    <row r="32" spans="1:6" ht="15.95" customHeight="1">
      <c r="A32" s="154">
        <v>20030003</v>
      </c>
      <c r="B32" s="526" t="s">
        <v>763</v>
      </c>
      <c r="C32" s="152">
        <f t="shared" si="0"/>
        <v>3721</v>
      </c>
      <c r="D32" s="152">
        <f>'26'!N28-E32-F32</f>
        <v>3721</v>
      </c>
      <c r="E32" s="152">
        <v>0</v>
      </c>
      <c r="F32" s="152">
        <v>0</v>
      </c>
    </row>
    <row r="33" spans="1:6" ht="15.95" customHeight="1">
      <c r="A33" s="154">
        <v>20030004</v>
      </c>
      <c r="B33" s="526" t="s">
        <v>764</v>
      </c>
      <c r="C33" s="152">
        <f t="shared" si="0"/>
        <v>14168</v>
      </c>
      <c r="D33" s="152">
        <f>'27'!N28-E33-F33</f>
        <v>14168</v>
      </c>
      <c r="E33" s="152">
        <v>0</v>
      </c>
      <c r="F33" s="152">
        <v>0</v>
      </c>
    </row>
    <row r="34" spans="1:6" ht="15.95" customHeight="1">
      <c r="A34" s="154">
        <v>20030005</v>
      </c>
      <c r="B34" s="526" t="s">
        <v>769</v>
      </c>
      <c r="C34" s="152">
        <f t="shared" si="0"/>
        <v>22279</v>
      </c>
      <c r="D34" s="152">
        <f>'28'!N28-E34-F34</f>
        <v>17742</v>
      </c>
      <c r="E34" s="152">
        <v>0</v>
      </c>
      <c r="F34" s="152">
        <v>4537</v>
      </c>
    </row>
    <row r="35" spans="1:6" ht="15.95" customHeight="1">
      <c r="A35" s="154">
        <v>20030006</v>
      </c>
      <c r="B35" s="526" t="s">
        <v>766</v>
      </c>
      <c r="C35" s="152">
        <f t="shared" si="0"/>
        <v>1950</v>
      </c>
      <c r="D35" s="152">
        <f>'29'!N28-E35-F35</f>
        <v>1950</v>
      </c>
      <c r="E35" s="152">
        <v>0</v>
      </c>
      <c r="F35" s="152">
        <v>0</v>
      </c>
    </row>
    <row r="36" spans="1:6" ht="15.95" customHeight="1">
      <c r="A36" s="154">
        <v>20030007</v>
      </c>
      <c r="B36" s="526" t="s">
        <v>767</v>
      </c>
      <c r="C36" s="152">
        <f t="shared" si="0"/>
        <v>2958</v>
      </c>
      <c r="D36" s="152">
        <f>'30'!N28-E36-F36</f>
        <v>2958</v>
      </c>
      <c r="E36" s="152">
        <v>0</v>
      </c>
      <c r="F36" s="152">
        <v>0</v>
      </c>
    </row>
    <row r="37" spans="1:6" ht="15.95" customHeight="1">
      <c r="A37" s="154">
        <v>21010001</v>
      </c>
      <c r="B37" s="526" t="s">
        <v>711</v>
      </c>
      <c r="C37" s="152">
        <f t="shared" si="0"/>
        <v>2818</v>
      </c>
      <c r="D37" s="152">
        <f>'31'!N31-E37-F37</f>
        <v>2818</v>
      </c>
      <c r="E37" s="152">
        <v>0</v>
      </c>
      <c r="F37" s="152">
        <v>0</v>
      </c>
    </row>
    <row r="38" spans="1:6" ht="15.95" customHeight="1">
      <c r="A38" s="154">
        <v>22010001</v>
      </c>
      <c r="B38" s="526" t="s">
        <v>725</v>
      </c>
      <c r="C38" s="152">
        <f t="shared" si="0"/>
        <v>2500</v>
      </c>
      <c r="D38" s="152">
        <f>'32'!N28-E38-F38</f>
        <v>2500</v>
      </c>
      <c r="E38" s="152">
        <v>0</v>
      </c>
      <c r="F38" s="152">
        <v>0</v>
      </c>
    </row>
    <row r="39" spans="1:6" ht="15.95" customHeight="1">
      <c r="A39" s="154">
        <v>23010001</v>
      </c>
      <c r="B39" s="526" t="s">
        <v>723</v>
      </c>
      <c r="C39" s="152">
        <f t="shared" si="0"/>
        <v>4379</v>
      </c>
      <c r="D39" s="152">
        <f>'33'!N32-E39-F39</f>
        <v>0</v>
      </c>
      <c r="E39" s="152">
        <v>4379</v>
      </c>
      <c r="F39" s="152">
        <v>0</v>
      </c>
    </row>
    <row r="40" spans="1:6" ht="15.95" customHeight="1">
      <c r="A40" s="154">
        <v>24010001</v>
      </c>
      <c r="B40" s="23" t="s">
        <v>203</v>
      </c>
      <c r="C40" s="152">
        <f t="shared" si="0"/>
        <v>4704</v>
      </c>
      <c r="D40" s="152">
        <f>'34'!N28-E40-F40</f>
        <v>4704</v>
      </c>
      <c r="E40" s="152">
        <v>0</v>
      </c>
      <c r="F40" s="152">
        <v>0</v>
      </c>
    </row>
    <row r="41" spans="1:6" ht="15.95" customHeight="1">
      <c r="A41" s="154">
        <v>26010001</v>
      </c>
      <c r="B41" s="23" t="s">
        <v>204</v>
      </c>
      <c r="C41" s="152">
        <f t="shared" si="0"/>
        <v>0</v>
      </c>
      <c r="D41" s="152">
        <f>'35'!N28-E41-F41</f>
        <v>0</v>
      </c>
      <c r="E41" s="152">
        <v>0</v>
      </c>
      <c r="F41" s="152">
        <v>0</v>
      </c>
    </row>
    <row r="42" spans="1:6" ht="15.95" customHeight="1">
      <c r="A42" s="154">
        <v>27010001</v>
      </c>
      <c r="B42" s="526" t="s">
        <v>731</v>
      </c>
      <c r="C42" s="152">
        <f t="shared" si="0"/>
        <v>245</v>
      </c>
      <c r="D42" s="152">
        <f>'36'!N28-E42-F42</f>
        <v>245</v>
      </c>
      <c r="E42" s="152">
        <v>0</v>
      </c>
      <c r="F42" s="152">
        <v>0</v>
      </c>
    </row>
    <row r="43" spans="1:6" ht="15.95" customHeight="1">
      <c r="A43" s="154">
        <v>28010001</v>
      </c>
      <c r="B43" s="23" t="s">
        <v>205</v>
      </c>
      <c r="C43" s="152">
        <f t="shared" si="0"/>
        <v>1993</v>
      </c>
      <c r="D43" s="152">
        <f>'37'!N28-E43-F43</f>
        <v>1993</v>
      </c>
      <c r="E43" s="152">
        <v>0</v>
      </c>
      <c r="F43" s="152">
        <v>0</v>
      </c>
    </row>
    <row r="44" spans="1:6" s="45" customFormat="1" ht="15.95" customHeight="1">
      <c r="A44" s="87"/>
      <c r="B44" s="158" t="s">
        <v>341</v>
      </c>
      <c r="C44" s="159">
        <f>SUM(C7:C43)</f>
        <v>1889370</v>
      </c>
      <c r="D44" s="159">
        <f>SUM(D7:D43)</f>
        <v>458074</v>
      </c>
      <c r="E44" s="159">
        <f>SUM(E7:E43)</f>
        <v>1062810</v>
      </c>
      <c r="F44" s="159">
        <f>SUM(F7:F43)</f>
        <v>368486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C15" sqref="C15"/>
    </sheetView>
  </sheetViews>
  <sheetFormatPr defaultRowHeight="15" customHeight="1"/>
  <cols>
    <col min="1" max="1" width="9.140625" style="671"/>
    <col min="2" max="2" width="46.7109375" style="671" customWidth="1"/>
    <col min="3" max="3" width="18" style="671" customWidth="1"/>
    <col min="4" max="4" width="12.42578125" style="671" customWidth="1"/>
    <col min="5" max="6" width="9.140625" style="671"/>
    <col min="7" max="7" width="15.7109375" style="671" customWidth="1"/>
    <col min="8" max="8" width="9.28515625" style="671" customWidth="1"/>
    <col min="9" max="9" width="8.7109375" style="671" customWidth="1"/>
    <col min="10" max="16384" width="9.140625" style="671"/>
  </cols>
  <sheetData>
    <row r="1" spans="1:8" ht="15" customHeight="1">
      <c r="A1" s="38"/>
      <c r="C1" s="38"/>
    </row>
    <row r="2" spans="1:8" ht="15" customHeight="1">
      <c r="A2" s="38"/>
      <c r="C2" s="215"/>
    </row>
    <row r="3" spans="1:8" ht="15.75" customHeight="1">
      <c r="A3" s="956" t="s">
        <v>716</v>
      </c>
      <c r="B3" s="957"/>
      <c r="C3" s="957"/>
      <c r="D3" s="957"/>
      <c r="E3" s="957"/>
      <c r="F3" s="957"/>
      <c r="G3" s="957"/>
      <c r="H3" s="957"/>
    </row>
    <row r="4" spans="1:8" ht="27" customHeight="1">
      <c r="A4" s="673"/>
      <c r="B4" s="677"/>
      <c r="C4" s="677"/>
      <c r="D4" s="670"/>
      <c r="E4" s="670"/>
      <c r="F4" s="670"/>
      <c r="G4" s="670"/>
    </row>
    <row r="5" spans="1:8" ht="15" customHeight="1">
      <c r="G5" s="45"/>
      <c r="H5" s="45"/>
    </row>
    <row r="6" spans="1:8" ht="15" customHeight="1">
      <c r="A6" s="38"/>
      <c r="C6" s="38"/>
    </row>
    <row r="7" spans="1:8" ht="15" customHeight="1">
      <c r="A7" s="38"/>
      <c r="C7" s="38"/>
      <c r="E7" s="214"/>
    </row>
    <row r="8" spans="1:8" ht="15" customHeight="1">
      <c r="A8" s="871" t="s">
        <v>916</v>
      </c>
      <c r="B8" s="954"/>
      <c r="C8" s="954"/>
      <c r="D8" s="955"/>
      <c r="E8" s="955"/>
      <c r="F8" s="955"/>
      <c r="G8" s="955"/>
      <c r="H8" s="844"/>
    </row>
    <row r="9" spans="1:8" ht="12" customHeight="1">
      <c r="A9" s="954"/>
      <c r="B9" s="954"/>
      <c r="C9" s="954"/>
      <c r="D9" s="955"/>
      <c r="E9" s="955"/>
      <c r="F9" s="955"/>
      <c r="G9" s="955"/>
      <c r="H9" s="844"/>
    </row>
    <row r="21" spans="3:8" ht="15" customHeight="1">
      <c r="G21" s="951"/>
      <c r="H21" s="952"/>
    </row>
    <row r="22" spans="3:8" ht="15" customHeight="1">
      <c r="G22" s="951"/>
      <c r="H22" s="952"/>
    </row>
    <row r="23" spans="3:8" ht="15" customHeight="1">
      <c r="G23" s="953"/>
      <c r="H23" s="952"/>
    </row>
    <row r="24" spans="3:8" ht="15" customHeight="1">
      <c r="G24" s="696"/>
      <c r="H24" s="696"/>
    </row>
    <row r="25" spans="3:8" ht="15" customHeight="1">
      <c r="C25" s="675"/>
    </row>
    <row r="28" spans="3:8" ht="15" customHeight="1">
      <c r="C28" s="675"/>
    </row>
    <row r="38" ht="12.75"/>
  </sheetData>
  <mergeCells count="5">
    <mergeCell ref="G21:H21"/>
    <mergeCell ref="G22:H22"/>
    <mergeCell ref="G23:H23"/>
    <mergeCell ref="A8:H9"/>
    <mergeCell ref="A3:H3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P251"/>
  <sheetViews>
    <sheetView topLeftCell="B223" zoomScaleNormal="100" workbookViewId="0">
      <selection activeCell="H245" sqref="H245"/>
    </sheetView>
  </sheetViews>
  <sheetFormatPr defaultRowHeight="14.25"/>
  <cols>
    <col min="1" max="1" width="0.42578125" hidden="1" customWidth="1"/>
    <col min="2" max="2" width="13.28515625" style="39" customWidth="1"/>
    <col min="3" max="3" width="63.140625" customWidth="1"/>
    <col min="4" max="5" width="15.7109375" customWidth="1"/>
    <col min="6" max="6" width="15.7109375" style="671" customWidth="1"/>
    <col min="7" max="7" width="19" style="445" customWidth="1"/>
    <col min="8" max="8" width="9" customWidth="1"/>
    <col min="9" max="9" width="9" style="669" customWidth="1"/>
    <col min="10" max="10" width="11" style="185" customWidth="1"/>
    <col min="11" max="11" width="17.28515625" style="185" customWidth="1"/>
    <col min="12" max="12" width="19.85546875" style="185" customWidth="1"/>
    <col min="13" max="13" width="16.42578125" style="185" customWidth="1"/>
    <col min="14" max="14" width="16.42578125" bestFit="1" customWidth="1"/>
  </cols>
  <sheetData>
    <row r="2" spans="2:14" ht="18.75" thickBot="1">
      <c r="B2" s="879" t="s">
        <v>75</v>
      </c>
      <c r="C2" s="879"/>
      <c r="D2" s="879"/>
      <c r="E2" s="879"/>
      <c r="F2" s="879"/>
      <c r="G2" s="880"/>
      <c r="H2" s="880"/>
      <c r="I2" s="679"/>
    </row>
    <row r="3" spans="2:14" ht="76.5" customHeight="1">
      <c r="B3" s="57" t="s">
        <v>157</v>
      </c>
      <c r="C3" s="58" t="s">
        <v>79</v>
      </c>
      <c r="D3" s="93" t="s">
        <v>854</v>
      </c>
      <c r="E3" s="93" t="s">
        <v>855</v>
      </c>
      <c r="F3" s="93" t="s">
        <v>869</v>
      </c>
      <c r="G3" s="723" t="s">
        <v>879</v>
      </c>
      <c r="H3" s="681" t="s">
        <v>880</v>
      </c>
      <c r="I3" s="680" t="s">
        <v>881</v>
      </c>
      <c r="J3" s="279"/>
      <c r="K3" s="531"/>
      <c r="L3" s="532"/>
      <c r="M3" s="532"/>
      <c r="N3" s="525"/>
    </row>
    <row r="4" spans="2:14" ht="12.75" customHeight="1">
      <c r="B4" s="149">
        <v>1</v>
      </c>
      <c r="C4" s="150">
        <v>2</v>
      </c>
      <c r="D4" s="150">
        <v>3</v>
      </c>
      <c r="E4" s="150">
        <v>4</v>
      </c>
      <c r="F4" s="150">
        <v>5</v>
      </c>
      <c r="G4" s="446">
        <v>6</v>
      </c>
      <c r="H4" s="682">
        <v>7</v>
      </c>
      <c r="I4" s="184">
        <v>8</v>
      </c>
    </row>
    <row r="5" spans="2:14" s="36" customFormat="1" ht="17.25" customHeight="1">
      <c r="B5" s="216">
        <v>710000</v>
      </c>
      <c r="C5" s="217" t="s">
        <v>156</v>
      </c>
      <c r="D5" s="218">
        <f>D6+D16+D20+D28+D38+D47+D56</f>
        <v>32350710</v>
      </c>
      <c r="E5" s="218">
        <f>E6+E16+E20+E28+E38+E47+E56</f>
        <v>32350710</v>
      </c>
      <c r="F5" s="218">
        <f>F6+F16+F20+F28+F38+F47+F56</f>
        <v>38101415</v>
      </c>
      <c r="G5" s="433">
        <f>G6+G16+G20+G28+G38+G47+G56</f>
        <v>33427465</v>
      </c>
      <c r="H5" s="683">
        <f t="shared" ref="H5:H37" si="0">IF(E5=0,"",G5/E5*100)</f>
        <v>103.32838135546329</v>
      </c>
      <c r="I5" s="205">
        <f>IF(F5=0,"",G5/F5*100)</f>
        <v>87.732870288413181</v>
      </c>
      <c r="J5" s="280"/>
      <c r="K5" s="186"/>
      <c r="L5" s="186"/>
      <c r="M5" s="186"/>
    </row>
    <row r="6" spans="2:14" s="121" customFormat="1" ht="17.100000000000001" customHeight="1">
      <c r="B6" s="219">
        <v>711000</v>
      </c>
      <c r="C6" s="220" t="s">
        <v>161</v>
      </c>
      <c r="D6" s="221">
        <f>D7+D13</f>
        <v>2864060</v>
      </c>
      <c r="E6" s="221">
        <f>E7+E13</f>
        <v>2864060</v>
      </c>
      <c r="F6" s="221">
        <f>F7+F13</f>
        <v>3243744</v>
      </c>
      <c r="G6" s="434">
        <f>G7+G13</f>
        <v>2840439</v>
      </c>
      <c r="H6" s="684">
        <f t="shared" si="0"/>
        <v>99.175261691445016</v>
      </c>
      <c r="I6" s="206">
        <f t="shared" ref="I6:I74" si="1">IF(F6=0,"",G6/F6*100)</f>
        <v>87.566682204267664</v>
      </c>
      <c r="J6" s="281"/>
      <c r="K6" s="187"/>
      <c r="L6" s="188"/>
      <c r="M6" s="188"/>
    </row>
    <row r="7" spans="2:14" s="121" customFormat="1" ht="15" customHeight="1">
      <c r="B7" s="122">
        <v>711100</v>
      </c>
      <c r="C7" s="123" t="s">
        <v>212</v>
      </c>
      <c r="D7" s="119">
        <f>SUM(D8:D12)</f>
        <v>1380</v>
      </c>
      <c r="E7" s="119">
        <f>SUM(E8:E12)</f>
        <v>1380</v>
      </c>
      <c r="F7" s="119">
        <f>SUM(F8:F12)</f>
        <v>2709</v>
      </c>
      <c r="G7" s="435">
        <f>SUM(G8:G12)</f>
        <v>1322</v>
      </c>
      <c r="H7" s="685">
        <f t="shared" si="0"/>
        <v>95.79710144927536</v>
      </c>
      <c r="I7" s="133">
        <f t="shared" si="1"/>
        <v>48.800295311923222</v>
      </c>
      <c r="J7" s="281"/>
      <c r="K7" s="188"/>
      <c r="L7" s="188"/>
      <c r="M7" s="188"/>
    </row>
    <row r="8" spans="2:14" ht="15" customHeight="1">
      <c r="B8" s="118">
        <v>711111</v>
      </c>
      <c r="C8" s="189" t="s">
        <v>213</v>
      </c>
      <c r="D8" s="66">
        <v>920</v>
      </c>
      <c r="E8" s="66">
        <v>920</v>
      </c>
      <c r="F8" s="66">
        <v>2679</v>
      </c>
      <c r="G8" s="436">
        <v>860</v>
      </c>
      <c r="H8" s="686">
        <f t="shared" si="0"/>
        <v>93.478260869565219</v>
      </c>
      <c r="I8" s="125">
        <f t="shared" si="1"/>
        <v>32.101530421799183</v>
      </c>
      <c r="J8" s="281"/>
      <c r="L8" s="238"/>
    </row>
    <row r="9" spans="2:14" s="831" customFormat="1" ht="15" customHeight="1">
      <c r="B9" s="118">
        <v>711112</v>
      </c>
      <c r="C9" s="189" t="s">
        <v>908</v>
      </c>
      <c r="D9" s="66">
        <v>270</v>
      </c>
      <c r="E9" s="66">
        <v>270</v>
      </c>
      <c r="F9" s="66">
        <v>15</v>
      </c>
      <c r="G9" s="436">
        <v>264</v>
      </c>
      <c r="H9" s="686">
        <f t="shared" ref="H9" si="2">IF(E9=0,"",G9/E9*100)</f>
        <v>97.777777777777771</v>
      </c>
      <c r="I9" s="125">
        <f t="shared" ref="I9" si="3">IF(F9=0,"",G9/F9*100)</f>
        <v>1760.0000000000002</v>
      </c>
      <c r="J9" s="281"/>
      <c r="K9" s="185"/>
      <c r="L9" s="238"/>
      <c r="M9" s="185"/>
    </row>
    <row r="10" spans="2:14" ht="15" customHeight="1">
      <c r="B10" s="118">
        <v>711113</v>
      </c>
      <c r="C10" s="189" t="s">
        <v>527</v>
      </c>
      <c r="D10" s="66">
        <v>10</v>
      </c>
      <c r="E10" s="66">
        <v>10</v>
      </c>
      <c r="F10" s="66">
        <v>15</v>
      </c>
      <c r="G10" s="436">
        <v>10</v>
      </c>
      <c r="H10" s="686">
        <f t="shared" si="0"/>
        <v>100</v>
      </c>
      <c r="I10" s="125">
        <f t="shared" si="1"/>
        <v>66.666666666666657</v>
      </c>
      <c r="J10" s="281"/>
      <c r="L10" s="238"/>
      <c r="N10" s="622"/>
    </row>
    <row r="11" spans="2:14" ht="15" customHeight="1">
      <c r="B11" s="118">
        <v>711114</v>
      </c>
      <c r="C11" s="189" t="s">
        <v>444</v>
      </c>
      <c r="D11" s="66">
        <v>0</v>
      </c>
      <c r="E11" s="66">
        <v>0</v>
      </c>
      <c r="F11" s="66">
        <v>0</v>
      </c>
      <c r="G11" s="436">
        <v>0</v>
      </c>
      <c r="H11" s="686" t="str">
        <f t="shared" si="0"/>
        <v/>
      </c>
      <c r="I11" s="125" t="str">
        <f t="shared" si="1"/>
        <v/>
      </c>
      <c r="J11" s="281"/>
      <c r="L11" s="238"/>
      <c r="N11" s="622"/>
    </row>
    <row r="12" spans="2:14" ht="15" customHeight="1">
      <c r="B12" s="118">
        <v>711115</v>
      </c>
      <c r="C12" s="189" t="s">
        <v>214</v>
      </c>
      <c r="D12" s="151">
        <v>180</v>
      </c>
      <c r="E12" s="151">
        <v>180</v>
      </c>
      <c r="F12" s="151">
        <v>0</v>
      </c>
      <c r="G12" s="437">
        <v>188</v>
      </c>
      <c r="H12" s="686">
        <f t="shared" si="0"/>
        <v>104.44444444444446</v>
      </c>
      <c r="I12" s="125" t="str">
        <f t="shared" si="1"/>
        <v/>
      </c>
      <c r="J12" s="281"/>
      <c r="L12" s="238"/>
      <c r="N12" s="622"/>
    </row>
    <row r="13" spans="2:14" s="121" customFormat="1" ht="15" customHeight="1">
      <c r="B13" s="122">
        <v>711200</v>
      </c>
      <c r="C13" s="123" t="s">
        <v>217</v>
      </c>
      <c r="D13" s="119">
        <f>SUM(D14:D15)</f>
        <v>2862680</v>
      </c>
      <c r="E13" s="119">
        <f>SUM(E14:E15)</f>
        <v>2862680</v>
      </c>
      <c r="F13" s="119">
        <f>SUM(F14:F15)</f>
        <v>3241035</v>
      </c>
      <c r="G13" s="435">
        <f>SUM(G14:G15)</f>
        <v>2839117</v>
      </c>
      <c r="H13" s="685">
        <f t="shared" si="0"/>
        <v>99.176890186817943</v>
      </c>
      <c r="I13" s="133">
        <f t="shared" si="1"/>
        <v>87.599084860237554</v>
      </c>
      <c r="J13" s="281"/>
      <c r="K13" s="188"/>
      <c r="L13" s="238"/>
      <c r="M13" s="188"/>
      <c r="N13" s="622"/>
    </row>
    <row r="14" spans="2:14" ht="15" customHeight="1">
      <c r="B14" s="118">
        <v>711211</v>
      </c>
      <c r="C14" s="189" t="s">
        <v>215</v>
      </c>
      <c r="D14" s="151">
        <v>2806920</v>
      </c>
      <c r="E14" s="151">
        <v>2806920</v>
      </c>
      <c r="F14" s="151">
        <v>3167780</v>
      </c>
      <c r="G14" s="437">
        <v>2784723</v>
      </c>
      <c r="H14" s="686">
        <f t="shared" si="0"/>
        <v>99.209204394852719</v>
      </c>
      <c r="I14" s="125">
        <f t="shared" si="1"/>
        <v>87.907714550884222</v>
      </c>
      <c r="J14" s="281"/>
      <c r="L14" s="238"/>
      <c r="N14" s="622"/>
    </row>
    <row r="15" spans="2:14" ht="15" customHeight="1">
      <c r="B15" s="118">
        <v>711212</v>
      </c>
      <c r="C15" s="189" t="s">
        <v>216</v>
      </c>
      <c r="D15" s="151">
        <v>55760</v>
      </c>
      <c r="E15" s="151">
        <v>55760</v>
      </c>
      <c r="F15" s="151">
        <v>73255</v>
      </c>
      <c r="G15" s="437">
        <v>54394</v>
      </c>
      <c r="H15" s="686">
        <f t="shared" si="0"/>
        <v>97.55021520803443</v>
      </c>
      <c r="I15" s="125">
        <f t="shared" si="1"/>
        <v>74.252952016927182</v>
      </c>
      <c r="J15" s="281"/>
      <c r="L15" s="238"/>
      <c r="N15" s="622"/>
    </row>
    <row r="16" spans="2:14" s="121" customFormat="1" ht="17.100000000000001" customHeight="1">
      <c r="B16" s="219">
        <v>713000</v>
      </c>
      <c r="C16" s="222" t="s">
        <v>218</v>
      </c>
      <c r="D16" s="221">
        <f>D17</f>
        <v>1540</v>
      </c>
      <c r="E16" s="221">
        <f>E17</f>
        <v>1540</v>
      </c>
      <c r="F16" s="221">
        <f>F17</f>
        <v>2107</v>
      </c>
      <c r="G16" s="434">
        <f>G17</f>
        <v>1557</v>
      </c>
      <c r="H16" s="684">
        <f t="shared" si="0"/>
        <v>101.10389610389609</v>
      </c>
      <c r="I16" s="206">
        <f t="shared" si="1"/>
        <v>73.896535358329373</v>
      </c>
      <c r="J16" s="281"/>
      <c r="K16" s="188"/>
      <c r="L16" s="238"/>
      <c r="M16" s="188"/>
      <c r="N16" s="622"/>
    </row>
    <row r="17" spans="2:14" s="121" customFormat="1" ht="15" customHeight="1">
      <c r="B17" s="122">
        <v>713100</v>
      </c>
      <c r="C17" s="135" t="s">
        <v>316</v>
      </c>
      <c r="D17" s="136">
        <f>SUM(D18:D19)</f>
        <v>1540</v>
      </c>
      <c r="E17" s="136">
        <f>SUM(E18:E19)</f>
        <v>1540</v>
      </c>
      <c r="F17" s="136">
        <f>SUM(F18:F19)</f>
        <v>2107</v>
      </c>
      <c r="G17" s="438">
        <f>SUM(G18:G19)</f>
        <v>1557</v>
      </c>
      <c r="H17" s="685">
        <f t="shared" si="0"/>
        <v>101.10389610389609</v>
      </c>
      <c r="I17" s="133">
        <f t="shared" si="1"/>
        <v>73.896535358329373</v>
      </c>
      <c r="J17" s="281"/>
      <c r="K17" s="188"/>
      <c r="L17" s="238"/>
      <c r="M17" s="188"/>
      <c r="N17" s="622"/>
    </row>
    <row r="18" spans="2:14" ht="15" customHeight="1">
      <c r="B18" s="118">
        <v>713111</v>
      </c>
      <c r="C18" s="189" t="s">
        <v>219</v>
      </c>
      <c r="D18" s="66">
        <v>980</v>
      </c>
      <c r="E18" s="66">
        <v>980</v>
      </c>
      <c r="F18" s="66">
        <v>1845</v>
      </c>
      <c r="G18" s="436">
        <v>1067</v>
      </c>
      <c r="H18" s="686">
        <f t="shared" si="0"/>
        <v>108.87755102040816</v>
      </c>
      <c r="I18" s="125">
        <f t="shared" si="1"/>
        <v>57.831978319783197</v>
      </c>
      <c r="J18" s="238"/>
      <c r="L18" s="238"/>
      <c r="N18" s="622"/>
    </row>
    <row r="19" spans="2:14" ht="15" customHeight="1">
      <c r="B19" s="118">
        <v>713113</v>
      </c>
      <c r="C19" s="189" t="s">
        <v>220</v>
      </c>
      <c r="D19" s="66">
        <v>560</v>
      </c>
      <c r="E19" s="66">
        <v>560</v>
      </c>
      <c r="F19" s="66">
        <v>262</v>
      </c>
      <c r="G19" s="436">
        <v>490</v>
      </c>
      <c r="H19" s="686">
        <f t="shared" si="0"/>
        <v>87.5</v>
      </c>
      <c r="I19" s="125">
        <f t="shared" si="1"/>
        <v>187.02290076335876</v>
      </c>
      <c r="J19" s="238"/>
      <c r="L19" s="238"/>
      <c r="N19" s="622"/>
    </row>
    <row r="20" spans="2:14" s="121" customFormat="1" ht="17.100000000000001" customHeight="1">
      <c r="B20" s="219">
        <v>714000</v>
      </c>
      <c r="C20" s="222" t="s">
        <v>162</v>
      </c>
      <c r="D20" s="221">
        <f>D21</f>
        <v>176300</v>
      </c>
      <c r="E20" s="221">
        <f>E21</f>
        <v>176300</v>
      </c>
      <c r="F20" s="221">
        <f>F21</f>
        <v>311681</v>
      </c>
      <c r="G20" s="434">
        <f>G21</f>
        <v>181962</v>
      </c>
      <c r="H20" s="684">
        <f t="shared" si="0"/>
        <v>103.2115711854793</v>
      </c>
      <c r="I20" s="206">
        <f t="shared" si="1"/>
        <v>58.380844517310969</v>
      </c>
      <c r="J20" s="281"/>
      <c r="K20" s="188"/>
      <c r="L20" s="238"/>
      <c r="M20" s="188"/>
      <c r="N20" s="622"/>
    </row>
    <row r="21" spans="2:14" s="121" customFormat="1" ht="15" customHeight="1">
      <c r="B21" s="122">
        <v>714100</v>
      </c>
      <c r="C21" s="135" t="s">
        <v>315</v>
      </c>
      <c r="D21" s="136">
        <f>SUM(D22:D27)</f>
        <v>176300</v>
      </c>
      <c r="E21" s="136">
        <f>SUM(E22:E27)</f>
        <v>176300</v>
      </c>
      <c r="F21" s="136">
        <f>SUM(F22:F27)</f>
        <v>311681</v>
      </c>
      <c r="G21" s="438">
        <f>SUM(G22:G27)</f>
        <v>181962</v>
      </c>
      <c r="H21" s="685">
        <f t="shared" si="0"/>
        <v>103.2115711854793</v>
      </c>
      <c r="I21" s="133">
        <f t="shared" si="1"/>
        <v>58.380844517310969</v>
      </c>
      <c r="J21" s="281"/>
      <c r="K21" s="188"/>
      <c r="L21" s="238"/>
      <c r="M21" s="188"/>
      <c r="N21" s="622"/>
    </row>
    <row r="22" spans="2:14" ht="15" customHeight="1">
      <c r="B22" s="118">
        <v>714111</v>
      </c>
      <c r="C22" s="189" t="s">
        <v>221</v>
      </c>
      <c r="D22" s="66">
        <v>39590</v>
      </c>
      <c r="E22" s="66">
        <v>39590</v>
      </c>
      <c r="F22" s="66">
        <v>37649</v>
      </c>
      <c r="G22" s="436">
        <v>36804</v>
      </c>
      <c r="H22" s="686">
        <f t="shared" si="0"/>
        <v>92.962869411467537</v>
      </c>
      <c r="I22" s="125">
        <f t="shared" si="1"/>
        <v>97.75558447767537</v>
      </c>
      <c r="J22" s="238"/>
      <c r="L22" s="238"/>
      <c r="N22" s="622"/>
    </row>
    <row r="23" spans="2:14" ht="15" customHeight="1">
      <c r="B23" s="118">
        <v>714112</v>
      </c>
      <c r="C23" s="189" t="s">
        <v>222</v>
      </c>
      <c r="D23" s="151">
        <v>7330</v>
      </c>
      <c r="E23" s="151">
        <v>7330</v>
      </c>
      <c r="F23" s="151">
        <v>8115</v>
      </c>
      <c r="G23" s="437">
        <v>6414</v>
      </c>
      <c r="H23" s="686">
        <f t="shared" si="0"/>
        <v>87.503410641200546</v>
      </c>
      <c r="I23" s="125">
        <f t="shared" si="1"/>
        <v>79.038817005545283</v>
      </c>
      <c r="J23" s="238"/>
      <c r="L23" s="238"/>
      <c r="N23" s="622"/>
    </row>
    <row r="24" spans="2:14" ht="15" customHeight="1">
      <c r="B24" s="118">
        <v>714113</v>
      </c>
      <c r="C24" s="189" t="s">
        <v>223</v>
      </c>
      <c r="D24" s="66">
        <v>3440</v>
      </c>
      <c r="E24" s="66">
        <v>3440</v>
      </c>
      <c r="F24" s="66">
        <v>2719</v>
      </c>
      <c r="G24" s="436">
        <v>3338</v>
      </c>
      <c r="H24" s="686">
        <f t="shared" si="0"/>
        <v>97.034883720930225</v>
      </c>
      <c r="I24" s="125">
        <f t="shared" si="1"/>
        <v>122.76572269216624</v>
      </c>
      <c r="J24" s="238"/>
      <c r="L24" s="238"/>
      <c r="N24" s="622"/>
    </row>
    <row r="25" spans="2:14" ht="15" customHeight="1">
      <c r="B25" s="118">
        <v>714121</v>
      </c>
      <c r="C25" s="189" t="s">
        <v>224</v>
      </c>
      <c r="D25" s="151">
        <v>13170</v>
      </c>
      <c r="E25" s="151">
        <v>13170</v>
      </c>
      <c r="F25" s="151">
        <v>12702</v>
      </c>
      <c r="G25" s="437">
        <v>12267</v>
      </c>
      <c r="H25" s="686">
        <f t="shared" si="0"/>
        <v>93.143507972665148</v>
      </c>
      <c r="I25" s="125">
        <f t="shared" si="1"/>
        <v>96.575342465753423</v>
      </c>
      <c r="J25" s="238"/>
      <c r="L25" s="238"/>
      <c r="N25" s="622"/>
    </row>
    <row r="26" spans="2:14" ht="15" customHeight="1">
      <c r="B26" s="118">
        <v>714131</v>
      </c>
      <c r="C26" s="189" t="s">
        <v>225</v>
      </c>
      <c r="D26" s="151">
        <v>74590</v>
      </c>
      <c r="E26" s="151">
        <v>74590</v>
      </c>
      <c r="F26" s="151">
        <v>167949</v>
      </c>
      <c r="G26" s="437">
        <v>77932</v>
      </c>
      <c r="H26" s="686">
        <f t="shared" si="0"/>
        <v>104.48049336372168</v>
      </c>
      <c r="I26" s="125">
        <f t="shared" si="1"/>
        <v>46.402181614656826</v>
      </c>
      <c r="J26" s="238"/>
      <c r="L26" s="238"/>
      <c r="N26" s="622"/>
    </row>
    <row r="27" spans="2:14" ht="15" customHeight="1">
      <c r="B27" s="118">
        <v>714132</v>
      </c>
      <c r="C27" s="189" t="s">
        <v>226</v>
      </c>
      <c r="D27" s="66">
        <v>38180</v>
      </c>
      <c r="E27" s="66">
        <v>38180</v>
      </c>
      <c r="F27" s="66">
        <v>82547</v>
      </c>
      <c r="G27" s="436">
        <v>45207</v>
      </c>
      <c r="H27" s="686">
        <f t="shared" si="0"/>
        <v>118.40492404400209</v>
      </c>
      <c r="I27" s="125">
        <f t="shared" si="1"/>
        <v>54.765164088337549</v>
      </c>
      <c r="J27" s="238"/>
      <c r="L27" s="238"/>
      <c r="N27" s="622"/>
    </row>
    <row r="28" spans="2:14" s="121" customFormat="1" ht="25.5" customHeight="1">
      <c r="B28" s="219">
        <v>715000</v>
      </c>
      <c r="C28" s="220" t="s">
        <v>227</v>
      </c>
      <c r="D28" s="221">
        <f>D29+D34+D36</f>
        <v>17910</v>
      </c>
      <c r="E28" s="221">
        <f>E29+E34+E36</f>
        <v>17910</v>
      </c>
      <c r="F28" s="221">
        <f>F29+F34+F36</f>
        <v>1967</v>
      </c>
      <c r="G28" s="434">
        <f>G29+G34+G36</f>
        <v>17200</v>
      </c>
      <c r="H28" s="684">
        <f t="shared" si="0"/>
        <v>96.035734226689002</v>
      </c>
      <c r="I28" s="206">
        <f t="shared" si="1"/>
        <v>874.42806304016278</v>
      </c>
      <c r="J28" s="281"/>
      <c r="K28" s="188"/>
      <c r="L28" s="238"/>
      <c r="M28" s="188"/>
      <c r="N28" s="622"/>
    </row>
    <row r="29" spans="2:14" s="121" customFormat="1" ht="26.25" customHeight="1">
      <c r="B29" s="122">
        <v>715100</v>
      </c>
      <c r="C29" s="190" t="s">
        <v>231</v>
      </c>
      <c r="D29" s="119">
        <f>SUM(D30:D33)</f>
        <v>16850</v>
      </c>
      <c r="E29" s="119">
        <f>SUM(E30:E33)</f>
        <v>16850</v>
      </c>
      <c r="F29" s="119">
        <f>SUM(F30:F33)</f>
        <v>727</v>
      </c>
      <c r="G29" s="435">
        <f>SUM(G30:G33)</f>
        <v>16178</v>
      </c>
      <c r="H29" s="685">
        <f t="shared" si="0"/>
        <v>96.011869436201778</v>
      </c>
      <c r="I29" s="133">
        <f t="shared" si="1"/>
        <v>2225.3094910591471</v>
      </c>
      <c r="J29" s="281"/>
      <c r="K29" s="188"/>
      <c r="L29" s="238"/>
      <c r="M29" s="188"/>
      <c r="N29" s="622"/>
    </row>
    <row r="30" spans="2:14" ht="15" customHeight="1">
      <c r="B30" s="118">
        <v>715131</v>
      </c>
      <c r="C30" s="189" t="s">
        <v>228</v>
      </c>
      <c r="D30" s="66">
        <v>680</v>
      </c>
      <c r="E30" s="66">
        <v>680</v>
      </c>
      <c r="F30" s="66">
        <v>305</v>
      </c>
      <c r="G30" s="436">
        <v>659</v>
      </c>
      <c r="H30" s="686">
        <f t="shared" si="0"/>
        <v>96.911764705882348</v>
      </c>
      <c r="I30" s="125">
        <f t="shared" si="1"/>
        <v>216.06557377049177</v>
      </c>
      <c r="J30" s="238"/>
      <c r="L30" s="238"/>
      <c r="N30" s="622"/>
    </row>
    <row r="31" spans="2:14" ht="15" customHeight="1">
      <c r="B31" s="118">
        <v>715132</v>
      </c>
      <c r="C31" s="189" t="s">
        <v>445</v>
      </c>
      <c r="D31" s="66">
        <v>10</v>
      </c>
      <c r="E31" s="66">
        <v>10</v>
      </c>
      <c r="F31" s="66">
        <v>0</v>
      </c>
      <c r="G31" s="436">
        <v>0</v>
      </c>
      <c r="H31" s="686">
        <f t="shared" si="0"/>
        <v>0</v>
      </c>
      <c r="I31" s="125" t="str">
        <f t="shared" si="1"/>
        <v/>
      </c>
      <c r="J31" s="238"/>
      <c r="L31" s="238"/>
      <c r="N31" s="622"/>
    </row>
    <row r="32" spans="2:14" ht="15" customHeight="1">
      <c r="B32" s="118">
        <v>715137</v>
      </c>
      <c r="C32" s="189" t="s">
        <v>229</v>
      </c>
      <c r="D32" s="66">
        <v>50</v>
      </c>
      <c r="E32" s="66">
        <v>50</v>
      </c>
      <c r="F32" s="66">
        <v>0</v>
      </c>
      <c r="G32" s="436">
        <v>34</v>
      </c>
      <c r="H32" s="686">
        <f t="shared" si="0"/>
        <v>68</v>
      </c>
      <c r="I32" s="125" t="str">
        <f t="shared" si="1"/>
        <v/>
      </c>
      <c r="J32" s="238"/>
      <c r="L32" s="238"/>
      <c r="N32" s="622"/>
    </row>
    <row r="33" spans="2:15" ht="15" customHeight="1">
      <c r="B33" s="118">
        <v>715141</v>
      </c>
      <c r="C33" s="189" t="s">
        <v>230</v>
      </c>
      <c r="D33" s="66">
        <v>16110</v>
      </c>
      <c r="E33" s="66">
        <v>16110</v>
      </c>
      <c r="F33" s="66">
        <v>422</v>
      </c>
      <c r="G33" s="436">
        <v>15485</v>
      </c>
      <c r="H33" s="686">
        <f t="shared" si="0"/>
        <v>96.120422098075736</v>
      </c>
      <c r="I33" s="125">
        <f t="shared" si="1"/>
        <v>3669.4312796208528</v>
      </c>
      <c r="J33" s="238"/>
      <c r="L33" s="238"/>
      <c r="N33" s="622"/>
    </row>
    <row r="34" spans="2:15" s="121" customFormat="1" ht="15" customHeight="1">
      <c r="B34" s="122">
        <v>715200</v>
      </c>
      <c r="C34" s="191" t="s">
        <v>232</v>
      </c>
      <c r="D34" s="119">
        <f>D35</f>
        <v>810</v>
      </c>
      <c r="E34" s="119">
        <f>E35</f>
        <v>810</v>
      </c>
      <c r="F34" s="119">
        <f>F35</f>
        <v>1171</v>
      </c>
      <c r="G34" s="435">
        <f>G35</f>
        <v>788</v>
      </c>
      <c r="H34" s="685">
        <f t="shared" si="0"/>
        <v>97.283950617283949</v>
      </c>
      <c r="I34" s="133">
        <f t="shared" si="1"/>
        <v>67.292912040990601</v>
      </c>
      <c r="J34" s="281"/>
      <c r="K34" s="188"/>
      <c r="L34" s="238"/>
      <c r="M34" s="188"/>
      <c r="N34" s="622"/>
    </row>
    <row r="35" spans="2:15" ht="15" customHeight="1">
      <c r="B35" s="118">
        <v>715211</v>
      </c>
      <c r="C35" s="189" t="s">
        <v>233</v>
      </c>
      <c r="D35" s="66">
        <v>810</v>
      </c>
      <c r="E35" s="66">
        <v>810</v>
      </c>
      <c r="F35" s="66">
        <v>1171</v>
      </c>
      <c r="G35" s="436">
        <v>788</v>
      </c>
      <c r="H35" s="686">
        <f t="shared" si="0"/>
        <v>97.283950617283949</v>
      </c>
      <c r="I35" s="125">
        <f t="shared" si="1"/>
        <v>67.292912040990601</v>
      </c>
      <c r="J35" s="238"/>
      <c r="L35" s="238"/>
      <c r="N35" s="622"/>
    </row>
    <row r="36" spans="2:15" s="121" customFormat="1" ht="15" customHeight="1">
      <c r="B36" s="122">
        <v>715900</v>
      </c>
      <c r="C36" s="191" t="s">
        <v>234</v>
      </c>
      <c r="D36" s="119">
        <f>D37</f>
        <v>250</v>
      </c>
      <c r="E36" s="119">
        <f>E37</f>
        <v>250</v>
      </c>
      <c r="F36" s="119">
        <f>F37</f>
        <v>69</v>
      </c>
      <c r="G36" s="435">
        <f>G37</f>
        <v>234</v>
      </c>
      <c r="H36" s="685">
        <f t="shared" si="0"/>
        <v>93.600000000000009</v>
      </c>
      <c r="I36" s="133">
        <f t="shared" si="1"/>
        <v>339.13043478260869</v>
      </c>
      <c r="J36" s="281"/>
      <c r="K36" s="188"/>
      <c r="L36" s="238"/>
      <c r="M36" s="188"/>
      <c r="N36" s="622"/>
    </row>
    <row r="37" spans="2:15" ht="27" customHeight="1">
      <c r="B37" s="118">
        <v>715914</v>
      </c>
      <c r="C37" s="192" t="s">
        <v>235</v>
      </c>
      <c r="D37" s="151">
        <v>250</v>
      </c>
      <c r="E37" s="151">
        <v>250</v>
      </c>
      <c r="F37" s="151">
        <v>69</v>
      </c>
      <c r="G37" s="437">
        <v>234</v>
      </c>
      <c r="H37" s="686">
        <f t="shared" si="0"/>
        <v>93.600000000000009</v>
      </c>
      <c r="I37" s="125">
        <f t="shared" si="1"/>
        <v>339.13043478260869</v>
      </c>
      <c r="J37" s="238"/>
      <c r="L37" s="238"/>
      <c r="N37" s="622"/>
    </row>
    <row r="38" spans="2:15" s="121" customFormat="1" ht="17.100000000000001" customHeight="1">
      <c r="B38" s="219">
        <v>716000</v>
      </c>
      <c r="C38" s="222" t="s">
        <v>163</v>
      </c>
      <c r="D38" s="390">
        <f>D39</f>
        <v>2959430</v>
      </c>
      <c r="E38" s="390">
        <f>E39</f>
        <v>2959430</v>
      </c>
      <c r="F38" s="390">
        <f>F39</f>
        <v>3109449</v>
      </c>
      <c r="G38" s="434">
        <f>G39</f>
        <v>3058496</v>
      </c>
      <c r="H38" s="684">
        <f t="shared" ref="H38:H73" si="4">IF(E38=0,"",G38/E38*100)</f>
        <v>103.34746893827527</v>
      </c>
      <c r="I38" s="206">
        <f t="shared" si="1"/>
        <v>98.36134955099763</v>
      </c>
      <c r="J38" s="281"/>
      <c r="K38" s="194"/>
      <c r="L38" s="238"/>
      <c r="M38" s="188"/>
      <c r="N38" s="622"/>
    </row>
    <row r="39" spans="2:15" s="121" customFormat="1" ht="15" customHeight="1">
      <c r="B39" s="122">
        <v>716100</v>
      </c>
      <c r="C39" s="191" t="s">
        <v>236</v>
      </c>
      <c r="D39" s="389">
        <f>SUM(D40:D46)</f>
        <v>2959430</v>
      </c>
      <c r="E39" s="389">
        <f>SUM(E40:E46)</f>
        <v>2959430</v>
      </c>
      <c r="F39" s="389">
        <f>SUM(F40:F46)</f>
        <v>3109449</v>
      </c>
      <c r="G39" s="435">
        <f>SUM(G40:G46)</f>
        <v>3058496</v>
      </c>
      <c r="H39" s="685">
        <f t="shared" si="4"/>
        <v>103.34746893827527</v>
      </c>
      <c r="I39" s="133">
        <f t="shared" si="1"/>
        <v>98.36134955099763</v>
      </c>
      <c r="J39" s="282"/>
      <c r="K39" s="193"/>
      <c r="L39" s="238"/>
      <c r="M39" s="188"/>
      <c r="N39" s="622"/>
    </row>
    <row r="40" spans="2:15" ht="15" customHeight="1">
      <c r="B40" s="118">
        <v>716111</v>
      </c>
      <c r="C40" s="189" t="s">
        <v>238</v>
      </c>
      <c r="D40" s="151">
        <v>2198640</v>
      </c>
      <c r="E40" s="151">
        <v>2198640</v>
      </c>
      <c r="F40" s="151">
        <v>2196487</v>
      </c>
      <c r="G40" s="437">
        <v>2254920</v>
      </c>
      <c r="H40" s="686">
        <f t="shared" si="4"/>
        <v>102.55976421788013</v>
      </c>
      <c r="I40" s="125">
        <f t="shared" si="1"/>
        <v>102.66029345951057</v>
      </c>
      <c r="J40" s="281"/>
      <c r="K40" s="535"/>
      <c r="L40" s="238"/>
      <c r="N40" s="622"/>
    </row>
    <row r="41" spans="2:15" ht="15" customHeight="1">
      <c r="B41" s="118">
        <v>716112</v>
      </c>
      <c r="C41" s="189" t="s">
        <v>239</v>
      </c>
      <c r="D41" s="151">
        <v>95060</v>
      </c>
      <c r="E41" s="151">
        <v>95060</v>
      </c>
      <c r="F41" s="151">
        <v>107380</v>
      </c>
      <c r="G41" s="437">
        <v>98697</v>
      </c>
      <c r="H41" s="686">
        <f t="shared" si="4"/>
        <v>103.82600462865558</v>
      </c>
      <c r="I41" s="125">
        <f t="shared" si="1"/>
        <v>91.913764201899795</v>
      </c>
      <c r="J41" s="281"/>
      <c r="K41" s="535"/>
      <c r="L41" s="238"/>
      <c r="N41" s="622"/>
    </row>
    <row r="42" spans="2:15" ht="15" customHeight="1">
      <c r="B42" s="118">
        <v>716113</v>
      </c>
      <c r="C42" s="189" t="s">
        <v>240</v>
      </c>
      <c r="D42" s="151">
        <v>127980</v>
      </c>
      <c r="E42" s="151">
        <v>127980</v>
      </c>
      <c r="F42" s="151">
        <v>168863</v>
      </c>
      <c r="G42" s="437">
        <v>131418</v>
      </c>
      <c r="H42" s="686">
        <f t="shared" si="4"/>
        <v>102.68635724331926</v>
      </c>
      <c r="I42" s="125">
        <f t="shared" si="1"/>
        <v>77.825219260584021</v>
      </c>
      <c r="J42" s="281"/>
      <c r="K42" s="535"/>
      <c r="L42" s="238"/>
      <c r="N42" s="622"/>
    </row>
    <row r="43" spans="2:15" ht="15" customHeight="1">
      <c r="B43" s="118">
        <v>716114</v>
      </c>
      <c r="C43" s="189" t="s">
        <v>241</v>
      </c>
      <c r="D43" s="151">
        <v>660</v>
      </c>
      <c r="E43" s="151">
        <v>660</v>
      </c>
      <c r="F43" s="151">
        <v>23</v>
      </c>
      <c r="G43" s="437">
        <v>667</v>
      </c>
      <c r="H43" s="686">
        <f t="shared" si="4"/>
        <v>101.06060606060605</v>
      </c>
      <c r="I43" s="125">
        <f t="shared" si="1"/>
        <v>2900</v>
      </c>
      <c r="J43" s="281"/>
      <c r="K43" s="535"/>
      <c r="L43" s="238"/>
      <c r="N43" s="622"/>
    </row>
    <row r="44" spans="2:15" ht="25.5" customHeight="1">
      <c r="B44" s="118">
        <v>716115</v>
      </c>
      <c r="C44" s="192" t="s">
        <v>242</v>
      </c>
      <c r="D44" s="151">
        <v>212070</v>
      </c>
      <c r="E44" s="151">
        <v>212070</v>
      </c>
      <c r="F44" s="151">
        <v>283008</v>
      </c>
      <c r="G44" s="437">
        <v>226123</v>
      </c>
      <c r="H44" s="686">
        <f t="shared" si="4"/>
        <v>106.62658556137123</v>
      </c>
      <c r="I44" s="125">
        <f t="shared" si="1"/>
        <v>79.89986148801448</v>
      </c>
      <c r="J44" s="281"/>
      <c r="K44" s="535"/>
      <c r="L44" s="238"/>
      <c r="N44" s="622"/>
    </row>
    <row r="45" spans="2:15" ht="15" customHeight="1">
      <c r="B45" s="118">
        <v>716116</v>
      </c>
      <c r="C45" s="189" t="s">
        <v>243</v>
      </c>
      <c r="D45" s="151">
        <v>189440</v>
      </c>
      <c r="E45" s="151">
        <v>189440</v>
      </c>
      <c r="F45" s="151">
        <v>243972</v>
      </c>
      <c r="G45" s="437">
        <v>211298</v>
      </c>
      <c r="H45" s="686">
        <f t="shared" si="4"/>
        <v>111.53821790540542</v>
      </c>
      <c r="I45" s="125">
        <f t="shared" si="1"/>
        <v>86.607479546833247</v>
      </c>
      <c r="J45" s="281"/>
      <c r="K45" s="535"/>
      <c r="L45" s="238"/>
      <c r="N45" s="622"/>
    </row>
    <row r="46" spans="2:15" ht="15" customHeight="1">
      <c r="B46" s="118">
        <v>716117</v>
      </c>
      <c r="C46" s="189" t="s">
        <v>237</v>
      </c>
      <c r="D46" s="151">
        <v>135580</v>
      </c>
      <c r="E46" s="151">
        <v>135580</v>
      </c>
      <c r="F46" s="151">
        <v>109716</v>
      </c>
      <c r="G46" s="437">
        <v>135373</v>
      </c>
      <c r="H46" s="686">
        <f t="shared" si="4"/>
        <v>99.847322613954859</v>
      </c>
      <c r="I46" s="125">
        <f t="shared" si="1"/>
        <v>123.38492106894164</v>
      </c>
      <c r="J46" s="281"/>
      <c r="K46" s="835"/>
      <c r="L46" s="284"/>
      <c r="M46" s="834"/>
      <c r="N46" s="834"/>
      <c r="O46" s="834"/>
    </row>
    <row r="47" spans="2:15" s="121" customFormat="1" ht="17.100000000000001" customHeight="1">
      <c r="B47" s="219">
        <v>717000</v>
      </c>
      <c r="C47" s="222" t="s">
        <v>164</v>
      </c>
      <c r="D47" s="221">
        <f>D48</f>
        <v>26331400</v>
      </c>
      <c r="E47" s="221">
        <f>E48</f>
        <v>26331400</v>
      </c>
      <c r="F47" s="221">
        <f>F48</f>
        <v>31432346</v>
      </c>
      <c r="G47" s="434">
        <f>G48</f>
        <v>27327765</v>
      </c>
      <c r="H47" s="684">
        <f t="shared" si="4"/>
        <v>103.78394236538885</v>
      </c>
      <c r="I47" s="206">
        <f t="shared" si="1"/>
        <v>86.941537866756747</v>
      </c>
      <c r="J47" s="281"/>
      <c r="K47" s="833"/>
      <c r="L47" s="284"/>
      <c r="M47" s="836"/>
      <c r="N47" s="834"/>
      <c r="O47" s="836"/>
    </row>
    <row r="48" spans="2:15" s="121" customFormat="1" ht="15" customHeight="1">
      <c r="B48" s="122">
        <v>717100</v>
      </c>
      <c r="C48" s="191" t="s">
        <v>244</v>
      </c>
      <c r="D48" s="119">
        <f>D49+D52+D53</f>
        <v>26331400</v>
      </c>
      <c r="E48" s="119">
        <f>E49+E52+E53</f>
        <v>26331400</v>
      </c>
      <c r="F48" s="119">
        <f t="shared" ref="F48:G48" si="5">F49+F52+F53</f>
        <v>31432346</v>
      </c>
      <c r="G48" s="435">
        <f t="shared" si="5"/>
        <v>27327765</v>
      </c>
      <c r="H48" s="685">
        <f t="shared" si="4"/>
        <v>103.78394236538885</v>
      </c>
      <c r="I48" s="133">
        <f t="shared" si="1"/>
        <v>86.941537866756747</v>
      </c>
      <c r="J48" s="281"/>
      <c r="K48" s="833"/>
      <c r="L48" s="284"/>
      <c r="M48" s="836"/>
      <c r="N48" s="834"/>
      <c r="O48" s="836"/>
    </row>
    <row r="49" spans="1:15" ht="15" customHeight="1">
      <c r="B49" s="118">
        <v>717114</v>
      </c>
      <c r="C49" s="189" t="s">
        <v>528</v>
      </c>
      <c r="D49" s="151">
        <f t="shared" ref="D49:E49" si="6">SUM(D50:D51)</f>
        <v>823760</v>
      </c>
      <c r="E49" s="151">
        <f t="shared" si="6"/>
        <v>823760</v>
      </c>
      <c r="F49" s="151">
        <f t="shared" ref="F49:G49" si="7">SUM(F50:F51)</f>
        <v>0</v>
      </c>
      <c r="G49" s="437">
        <f t="shared" si="7"/>
        <v>836187</v>
      </c>
      <c r="H49" s="686">
        <f t="shared" si="4"/>
        <v>101.50857045741478</v>
      </c>
      <c r="I49" s="125" t="str">
        <f t="shared" si="1"/>
        <v/>
      </c>
      <c r="J49" s="238"/>
      <c r="K49" s="835"/>
      <c r="L49" s="284"/>
      <c r="M49" s="834"/>
      <c r="N49" s="834"/>
      <c r="O49" s="834"/>
    </row>
    <row r="50" spans="1:15" s="812" customFormat="1" ht="15" customHeight="1">
      <c r="B50" s="813"/>
      <c r="C50" s="814" t="s">
        <v>833</v>
      </c>
      <c r="D50" s="815">
        <v>549390</v>
      </c>
      <c r="E50" s="815">
        <v>549390</v>
      </c>
      <c r="F50" s="815">
        <v>0</v>
      </c>
      <c r="G50" s="816">
        <v>549390</v>
      </c>
      <c r="H50" s="686">
        <f t="shared" si="4"/>
        <v>100</v>
      </c>
      <c r="I50" s="125" t="str">
        <f t="shared" si="1"/>
        <v/>
      </c>
      <c r="J50" s="819"/>
      <c r="K50" s="837"/>
      <c r="L50" s="838"/>
      <c r="M50" s="839"/>
      <c r="N50" s="839"/>
      <c r="O50" s="839"/>
    </row>
    <row r="51" spans="1:15" s="812" customFormat="1" ht="15" customHeight="1">
      <c r="B51" s="813"/>
      <c r="C51" s="814" t="s">
        <v>836</v>
      </c>
      <c r="D51" s="815">
        <v>274370</v>
      </c>
      <c r="E51" s="815">
        <v>274370</v>
      </c>
      <c r="F51" s="815">
        <v>0</v>
      </c>
      <c r="G51" s="816">
        <f>836187-549390</f>
        <v>286797</v>
      </c>
      <c r="H51" s="686">
        <f t="shared" si="4"/>
        <v>104.52928527171339</v>
      </c>
      <c r="I51" s="125" t="str">
        <f t="shared" si="1"/>
        <v/>
      </c>
      <c r="J51" s="819"/>
      <c r="K51" s="837"/>
      <c r="L51" s="838"/>
      <c r="M51" s="839"/>
      <c r="N51" s="839"/>
      <c r="O51" s="839"/>
    </row>
    <row r="52" spans="1:15" ht="15" customHeight="1">
      <c r="B52" s="118">
        <v>717121</v>
      </c>
      <c r="C52" s="189" t="s">
        <v>245</v>
      </c>
      <c r="D52" s="151">
        <v>24361880</v>
      </c>
      <c r="E52" s="151">
        <v>24361880</v>
      </c>
      <c r="F52" s="151">
        <v>31051514</v>
      </c>
      <c r="G52" s="437">
        <v>25544471</v>
      </c>
      <c r="H52" s="686">
        <f t="shared" si="4"/>
        <v>104.85426822560493</v>
      </c>
      <c r="I52" s="125">
        <f t="shared" si="1"/>
        <v>82.264816459513057</v>
      </c>
      <c r="J52" s="238"/>
      <c r="K52" s="835"/>
      <c r="L52" s="284"/>
      <c r="M52" s="834"/>
      <c r="N52" s="834"/>
      <c r="O52" s="834"/>
    </row>
    <row r="53" spans="1:15" ht="15" customHeight="1">
      <c r="B53" s="118">
        <v>717131</v>
      </c>
      <c r="C53" s="189" t="s">
        <v>246</v>
      </c>
      <c r="D53" s="151">
        <f t="shared" ref="D53:E53" si="8">SUM(D54:D55)</f>
        <v>1145760</v>
      </c>
      <c r="E53" s="151">
        <f t="shared" si="8"/>
        <v>1145760</v>
      </c>
      <c r="F53" s="151">
        <f t="shared" ref="F53:G53" si="9">SUM(F54:F55)</f>
        <v>380832</v>
      </c>
      <c r="G53" s="437">
        <f t="shared" si="9"/>
        <v>947107</v>
      </c>
      <c r="H53" s="686">
        <f t="shared" si="4"/>
        <v>82.661901270772248</v>
      </c>
      <c r="I53" s="125">
        <f t="shared" si="1"/>
        <v>248.69417485925553</v>
      </c>
      <c r="J53" s="238"/>
      <c r="K53" s="833"/>
      <c r="L53" s="284"/>
      <c r="M53" s="834"/>
      <c r="N53" s="834"/>
      <c r="O53" s="834"/>
    </row>
    <row r="54" spans="1:15" s="812" customFormat="1" ht="15" customHeight="1">
      <c r="B54" s="813"/>
      <c r="C54" s="814" t="s">
        <v>834</v>
      </c>
      <c r="D54" s="815">
        <v>465880</v>
      </c>
      <c r="E54" s="815">
        <v>465880</v>
      </c>
      <c r="F54" s="815">
        <v>0</v>
      </c>
      <c r="G54" s="816">
        <v>355433</v>
      </c>
      <c r="H54" s="686">
        <f t="shared" si="4"/>
        <v>76.292822185970635</v>
      </c>
      <c r="I54" s="125" t="str">
        <f t="shared" si="1"/>
        <v/>
      </c>
      <c r="J54" s="819"/>
      <c r="K54" s="837"/>
      <c r="L54" s="838"/>
      <c r="M54" s="839"/>
      <c r="N54" s="839"/>
      <c r="O54" s="839"/>
    </row>
    <row r="55" spans="1:15" s="812" customFormat="1" ht="15" customHeight="1">
      <c r="B55" s="813"/>
      <c r="C55" s="814" t="s">
        <v>835</v>
      </c>
      <c r="D55" s="815">
        <v>679880</v>
      </c>
      <c r="E55" s="815">
        <v>679880</v>
      </c>
      <c r="F55" s="815">
        <v>380832</v>
      </c>
      <c r="G55" s="816">
        <f>1068316-355433-121209</f>
        <v>591674</v>
      </c>
      <c r="H55" s="686">
        <f t="shared" si="4"/>
        <v>87.02623992469259</v>
      </c>
      <c r="I55" s="125">
        <f t="shared" si="1"/>
        <v>155.36351987227962</v>
      </c>
      <c r="J55" s="819"/>
      <c r="K55" s="837"/>
      <c r="L55" s="838"/>
      <c r="M55" s="839"/>
      <c r="N55" s="839"/>
      <c r="O55" s="839"/>
    </row>
    <row r="56" spans="1:15" s="121" customFormat="1" ht="17.100000000000001" customHeight="1">
      <c r="B56" s="219">
        <v>719000</v>
      </c>
      <c r="C56" s="222" t="s">
        <v>165</v>
      </c>
      <c r="D56" s="221">
        <f>D57</f>
        <v>70</v>
      </c>
      <c r="E56" s="221">
        <f>E57</f>
        <v>70</v>
      </c>
      <c r="F56" s="221">
        <f>F57</f>
        <v>121</v>
      </c>
      <c r="G56" s="434">
        <f>G57</f>
        <v>46</v>
      </c>
      <c r="H56" s="684">
        <f t="shared" si="4"/>
        <v>65.714285714285708</v>
      </c>
      <c r="I56" s="206">
        <f t="shared" si="1"/>
        <v>38.016528925619838</v>
      </c>
      <c r="J56" s="281"/>
      <c r="K56" s="840"/>
      <c r="L56" s="284"/>
      <c r="M56" s="836"/>
      <c r="N56" s="834"/>
      <c r="O56" s="836"/>
    </row>
    <row r="57" spans="1:15" s="121" customFormat="1" ht="15" customHeight="1">
      <c r="B57" s="122">
        <v>719100</v>
      </c>
      <c r="C57" s="191" t="s">
        <v>247</v>
      </c>
      <c r="D57" s="119">
        <f>SUM(D58:D60)</f>
        <v>70</v>
      </c>
      <c r="E57" s="119">
        <f>SUM(E58:E60)</f>
        <v>70</v>
      </c>
      <c r="F57" s="119">
        <f>SUM(F58:F60)</f>
        <v>121</v>
      </c>
      <c r="G57" s="435">
        <f>SUM(G58:G60)</f>
        <v>46</v>
      </c>
      <c r="H57" s="685">
        <f t="shared" si="4"/>
        <v>65.714285714285708</v>
      </c>
      <c r="I57" s="133">
        <f t="shared" si="1"/>
        <v>38.016528925619838</v>
      </c>
      <c r="J57" s="281"/>
      <c r="K57" s="533"/>
      <c r="L57" s="238"/>
      <c r="M57" s="188"/>
      <c r="N57" s="622"/>
    </row>
    <row r="58" spans="1:15" ht="15" customHeight="1" thickBot="1">
      <c r="A58" s="164"/>
      <c r="B58" s="118">
        <v>719111</v>
      </c>
      <c r="C58" s="189" t="s">
        <v>247</v>
      </c>
      <c r="D58" s="66">
        <v>10</v>
      </c>
      <c r="E58" s="66">
        <v>10</v>
      </c>
      <c r="F58" s="66">
        <v>83</v>
      </c>
      <c r="G58" s="436">
        <v>0</v>
      </c>
      <c r="H58" s="686">
        <f t="shared" si="4"/>
        <v>0</v>
      </c>
      <c r="I58" s="125">
        <f t="shared" si="1"/>
        <v>0</v>
      </c>
      <c r="J58" s="238"/>
      <c r="K58" s="533"/>
      <c r="L58" s="238"/>
      <c r="N58" s="622"/>
    </row>
    <row r="59" spans="1:15" ht="15" customHeight="1">
      <c r="B59" s="199">
        <v>719114</v>
      </c>
      <c r="C59" s="200" t="s">
        <v>248</v>
      </c>
      <c r="D59" s="244">
        <v>10</v>
      </c>
      <c r="E59" s="244">
        <v>10</v>
      </c>
      <c r="F59" s="244">
        <v>14</v>
      </c>
      <c r="G59" s="439">
        <v>4</v>
      </c>
      <c r="H59" s="687">
        <f t="shared" si="4"/>
        <v>40</v>
      </c>
      <c r="I59" s="207">
        <f t="shared" si="1"/>
        <v>28.571428571428569</v>
      </c>
      <c r="K59" s="533"/>
      <c r="L59" s="238"/>
      <c r="N59" s="622"/>
    </row>
    <row r="60" spans="1:15" ht="25.5">
      <c r="B60" s="118">
        <v>719115</v>
      </c>
      <c r="C60" s="192" t="s">
        <v>249</v>
      </c>
      <c r="D60" s="151">
        <v>50</v>
      </c>
      <c r="E60" s="151">
        <v>50</v>
      </c>
      <c r="F60" s="151">
        <v>24</v>
      </c>
      <c r="G60" s="437">
        <v>42</v>
      </c>
      <c r="H60" s="688">
        <f t="shared" si="4"/>
        <v>84</v>
      </c>
      <c r="I60" s="128">
        <f t="shared" si="1"/>
        <v>175</v>
      </c>
      <c r="J60" s="283"/>
      <c r="K60" s="533"/>
      <c r="L60" s="238"/>
      <c r="N60" s="622"/>
    </row>
    <row r="61" spans="1:15">
      <c r="B61" s="118"/>
      <c r="C61" s="23"/>
      <c r="D61" s="66"/>
      <c r="E61" s="66"/>
      <c r="F61" s="66"/>
      <c r="G61" s="436"/>
      <c r="H61" s="688" t="str">
        <f t="shared" si="4"/>
        <v/>
      </c>
      <c r="I61" s="128" t="str">
        <f t="shared" si="1"/>
        <v/>
      </c>
      <c r="J61" s="283"/>
      <c r="K61" s="533"/>
      <c r="L61" s="238"/>
      <c r="N61" s="622"/>
    </row>
    <row r="62" spans="1:15" ht="17.100000000000001" customHeight="1">
      <c r="B62" s="216">
        <v>720000</v>
      </c>
      <c r="C62" s="217" t="s">
        <v>160</v>
      </c>
      <c r="D62" s="218">
        <f>D63+D79+D158</f>
        <v>2731240</v>
      </c>
      <c r="E62" s="218">
        <f>E63+E79+E158</f>
        <v>2731240</v>
      </c>
      <c r="F62" s="218">
        <f>F63+F79+F158</f>
        <v>2824894</v>
      </c>
      <c r="G62" s="433">
        <f>G63+G79+G158</f>
        <v>2596325</v>
      </c>
      <c r="H62" s="683">
        <f t="shared" si="4"/>
        <v>95.060302280282954</v>
      </c>
      <c r="I62" s="205">
        <f t="shared" si="1"/>
        <v>91.90875834633087</v>
      </c>
      <c r="J62" s="284"/>
      <c r="K62" s="533"/>
      <c r="L62" s="238"/>
      <c r="N62" s="622"/>
    </row>
    <row r="63" spans="1:15" ht="26.25">
      <c r="B63" s="219">
        <v>721000</v>
      </c>
      <c r="C63" s="223" t="s">
        <v>180</v>
      </c>
      <c r="D63" s="221">
        <f>D64+D68+D72+D75+D77</f>
        <v>108870</v>
      </c>
      <c r="E63" s="221">
        <f>E64+E68+E72+E75+E77</f>
        <v>108870</v>
      </c>
      <c r="F63" s="221">
        <f t="shared" ref="F63:G63" si="10">F64+F68+F72+F75+F77</f>
        <v>94010</v>
      </c>
      <c r="G63" s="434">
        <f t="shared" si="10"/>
        <v>120703</v>
      </c>
      <c r="H63" s="684">
        <f t="shared" si="4"/>
        <v>110.86892624230732</v>
      </c>
      <c r="I63" s="206">
        <f t="shared" si="1"/>
        <v>128.39378789490479</v>
      </c>
      <c r="K63" s="533"/>
      <c r="L63" s="238"/>
      <c r="N63" s="622"/>
    </row>
    <row r="64" spans="1:15" ht="15" customHeight="1">
      <c r="B64" s="122">
        <v>721100</v>
      </c>
      <c r="C64" s="191" t="s">
        <v>250</v>
      </c>
      <c r="D64" s="119">
        <f>SUM(D65:D67)</f>
        <v>97730</v>
      </c>
      <c r="E64" s="119">
        <f>SUM(E65:E67)</f>
        <v>97730</v>
      </c>
      <c r="F64" s="119">
        <f>SUM(F65:F67)</f>
        <v>78870</v>
      </c>
      <c r="G64" s="435">
        <f t="shared" ref="G64" si="11">SUM(G65:G67)</f>
        <v>105286</v>
      </c>
      <c r="H64" s="689">
        <f t="shared" si="4"/>
        <v>107.73150516729766</v>
      </c>
      <c r="I64" s="120">
        <f t="shared" si="1"/>
        <v>133.49308989476353</v>
      </c>
      <c r="K64" s="833"/>
      <c r="L64" s="284"/>
      <c r="M64" s="834"/>
      <c r="N64" s="834"/>
      <c r="O64" s="834"/>
    </row>
    <row r="65" spans="2:15" ht="15" customHeight="1">
      <c r="B65" s="118">
        <v>721112</v>
      </c>
      <c r="C65" s="189" t="s">
        <v>251</v>
      </c>
      <c r="D65" s="151">
        <v>110</v>
      </c>
      <c r="E65" s="151">
        <v>110</v>
      </c>
      <c r="F65" s="151">
        <v>163</v>
      </c>
      <c r="G65" s="437">
        <v>97</v>
      </c>
      <c r="H65" s="688">
        <f t="shared" si="4"/>
        <v>88.181818181818187</v>
      </c>
      <c r="I65" s="128">
        <f t="shared" si="1"/>
        <v>59.509202453987733</v>
      </c>
      <c r="J65" s="285"/>
      <c r="K65" s="833"/>
      <c r="L65" s="284"/>
      <c r="M65" s="834"/>
      <c r="N65" s="834"/>
      <c r="O65" s="834"/>
    </row>
    <row r="66" spans="2:15" ht="15" customHeight="1">
      <c r="B66" s="118">
        <v>721121</v>
      </c>
      <c r="C66" s="189" t="s">
        <v>661</v>
      </c>
      <c r="D66" s="151">
        <v>97570</v>
      </c>
      <c r="E66" s="151">
        <v>97570</v>
      </c>
      <c r="F66" s="151">
        <v>78657</v>
      </c>
      <c r="G66" s="437">
        <v>105139</v>
      </c>
      <c r="H66" s="690">
        <f t="shared" si="4"/>
        <v>107.75750743056267</v>
      </c>
      <c r="I66" s="678">
        <f t="shared" si="1"/>
        <v>133.66769645422531</v>
      </c>
      <c r="J66" s="532"/>
      <c r="K66" s="833"/>
      <c r="L66" s="284"/>
      <c r="M66" s="834"/>
      <c r="N66" s="834"/>
      <c r="O66" s="834"/>
    </row>
    <row r="67" spans="2:15" s="669" customFormat="1" ht="15" customHeight="1">
      <c r="B67" s="118">
        <v>721123</v>
      </c>
      <c r="C67" s="189" t="s">
        <v>808</v>
      </c>
      <c r="D67" s="151">
        <v>50</v>
      </c>
      <c r="E67" s="151">
        <v>50</v>
      </c>
      <c r="F67" s="151">
        <v>50</v>
      </c>
      <c r="G67" s="437">
        <v>50</v>
      </c>
      <c r="H67" s="690">
        <f t="shared" si="4"/>
        <v>100</v>
      </c>
      <c r="I67" s="678">
        <f t="shared" si="1"/>
        <v>100</v>
      </c>
      <c r="J67" s="532"/>
      <c r="K67" s="833"/>
      <c r="L67" s="284"/>
      <c r="M67" s="834"/>
      <c r="N67" s="834"/>
      <c r="O67" s="834"/>
    </row>
    <row r="68" spans="2:15" ht="15" customHeight="1">
      <c r="B68" s="130">
        <v>721200</v>
      </c>
      <c r="C68" s="191" t="s">
        <v>252</v>
      </c>
      <c r="D68" s="65">
        <f>SUM(D69:D71)</f>
        <v>11010</v>
      </c>
      <c r="E68" s="65">
        <f>SUM(E69:E71)</f>
        <v>11010</v>
      </c>
      <c r="F68" s="65">
        <f>SUM(F69:F71)</f>
        <v>14840</v>
      </c>
      <c r="G68" s="435">
        <f>SUM(G69:G71)</f>
        <v>15313</v>
      </c>
      <c r="H68" s="689">
        <f t="shared" si="4"/>
        <v>139.08265213442326</v>
      </c>
      <c r="I68" s="120">
        <f t="shared" si="1"/>
        <v>103.18733153638814</v>
      </c>
      <c r="K68" s="833"/>
      <c r="L68" s="284"/>
      <c r="M68" s="834"/>
      <c r="N68" s="834"/>
      <c r="O68" s="834"/>
    </row>
    <row r="69" spans="2:15" ht="15" customHeight="1">
      <c r="B69" s="131">
        <v>721211</v>
      </c>
      <c r="C69" s="189" t="s">
        <v>253</v>
      </c>
      <c r="D69" s="129">
        <v>450</v>
      </c>
      <c r="E69" s="129">
        <v>450</v>
      </c>
      <c r="F69" s="129">
        <v>394</v>
      </c>
      <c r="G69" s="436">
        <v>438</v>
      </c>
      <c r="H69" s="688">
        <f t="shared" si="4"/>
        <v>97.333333333333343</v>
      </c>
      <c r="I69" s="128">
        <f t="shared" si="1"/>
        <v>111.16751269035532</v>
      </c>
      <c r="K69" s="833"/>
      <c r="L69" s="284"/>
      <c r="M69" s="834"/>
      <c r="N69" s="834"/>
      <c r="O69" s="834"/>
    </row>
    <row r="70" spans="2:15" ht="15" customHeight="1">
      <c r="B70" s="131">
        <v>721225</v>
      </c>
      <c r="C70" s="189" t="s">
        <v>512</v>
      </c>
      <c r="D70" s="124">
        <v>8010</v>
      </c>
      <c r="E70" s="124">
        <v>8010</v>
      </c>
      <c r="F70" s="124">
        <v>8006</v>
      </c>
      <c r="G70" s="437">
        <v>8006</v>
      </c>
      <c r="H70" s="688">
        <f t="shared" si="4"/>
        <v>99.950062421972532</v>
      </c>
      <c r="I70" s="128">
        <f t="shared" si="1"/>
        <v>100</v>
      </c>
      <c r="K70" s="833"/>
      <c r="L70" s="284"/>
      <c r="M70" s="834"/>
      <c r="N70" s="834"/>
      <c r="O70" s="834"/>
    </row>
    <row r="71" spans="2:15" ht="15" customHeight="1">
      <c r="B71" s="131">
        <v>721227</v>
      </c>
      <c r="C71" s="189" t="s">
        <v>529</v>
      </c>
      <c r="D71" s="124">
        <v>2550</v>
      </c>
      <c r="E71" s="124">
        <v>2550</v>
      </c>
      <c r="F71" s="124">
        <v>6440</v>
      </c>
      <c r="G71" s="437">
        <v>6869</v>
      </c>
      <c r="H71" s="688">
        <f t="shared" si="4"/>
        <v>269.37254901960785</v>
      </c>
      <c r="I71" s="128">
        <f t="shared" si="1"/>
        <v>106.66149068322981</v>
      </c>
      <c r="K71" s="833"/>
      <c r="L71" s="284"/>
      <c r="M71" s="834"/>
      <c r="N71" s="834"/>
      <c r="O71" s="834"/>
    </row>
    <row r="72" spans="2:15" ht="15" customHeight="1">
      <c r="B72" s="130">
        <v>721300</v>
      </c>
      <c r="C72" s="191" t="s">
        <v>254</v>
      </c>
      <c r="D72" s="65">
        <f t="shared" ref="D72:E72" si="12">SUM(D73:D74)</f>
        <v>0</v>
      </c>
      <c r="E72" s="65">
        <f t="shared" si="12"/>
        <v>0</v>
      </c>
      <c r="F72" s="65">
        <f t="shared" ref="F72" si="13">SUM(F73:F74)</f>
        <v>50</v>
      </c>
      <c r="G72" s="435">
        <f>SUM(G73:G74)</f>
        <v>0</v>
      </c>
      <c r="H72" s="689" t="str">
        <f t="shared" si="4"/>
        <v/>
      </c>
      <c r="I72" s="120">
        <f t="shared" si="1"/>
        <v>0</v>
      </c>
      <c r="K72" s="533"/>
      <c r="L72" s="238"/>
      <c r="N72" s="622"/>
    </row>
    <row r="73" spans="2:15" s="527" customFormat="1" ht="15" customHeight="1">
      <c r="B73" s="131">
        <v>721311</v>
      </c>
      <c r="C73" s="189" t="s">
        <v>671</v>
      </c>
      <c r="D73" s="66">
        <v>0</v>
      </c>
      <c r="E73" s="66">
        <v>0</v>
      </c>
      <c r="F73" s="66">
        <v>50</v>
      </c>
      <c r="G73" s="436">
        <v>0</v>
      </c>
      <c r="H73" s="688" t="str">
        <f t="shared" si="4"/>
        <v/>
      </c>
      <c r="I73" s="128">
        <f t="shared" si="1"/>
        <v>0</v>
      </c>
      <c r="J73" s="185"/>
      <c r="K73" s="533"/>
      <c r="L73" s="238"/>
      <c r="M73" s="185"/>
      <c r="N73" s="622"/>
    </row>
    <row r="74" spans="2:15" ht="15" customHeight="1">
      <c r="B74" s="131">
        <v>721312</v>
      </c>
      <c r="C74" s="189" t="s">
        <v>255</v>
      </c>
      <c r="D74" s="66">
        <v>0</v>
      </c>
      <c r="E74" s="66">
        <v>0</v>
      </c>
      <c r="F74" s="66">
        <v>0</v>
      </c>
      <c r="G74" s="436">
        <v>0</v>
      </c>
      <c r="H74" s="688" t="str">
        <f t="shared" ref="H74:H109" si="14">IF(E74=0,"",G74/E74*100)</f>
        <v/>
      </c>
      <c r="I74" s="128" t="str">
        <f t="shared" si="1"/>
        <v/>
      </c>
      <c r="K74" s="533"/>
      <c r="L74" s="238"/>
      <c r="N74" s="622"/>
    </row>
    <row r="75" spans="2:15" ht="15" customHeight="1">
      <c r="B75" s="130">
        <v>721500</v>
      </c>
      <c r="C75" s="191" t="s">
        <v>256</v>
      </c>
      <c r="D75" s="65">
        <f>D76</f>
        <v>100</v>
      </c>
      <c r="E75" s="65">
        <f>E76</f>
        <v>100</v>
      </c>
      <c r="F75" s="65">
        <f>F76</f>
        <v>250</v>
      </c>
      <c r="G75" s="435">
        <f>G76</f>
        <v>77</v>
      </c>
      <c r="H75" s="689">
        <f t="shared" si="14"/>
        <v>77</v>
      </c>
      <c r="I75" s="120">
        <f t="shared" ref="I75:I144" si="15">IF(F75=0,"",G75/F75*100)</f>
        <v>30.8</v>
      </c>
      <c r="K75" s="533"/>
      <c r="L75" s="238"/>
      <c r="N75" s="622"/>
    </row>
    <row r="76" spans="2:15" ht="15" customHeight="1">
      <c r="B76" s="131">
        <v>721511</v>
      </c>
      <c r="C76" s="189" t="s">
        <v>256</v>
      </c>
      <c r="D76" s="66">
        <v>100</v>
      </c>
      <c r="E76" s="66">
        <v>100</v>
      </c>
      <c r="F76" s="66">
        <v>250</v>
      </c>
      <c r="G76" s="436">
        <v>77</v>
      </c>
      <c r="H76" s="688">
        <f t="shared" si="14"/>
        <v>77</v>
      </c>
      <c r="I76" s="128">
        <f t="shared" si="15"/>
        <v>30.8</v>
      </c>
      <c r="K76" s="533"/>
      <c r="L76" s="238"/>
      <c r="N76" s="622"/>
    </row>
    <row r="77" spans="2:15" s="809" customFormat="1" ht="15" customHeight="1">
      <c r="B77" s="130">
        <v>721700</v>
      </c>
      <c r="C77" s="191" t="s">
        <v>850</v>
      </c>
      <c r="D77" s="65">
        <f>D78</f>
        <v>30</v>
      </c>
      <c r="E77" s="65">
        <f>E78</f>
        <v>30</v>
      </c>
      <c r="F77" s="65">
        <f>F78</f>
        <v>0</v>
      </c>
      <c r="G77" s="435">
        <f>G78</f>
        <v>27</v>
      </c>
      <c r="H77" s="689">
        <f t="shared" ref="H77:H78" si="16">IF(E77=0,"",G77/E77*100)</f>
        <v>90</v>
      </c>
      <c r="I77" s="120" t="str">
        <f t="shared" ref="I77:I78" si="17">IF(F77=0,"",G77/F77*100)</f>
        <v/>
      </c>
      <c r="J77" s="185"/>
      <c r="K77" s="533"/>
      <c r="L77" s="238"/>
      <c r="M77" s="185"/>
    </row>
    <row r="78" spans="2:15" s="809" customFormat="1" ht="15" customHeight="1">
      <c r="B78" s="131">
        <v>721712</v>
      </c>
      <c r="C78" s="189" t="s">
        <v>851</v>
      </c>
      <c r="D78" s="66">
        <v>30</v>
      </c>
      <c r="E78" s="66">
        <v>30</v>
      </c>
      <c r="F78" s="66">
        <v>0</v>
      </c>
      <c r="G78" s="436">
        <v>27</v>
      </c>
      <c r="H78" s="688">
        <f t="shared" si="16"/>
        <v>90</v>
      </c>
      <c r="I78" s="128" t="str">
        <f t="shared" si="17"/>
        <v/>
      </c>
      <c r="J78" s="185"/>
      <c r="K78" s="533"/>
      <c r="L78" s="238"/>
      <c r="M78" s="185"/>
    </row>
    <row r="79" spans="2:15" ht="15">
      <c r="B79" s="219">
        <v>722000</v>
      </c>
      <c r="C79" s="220" t="s">
        <v>317</v>
      </c>
      <c r="D79" s="224">
        <f>D80+D82+D84+D101+D143+D152</f>
        <v>2100400</v>
      </c>
      <c r="E79" s="224">
        <f>E80+E82+E84+E101+E143+E152</f>
        <v>2100400</v>
      </c>
      <c r="F79" s="224">
        <f>F80+F82+F84+F101+F143+F152</f>
        <v>2102582</v>
      </c>
      <c r="G79" s="433">
        <f>G80+G82+G84+G101+G143+G152</f>
        <v>2021322</v>
      </c>
      <c r="H79" s="684">
        <f t="shared" si="14"/>
        <v>96.235098076556852</v>
      </c>
      <c r="I79" s="206">
        <f t="shared" si="15"/>
        <v>96.135228019644416</v>
      </c>
      <c r="K79" s="533"/>
      <c r="L79" s="238"/>
      <c r="N79" s="622"/>
    </row>
    <row r="80" spans="2:15" ht="15" customHeight="1">
      <c r="B80" s="122">
        <v>722100</v>
      </c>
      <c r="C80" s="138" t="s">
        <v>257</v>
      </c>
      <c r="D80" s="136">
        <f>D81</f>
        <v>99980</v>
      </c>
      <c r="E80" s="136">
        <f>E81</f>
        <v>99980</v>
      </c>
      <c r="F80" s="136">
        <f>F81</f>
        <v>111116</v>
      </c>
      <c r="G80" s="438">
        <f>G81</f>
        <v>95370</v>
      </c>
      <c r="H80" s="689">
        <f t="shared" si="14"/>
        <v>95.389077815563112</v>
      </c>
      <c r="I80" s="120">
        <f t="shared" si="15"/>
        <v>85.829223514165378</v>
      </c>
      <c r="K80" s="533"/>
      <c r="L80" s="238"/>
      <c r="N80" s="622"/>
    </row>
    <row r="81" spans="2:16" ht="15" customHeight="1">
      <c r="B81" s="126">
        <v>722121</v>
      </c>
      <c r="C81" s="195" t="s">
        <v>258</v>
      </c>
      <c r="D81" s="124">
        <v>99980</v>
      </c>
      <c r="E81" s="124">
        <v>99980</v>
      </c>
      <c r="F81" s="124">
        <v>111116</v>
      </c>
      <c r="G81" s="437">
        <v>95370</v>
      </c>
      <c r="H81" s="688">
        <f t="shared" si="14"/>
        <v>95.389077815563112</v>
      </c>
      <c r="I81" s="128">
        <f t="shared" si="15"/>
        <v>85.829223514165378</v>
      </c>
      <c r="K81" s="533"/>
      <c r="L81" s="238"/>
      <c r="N81" s="622"/>
    </row>
    <row r="82" spans="2:16" ht="15" customHeight="1">
      <c r="B82" s="122">
        <v>722200</v>
      </c>
      <c r="C82" s="138" t="s">
        <v>259</v>
      </c>
      <c r="D82" s="136">
        <f>D83</f>
        <v>403760</v>
      </c>
      <c r="E82" s="136">
        <f>E83</f>
        <v>403760</v>
      </c>
      <c r="F82" s="136">
        <f>F83</f>
        <v>398853</v>
      </c>
      <c r="G82" s="438">
        <f>G83</f>
        <v>416137</v>
      </c>
      <c r="H82" s="689">
        <f t="shared" si="14"/>
        <v>103.0654349118288</v>
      </c>
      <c r="I82" s="120">
        <f t="shared" si="15"/>
        <v>104.33342609933986</v>
      </c>
      <c r="K82" s="533"/>
      <c r="L82" s="238"/>
      <c r="M82" s="286"/>
      <c r="N82" s="622"/>
    </row>
    <row r="83" spans="2:16" ht="15" customHeight="1">
      <c r="B83" s="126">
        <v>722221</v>
      </c>
      <c r="C83" s="195" t="s">
        <v>260</v>
      </c>
      <c r="D83" s="529">
        <v>403760</v>
      </c>
      <c r="E83" s="529">
        <v>403760</v>
      </c>
      <c r="F83" s="529">
        <v>398853</v>
      </c>
      <c r="G83" s="437">
        <v>416137</v>
      </c>
      <c r="H83" s="688">
        <f t="shared" si="14"/>
        <v>103.0654349118288</v>
      </c>
      <c r="I83" s="128">
        <f t="shared" si="15"/>
        <v>104.33342609933986</v>
      </c>
      <c r="K83" s="533"/>
      <c r="L83" s="238"/>
      <c r="N83" s="622"/>
    </row>
    <row r="84" spans="2:16" ht="15" customHeight="1">
      <c r="B84" s="122">
        <v>722400</v>
      </c>
      <c r="C84" s="138" t="s">
        <v>261</v>
      </c>
      <c r="D84" s="136">
        <f t="shared" ref="D84:E84" si="18">D85+D92+D95</f>
        <v>260870</v>
      </c>
      <c r="E84" s="136">
        <f t="shared" si="18"/>
        <v>260870</v>
      </c>
      <c r="F84" s="136">
        <f t="shared" ref="F84:G84" si="19">F85+F92+F95</f>
        <v>325818</v>
      </c>
      <c r="G84" s="438">
        <f t="shared" si="19"/>
        <v>245761</v>
      </c>
      <c r="H84" s="689">
        <f t="shared" si="14"/>
        <v>94.208226319622796</v>
      </c>
      <c r="I84" s="120">
        <f t="shared" si="15"/>
        <v>75.42892044024579</v>
      </c>
      <c r="K84" s="533"/>
      <c r="L84" s="238"/>
      <c r="N84" s="622"/>
      <c r="P84" s="74"/>
    </row>
    <row r="85" spans="2:16" ht="15" customHeight="1">
      <c r="B85" s="139">
        <v>722420</v>
      </c>
      <c r="C85" s="196" t="s">
        <v>262</v>
      </c>
      <c r="D85" s="127">
        <f>D86+D87+D90+D91</f>
        <v>111070</v>
      </c>
      <c r="E85" s="127">
        <f>E86+E87+E90+E91</f>
        <v>111070</v>
      </c>
      <c r="F85" s="127">
        <f>F86+F87+F90+F91</f>
        <v>146500</v>
      </c>
      <c r="G85" s="440">
        <f>G86+G87+G90+G91</f>
        <v>96275</v>
      </c>
      <c r="H85" s="689">
        <f t="shared" si="14"/>
        <v>86.679571441433339</v>
      </c>
      <c r="I85" s="120">
        <f t="shared" si="15"/>
        <v>65.716723549488052</v>
      </c>
      <c r="K85" s="533"/>
      <c r="L85" s="238"/>
      <c r="N85" s="622"/>
    </row>
    <row r="86" spans="2:16" ht="15" customHeight="1">
      <c r="B86" s="126">
        <v>722421</v>
      </c>
      <c r="C86" s="195" t="s">
        <v>262</v>
      </c>
      <c r="D86" s="529">
        <v>10</v>
      </c>
      <c r="E86" s="529">
        <v>10</v>
      </c>
      <c r="F86" s="529">
        <v>0</v>
      </c>
      <c r="G86" s="437">
        <v>0</v>
      </c>
      <c r="H86" s="688">
        <f t="shared" si="14"/>
        <v>0</v>
      </c>
      <c r="I86" s="128" t="str">
        <f t="shared" si="15"/>
        <v/>
      </c>
      <c r="K86" s="533"/>
      <c r="L86" s="238"/>
      <c r="N86" s="622"/>
    </row>
    <row r="87" spans="2:16" ht="15" customHeight="1">
      <c r="B87" s="126">
        <v>722422</v>
      </c>
      <c r="C87" s="195" t="s">
        <v>324</v>
      </c>
      <c r="D87" s="393">
        <f t="shared" ref="D87:E87" si="20">SUM(D88:D89)</f>
        <v>102430</v>
      </c>
      <c r="E87" s="393">
        <f t="shared" si="20"/>
        <v>102430</v>
      </c>
      <c r="F87" s="393">
        <f t="shared" ref="F87:G87" si="21">SUM(F88:F89)</f>
        <v>139391</v>
      </c>
      <c r="G87" s="437">
        <f t="shared" si="21"/>
        <v>87854</v>
      </c>
      <c r="H87" s="688">
        <f t="shared" si="14"/>
        <v>85.769794005662405</v>
      </c>
      <c r="I87" s="128">
        <f t="shared" si="15"/>
        <v>63.027024700303457</v>
      </c>
      <c r="K87" s="533"/>
      <c r="L87" s="238"/>
      <c r="N87" s="622"/>
    </row>
    <row r="88" spans="2:16" s="812" customFormat="1" ht="15" customHeight="1">
      <c r="B88" s="813"/>
      <c r="C88" s="821" t="s">
        <v>840</v>
      </c>
      <c r="D88" s="815">
        <v>7340</v>
      </c>
      <c r="E88" s="815">
        <v>7340</v>
      </c>
      <c r="F88" s="815">
        <v>90332</v>
      </c>
      <c r="G88" s="816">
        <v>0</v>
      </c>
      <c r="H88" s="823">
        <f t="shared" ref="H88" si="22">IF(E88=0,"",G88/E88*100)</f>
        <v>0</v>
      </c>
      <c r="I88" s="824">
        <f t="shared" ref="I88" si="23">IF(F88=0,"",G88/F88*100)</f>
        <v>0</v>
      </c>
      <c r="J88" s="820"/>
      <c r="K88" s="819"/>
      <c r="L88" s="819"/>
      <c r="M88" s="820"/>
    </row>
    <row r="89" spans="2:16" s="812" customFormat="1" ht="15" customHeight="1">
      <c r="B89" s="813"/>
      <c r="C89" s="821" t="s">
        <v>837</v>
      </c>
      <c r="D89" s="815">
        <v>95090</v>
      </c>
      <c r="E89" s="815">
        <v>95090</v>
      </c>
      <c r="F89" s="815">
        <f>139391-90332</f>
        <v>49059</v>
      </c>
      <c r="G89" s="816">
        <f>97801-9947</f>
        <v>87854</v>
      </c>
      <c r="H89" s="823">
        <f t="shared" si="14"/>
        <v>92.390367020717207</v>
      </c>
      <c r="I89" s="824">
        <f t="shared" si="15"/>
        <v>179.07825271611733</v>
      </c>
      <c r="J89" s="820"/>
      <c r="K89" s="819"/>
      <c r="L89" s="819"/>
      <c r="M89" s="820"/>
    </row>
    <row r="90" spans="2:16" ht="15" customHeight="1">
      <c r="B90" s="126">
        <v>722424</v>
      </c>
      <c r="C90" s="195" t="s">
        <v>265</v>
      </c>
      <c r="D90" s="529">
        <v>7520</v>
      </c>
      <c r="E90" s="529">
        <v>7520</v>
      </c>
      <c r="F90" s="529">
        <v>7109</v>
      </c>
      <c r="G90" s="437">
        <v>7419</v>
      </c>
      <c r="H90" s="688">
        <f t="shared" si="14"/>
        <v>98.656914893617014</v>
      </c>
      <c r="I90" s="128">
        <f t="shared" si="15"/>
        <v>104.36066957377972</v>
      </c>
      <c r="K90" s="533"/>
      <c r="L90" s="238"/>
      <c r="N90" s="622"/>
    </row>
    <row r="91" spans="2:16" ht="15" customHeight="1">
      <c r="B91" s="126">
        <v>722429</v>
      </c>
      <c r="C91" s="195" t="s">
        <v>263</v>
      </c>
      <c r="D91" s="529">
        <v>1110</v>
      </c>
      <c r="E91" s="529">
        <v>1110</v>
      </c>
      <c r="F91" s="529">
        <v>0</v>
      </c>
      <c r="G91" s="437">
        <v>1002</v>
      </c>
      <c r="H91" s="688">
        <f t="shared" si="14"/>
        <v>90.270270270270274</v>
      </c>
      <c r="I91" s="128" t="str">
        <f t="shared" si="15"/>
        <v/>
      </c>
      <c r="K91" s="533"/>
      <c r="L91" s="238"/>
      <c r="N91" s="622"/>
    </row>
    <row r="92" spans="2:16" ht="15" customHeight="1">
      <c r="B92" s="137">
        <v>722450</v>
      </c>
      <c r="C92" s="196" t="s">
        <v>264</v>
      </c>
      <c r="D92" s="134">
        <f>SUM(D93:D94)</f>
        <v>1170</v>
      </c>
      <c r="E92" s="134">
        <f>SUM(E93:E94)</f>
        <v>1170</v>
      </c>
      <c r="F92" s="134">
        <f>SUM(F93:F94)</f>
        <v>2428</v>
      </c>
      <c r="G92" s="440">
        <f>SUM(G93:G94)</f>
        <v>1028</v>
      </c>
      <c r="H92" s="689">
        <f t="shared" si="14"/>
        <v>87.863247863247864</v>
      </c>
      <c r="I92" s="120">
        <f t="shared" si="15"/>
        <v>42.33937397034596</v>
      </c>
      <c r="K92" s="533"/>
      <c r="L92" s="238"/>
      <c r="N92" s="622"/>
    </row>
    <row r="93" spans="2:16" ht="15" customHeight="1">
      <c r="B93" s="126">
        <v>722451</v>
      </c>
      <c r="C93" s="195" t="s">
        <v>266</v>
      </c>
      <c r="D93" s="529">
        <v>1170</v>
      </c>
      <c r="E93" s="529">
        <v>1170</v>
      </c>
      <c r="F93" s="529">
        <v>1324</v>
      </c>
      <c r="G93" s="437">
        <v>1028</v>
      </c>
      <c r="H93" s="688">
        <f t="shared" si="14"/>
        <v>87.863247863247864</v>
      </c>
      <c r="I93" s="128">
        <f t="shared" si="15"/>
        <v>77.643504531722058</v>
      </c>
      <c r="K93" s="533"/>
      <c r="L93" s="238"/>
      <c r="N93" s="622"/>
    </row>
    <row r="94" spans="2:16" ht="15" customHeight="1">
      <c r="B94" s="126">
        <v>722454</v>
      </c>
      <c r="C94" s="195" t="s">
        <v>267</v>
      </c>
      <c r="D94" s="529">
        <v>0</v>
      </c>
      <c r="E94" s="529">
        <v>0</v>
      </c>
      <c r="F94" s="529">
        <v>1104</v>
      </c>
      <c r="G94" s="437">
        <v>0</v>
      </c>
      <c r="H94" s="688" t="str">
        <f t="shared" si="14"/>
        <v/>
      </c>
      <c r="I94" s="128">
        <f t="shared" si="15"/>
        <v>0</v>
      </c>
      <c r="K94" s="533"/>
      <c r="L94" s="238"/>
      <c r="N94" s="622"/>
    </row>
    <row r="95" spans="2:16" ht="25.5">
      <c r="B95" s="137">
        <v>722470</v>
      </c>
      <c r="C95" s="198" t="s">
        <v>318</v>
      </c>
      <c r="D95" s="134">
        <f t="shared" ref="D95:E95" si="24">D96+D99+D100</f>
        <v>148630</v>
      </c>
      <c r="E95" s="134">
        <f t="shared" si="24"/>
        <v>148630</v>
      </c>
      <c r="F95" s="134">
        <f t="shared" ref="F95:G95" si="25">F96+F99+F100</f>
        <v>176890</v>
      </c>
      <c r="G95" s="440">
        <f t="shared" si="25"/>
        <v>148458</v>
      </c>
      <c r="H95" s="689">
        <f t="shared" si="14"/>
        <v>99.884276391038156</v>
      </c>
      <c r="I95" s="120">
        <f t="shared" si="15"/>
        <v>83.926734128554472</v>
      </c>
      <c r="K95" s="533"/>
      <c r="L95" s="238"/>
      <c r="N95" s="622"/>
    </row>
    <row r="96" spans="2:16" ht="15" customHeight="1">
      <c r="B96" s="126">
        <v>722471</v>
      </c>
      <c r="C96" s="195" t="s">
        <v>268</v>
      </c>
      <c r="D96" s="393">
        <f t="shared" ref="D96:E96" si="26">SUM(D97:D98)</f>
        <v>114590</v>
      </c>
      <c r="E96" s="393">
        <f t="shared" si="26"/>
        <v>114590</v>
      </c>
      <c r="F96" s="393">
        <f t="shared" ref="F96:G96" si="27">SUM(F97:F98)</f>
        <v>124330</v>
      </c>
      <c r="G96" s="437">
        <f t="shared" si="27"/>
        <v>109775</v>
      </c>
      <c r="H96" s="688">
        <f t="shared" si="14"/>
        <v>95.798062658172611</v>
      </c>
      <c r="I96" s="128">
        <f t="shared" si="15"/>
        <v>88.293251829807772</v>
      </c>
      <c r="K96" s="533"/>
      <c r="L96" s="238"/>
      <c r="N96" s="622"/>
    </row>
    <row r="97" spans="2:14" s="812" customFormat="1" ht="15" customHeight="1">
      <c r="B97" s="813"/>
      <c r="C97" s="821" t="s">
        <v>839</v>
      </c>
      <c r="D97" s="815">
        <v>17750</v>
      </c>
      <c r="E97" s="815">
        <v>17750</v>
      </c>
      <c r="F97" s="815">
        <v>39171</v>
      </c>
      <c r="G97" s="816">
        <v>23174</v>
      </c>
      <c r="H97" s="823">
        <f t="shared" ref="H97" si="28">IF(E97=0,"",G97/E97*100)</f>
        <v>130.55774647887324</v>
      </c>
      <c r="I97" s="824">
        <f t="shared" ref="I97" si="29">IF(F97=0,"",G97/F97*100)</f>
        <v>59.161114089504999</v>
      </c>
      <c r="J97" s="820"/>
      <c r="K97" s="819"/>
      <c r="L97" s="819"/>
      <c r="M97" s="820"/>
    </row>
    <row r="98" spans="2:14" s="812" customFormat="1" ht="15" customHeight="1">
      <c r="B98" s="813"/>
      <c r="C98" s="821" t="s">
        <v>837</v>
      </c>
      <c r="D98" s="815">
        <v>96840</v>
      </c>
      <c r="E98" s="815">
        <v>96840</v>
      </c>
      <c r="F98" s="815">
        <f>124330-39171</f>
        <v>85159</v>
      </c>
      <c r="G98" s="816">
        <v>86601</v>
      </c>
      <c r="H98" s="823">
        <f t="shared" si="14"/>
        <v>89.426889714993806</v>
      </c>
      <c r="I98" s="824">
        <f t="shared" si="15"/>
        <v>101.69330311534894</v>
      </c>
      <c r="J98" s="820"/>
      <c r="K98" s="819"/>
      <c r="L98" s="819"/>
      <c r="M98" s="820"/>
    </row>
    <row r="99" spans="2:14" ht="25.5">
      <c r="B99" s="126">
        <v>722472</v>
      </c>
      <c r="C99" s="197" t="s">
        <v>269</v>
      </c>
      <c r="D99" s="529">
        <v>33880</v>
      </c>
      <c r="E99" s="529">
        <v>33880</v>
      </c>
      <c r="F99" s="529">
        <v>48636</v>
      </c>
      <c r="G99" s="437">
        <v>38543</v>
      </c>
      <c r="H99" s="688">
        <f t="shared" si="14"/>
        <v>113.76328217237308</v>
      </c>
      <c r="I99" s="128">
        <f t="shared" si="15"/>
        <v>79.247882227156836</v>
      </c>
      <c r="K99" s="533"/>
      <c r="L99" s="238"/>
      <c r="N99" s="622"/>
    </row>
    <row r="100" spans="2:14" ht="17.100000000000001" customHeight="1">
      <c r="B100" s="126">
        <v>722479</v>
      </c>
      <c r="C100" s="197" t="s">
        <v>513</v>
      </c>
      <c r="D100" s="529">
        <v>160</v>
      </c>
      <c r="E100" s="529">
        <v>160</v>
      </c>
      <c r="F100" s="529">
        <v>3924</v>
      </c>
      <c r="G100" s="437">
        <v>140</v>
      </c>
      <c r="H100" s="688">
        <f t="shared" si="14"/>
        <v>87.5</v>
      </c>
      <c r="I100" s="128">
        <f t="shared" si="15"/>
        <v>3.5677879714576961</v>
      </c>
      <c r="K100" s="533"/>
      <c r="L100" s="238"/>
      <c r="N100" s="622"/>
    </row>
    <row r="101" spans="2:14" ht="17.100000000000001" customHeight="1">
      <c r="B101" s="122">
        <v>722500</v>
      </c>
      <c r="C101" s="50" t="s">
        <v>519</v>
      </c>
      <c r="D101" s="140">
        <f>D102+D107+D118+D123+D125+D135</f>
        <v>945120</v>
      </c>
      <c r="E101" s="140">
        <f>E102+E107+E118+E123+E125+E135</f>
        <v>945120</v>
      </c>
      <c r="F101" s="140">
        <f>F102+F107+F118+F123+F125+F135</f>
        <v>831590</v>
      </c>
      <c r="G101" s="438">
        <f>G102+G107+G118+G123+G125+G135</f>
        <v>900910</v>
      </c>
      <c r="H101" s="689">
        <f t="shared" si="14"/>
        <v>95.322287116979851</v>
      </c>
      <c r="I101" s="120">
        <f t="shared" si="15"/>
        <v>108.33583857429743</v>
      </c>
      <c r="K101" s="533"/>
      <c r="L101" s="238"/>
      <c r="N101" s="622"/>
    </row>
    <row r="102" spans="2:14" ht="27" customHeight="1">
      <c r="B102" s="137">
        <v>722510</v>
      </c>
      <c r="C102" s="141" t="s">
        <v>319</v>
      </c>
      <c r="D102" s="134">
        <f t="shared" ref="D102:E102" si="30">SUM(D103:D106)</f>
        <v>11150</v>
      </c>
      <c r="E102" s="134">
        <f t="shared" si="30"/>
        <v>11150</v>
      </c>
      <c r="F102" s="134">
        <f t="shared" ref="F102" si="31">SUM(F103:F106)</f>
        <v>12262</v>
      </c>
      <c r="G102" s="440">
        <f t="shared" ref="G102" si="32">SUM(G103:G106)</f>
        <v>11461</v>
      </c>
      <c r="H102" s="689">
        <f t="shared" si="14"/>
        <v>102.78923766816143</v>
      </c>
      <c r="I102" s="120">
        <f t="shared" si="15"/>
        <v>93.467623552438425</v>
      </c>
      <c r="K102" s="533"/>
      <c r="L102" s="238"/>
      <c r="N102" s="622"/>
    </row>
    <row r="103" spans="2:14" ht="25.5">
      <c r="B103" s="118">
        <v>722511</v>
      </c>
      <c r="C103" s="82" t="s">
        <v>530</v>
      </c>
      <c r="D103" s="529">
        <v>70</v>
      </c>
      <c r="E103" s="529">
        <v>70</v>
      </c>
      <c r="F103" s="529">
        <v>10</v>
      </c>
      <c r="G103" s="437">
        <v>60</v>
      </c>
      <c r="H103" s="688">
        <f t="shared" si="14"/>
        <v>85.714285714285708</v>
      </c>
      <c r="I103" s="128">
        <f t="shared" si="15"/>
        <v>600</v>
      </c>
      <c r="K103" s="533"/>
      <c r="L103" s="238"/>
      <c r="N103" s="622"/>
    </row>
    <row r="104" spans="2:14" ht="25.5">
      <c r="B104" s="118">
        <v>722514</v>
      </c>
      <c r="C104" s="82" t="s">
        <v>284</v>
      </c>
      <c r="D104" s="529">
        <v>2550</v>
      </c>
      <c r="E104" s="529">
        <v>2550</v>
      </c>
      <c r="F104" s="529">
        <v>1572</v>
      </c>
      <c r="G104" s="437">
        <v>2656</v>
      </c>
      <c r="H104" s="688">
        <f t="shared" si="14"/>
        <v>104.15686274509804</v>
      </c>
      <c r="I104" s="128">
        <f t="shared" si="15"/>
        <v>168.95674300254453</v>
      </c>
      <c r="K104" s="533"/>
      <c r="L104" s="238"/>
      <c r="N104" s="622"/>
    </row>
    <row r="105" spans="2:14" ht="15" customHeight="1">
      <c r="B105" s="118">
        <v>722515</v>
      </c>
      <c r="C105" s="83" t="s">
        <v>270</v>
      </c>
      <c r="D105" s="529">
        <v>8480</v>
      </c>
      <c r="E105" s="529">
        <v>8480</v>
      </c>
      <c r="F105" s="529">
        <v>10661</v>
      </c>
      <c r="G105" s="437">
        <v>8709</v>
      </c>
      <c r="H105" s="688">
        <f t="shared" si="14"/>
        <v>102.7004716981132</v>
      </c>
      <c r="I105" s="128">
        <f t="shared" si="15"/>
        <v>81.690272957508682</v>
      </c>
      <c r="K105" s="533"/>
      <c r="L105" s="238"/>
      <c r="N105" s="622"/>
    </row>
    <row r="106" spans="2:14" ht="15" customHeight="1">
      <c r="B106" s="118">
        <v>722516</v>
      </c>
      <c r="C106" s="83" t="s">
        <v>271</v>
      </c>
      <c r="D106" s="529">
        <v>50</v>
      </c>
      <c r="E106" s="529">
        <v>50</v>
      </c>
      <c r="F106" s="529">
        <v>19</v>
      </c>
      <c r="G106" s="437">
        <v>36</v>
      </c>
      <c r="H106" s="688">
        <f t="shared" si="14"/>
        <v>72</v>
      </c>
      <c r="I106" s="128">
        <f t="shared" si="15"/>
        <v>189.4736842105263</v>
      </c>
      <c r="K106" s="533"/>
      <c r="L106" s="238"/>
      <c r="N106" s="622"/>
    </row>
    <row r="107" spans="2:14" ht="15" customHeight="1">
      <c r="B107" s="137">
        <v>722520</v>
      </c>
      <c r="C107" s="142" t="s">
        <v>272</v>
      </c>
      <c r="D107" s="134">
        <f>D108+D110+D111+D112+D113+D114+D115+D116+D117</f>
        <v>180000</v>
      </c>
      <c r="E107" s="134">
        <f>E108+E110+E111+E112+E113+E114+E115+E116+E117</f>
        <v>180000</v>
      </c>
      <c r="F107" s="134">
        <f>F108+F110+F111+F112+F113+F114+F115+F116+F117</f>
        <v>228848</v>
      </c>
      <c r="G107" s="440">
        <f>G108+G110+G111+G112+G113+G114+G115+G116+G117</f>
        <v>179553</v>
      </c>
      <c r="H107" s="689">
        <f t="shared" si="14"/>
        <v>99.751666666666665</v>
      </c>
      <c r="I107" s="120">
        <f t="shared" si="15"/>
        <v>78.459501503181144</v>
      </c>
      <c r="K107" s="533"/>
      <c r="L107" s="238"/>
      <c r="N107" s="622"/>
    </row>
    <row r="108" spans="2:14" ht="25.5">
      <c r="B108" s="118">
        <v>722521</v>
      </c>
      <c r="C108" s="82" t="s">
        <v>285</v>
      </c>
      <c r="D108" s="392">
        <f>D109</f>
        <v>21350</v>
      </c>
      <c r="E108" s="392">
        <f>E109</f>
        <v>21350</v>
      </c>
      <c r="F108" s="392">
        <f>F109</f>
        <v>96295</v>
      </c>
      <c r="G108" s="437">
        <f>G109</f>
        <v>21350</v>
      </c>
      <c r="H108" s="688">
        <f t="shared" si="14"/>
        <v>100</v>
      </c>
      <c r="I108" s="128">
        <f t="shared" si="15"/>
        <v>22.171452308011837</v>
      </c>
      <c r="K108" s="533"/>
      <c r="L108" s="238"/>
      <c r="N108" s="622"/>
    </row>
    <row r="109" spans="2:14" s="812" customFormat="1" ht="15" customHeight="1">
      <c r="B109" s="813"/>
      <c r="C109" s="821" t="s">
        <v>657</v>
      </c>
      <c r="D109" s="815">
        <v>21350</v>
      </c>
      <c r="E109" s="815">
        <v>21350</v>
      </c>
      <c r="F109" s="815">
        <v>96295</v>
      </c>
      <c r="G109" s="816">
        <f>94560-73210</f>
        <v>21350</v>
      </c>
      <c r="H109" s="823">
        <f t="shared" si="14"/>
        <v>100</v>
      </c>
      <c r="I109" s="824">
        <f t="shared" si="15"/>
        <v>22.171452308011837</v>
      </c>
      <c r="J109" s="820"/>
      <c r="K109" s="819"/>
      <c r="L109" s="819"/>
      <c r="M109" s="820"/>
    </row>
    <row r="110" spans="2:14" ht="25.5" customHeight="1">
      <c r="B110" s="199">
        <v>722522</v>
      </c>
      <c r="C110" s="201" t="s">
        <v>286</v>
      </c>
      <c r="D110" s="530">
        <v>23320</v>
      </c>
      <c r="E110" s="530">
        <v>23320</v>
      </c>
      <c r="F110" s="530">
        <v>27069</v>
      </c>
      <c r="G110" s="439">
        <v>25524</v>
      </c>
      <c r="H110" s="691">
        <f t="shared" ref="H110:H143" si="33">IF(E110=0,"",G110/E110*100)</f>
        <v>109.45111492281303</v>
      </c>
      <c r="I110" s="208">
        <f t="shared" si="15"/>
        <v>94.292363958772029</v>
      </c>
      <c r="K110" s="533"/>
      <c r="L110" s="238"/>
      <c r="N110" s="622"/>
    </row>
    <row r="111" spans="2:14" ht="25.5">
      <c r="B111" s="118">
        <v>722523</v>
      </c>
      <c r="C111" s="82" t="s">
        <v>287</v>
      </c>
      <c r="D111" s="529">
        <v>5400</v>
      </c>
      <c r="E111" s="529">
        <v>5400</v>
      </c>
      <c r="F111" s="529">
        <v>5139</v>
      </c>
      <c r="G111" s="437">
        <v>5687</v>
      </c>
      <c r="H111" s="686">
        <f t="shared" si="33"/>
        <v>105.31481481481481</v>
      </c>
      <c r="I111" s="125">
        <f t="shared" si="15"/>
        <v>110.6635532204709</v>
      </c>
      <c r="K111" s="533"/>
      <c r="L111" s="238"/>
      <c r="N111" s="622"/>
    </row>
    <row r="112" spans="2:14" ht="27" customHeight="1">
      <c r="B112" s="118">
        <v>722524</v>
      </c>
      <c r="C112" s="288" t="s">
        <v>516</v>
      </c>
      <c r="D112" s="102">
        <v>60</v>
      </c>
      <c r="E112" s="102">
        <v>60</v>
      </c>
      <c r="F112" s="102">
        <v>480</v>
      </c>
      <c r="G112" s="437">
        <v>416</v>
      </c>
      <c r="H112" s="686">
        <f t="shared" si="33"/>
        <v>693.33333333333337</v>
      </c>
      <c r="I112" s="125">
        <f t="shared" si="15"/>
        <v>86.666666666666671</v>
      </c>
      <c r="K112" s="533"/>
      <c r="L112" s="238"/>
      <c r="N112" s="622"/>
    </row>
    <row r="113" spans="2:14" ht="25.5">
      <c r="B113" s="118">
        <v>722525</v>
      </c>
      <c r="C113" s="288" t="s">
        <v>515</v>
      </c>
      <c r="D113" s="102">
        <v>80</v>
      </c>
      <c r="E113" s="102">
        <v>80</v>
      </c>
      <c r="F113" s="102">
        <v>32</v>
      </c>
      <c r="G113" s="437">
        <v>81</v>
      </c>
      <c r="H113" s="686">
        <f t="shared" si="33"/>
        <v>101.25</v>
      </c>
      <c r="I113" s="125">
        <f t="shared" si="15"/>
        <v>253.125</v>
      </c>
      <c r="K113" s="533"/>
      <c r="L113" s="238"/>
      <c r="N113" s="622"/>
    </row>
    <row r="114" spans="2:14" ht="25.5">
      <c r="B114" s="118">
        <v>722526</v>
      </c>
      <c r="C114" s="82" t="s">
        <v>518</v>
      </c>
      <c r="D114" s="102">
        <v>0</v>
      </c>
      <c r="E114" s="102">
        <v>0</v>
      </c>
      <c r="F114" s="102">
        <v>0</v>
      </c>
      <c r="G114" s="437">
        <v>0</v>
      </c>
      <c r="H114" s="686" t="str">
        <f t="shared" si="33"/>
        <v/>
      </c>
      <c r="I114" s="125" t="str">
        <f t="shared" si="15"/>
        <v/>
      </c>
      <c r="K114" s="533"/>
      <c r="L114" s="238"/>
      <c r="N114" s="622"/>
    </row>
    <row r="115" spans="2:14" ht="15" customHeight="1">
      <c r="B115" s="118">
        <v>722527</v>
      </c>
      <c r="C115" s="83" t="s">
        <v>446</v>
      </c>
      <c r="D115" s="102">
        <v>53070</v>
      </c>
      <c r="E115" s="102">
        <v>53070</v>
      </c>
      <c r="F115" s="102">
        <v>15767</v>
      </c>
      <c r="G115" s="437">
        <f>89952-46016</f>
        <v>43936</v>
      </c>
      <c r="H115" s="842">
        <f t="shared" si="33"/>
        <v>82.788769549651406</v>
      </c>
      <c r="I115" s="843">
        <f t="shared" si="15"/>
        <v>278.65795649140608</v>
      </c>
      <c r="K115" s="533"/>
      <c r="L115" s="238"/>
      <c r="N115" s="622"/>
    </row>
    <row r="116" spans="2:14" ht="15" customHeight="1">
      <c r="B116" s="118">
        <v>722528</v>
      </c>
      <c r="C116" s="83" t="s">
        <v>273</v>
      </c>
      <c r="D116" s="102">
        <v>910</v>
      </c>
      <c r="E116" s="102">
        <v>910</v>
      </c>
      <c r="F116" s="102">
        <v>957</v>
      </c>
      <c r="G116" s="437">
        <v>1089</v>
      </c>
      <c r="H116" s="686">
        <f t="shared" si="33"/>
        <v>119.67032967032966</v>
      </c>
      <c r="I116" s="125">
        <f t="shared" si="15"/>
        <v>113.79310344827587</v>
      </c>
      <c r="K116" s="533"/>
      <c r="L116" s="238"/>
      <c r="N116" s="622"/>
    </row>
    <row r="117" spans="2:14" ht="15" customHeight="1">
      <c r="B117" s="118">
        <v>722529</v>
      </c>
      <c r="C117" s="83" t="s">
        <v>274</v>
      </c>
      <c r="D117" s="102">
        <v>75810</v>
      </c>
      <c r="E117" s="102">
        <v>75810</v>
      </c>
      <c r="F117" s="102">
        <v>83109</v>
      </c>
      <c r="G117" s="437">
        <v>81470</v>
      </c>
      <c r="H117" s="686">
        <f t="shared" si="33"/>
        <v>107.46603350481467</v>
      </c>
      <c r="I117" s="125">
        <f t="shared" si="15"/>
        <v>98.027891082794881</v>
      </c>
      <c r="K117" s="533"/>
      <c r="L117" s="238"/>
      <c r="N117" s="622"/>
    </row>
    <row r="118" spans="2:14" ht="15" customHeight="1">
      <c r="B118" s="137">
        <v>722530</v>
      </c>
      <c r="C118" s="142" t="s">
        <v>275</v>
      </c>
      <c r="D118" s="134">
        <f>SUM(D119:D122)</f>
        <v>347270</v>
      </c>
      <c r="E118" s="134">
        <f>SUM(E119:E122)</f>
        <v>347270</v>
      </c>
      <c r="F118" s="134">
        <f>SUM(F119:F122)</f>
        <v>353505</v>
      </c>
      <c r="G118" s="440">
        <f>SUM(G119:G122)</f>
        <v>343513</v>
      </c>
      <c r="H118" s="685">
        <f t="shared" si="33"/>
        <v>98.91813286491778</v>
      </c>
      <c r="I118" s="133">
        <f t="shared" si="15"/>
        <v>97.173448748956872</v>
      </c>
      <c r="K118" s="533"/>
      <c r="L118" s="238"/>
      <c r="N118" s="622"/>
    </row>
    <row r="119" spans="2:14" ht="15" customHeight="1">
      <c r="B119" s="118">
        <v>722531</v>
      </c>
      <c r="C119" s="83" t="s">
        <v>276</v>
      </c>
      <c r="D119" s="102">
        <v>104450</v>
      </c>
      <c r="E119" s="102">
        <v>104450</v>
      </c>
      <c r="F119" s="102">
        <v>102928</v>
      </c>
      <c r="G119" s="437">
        <v>98880</v>
      </c>
      <c r="H119" s="686">
        <f t="shared" si="33"/>
        <v>94.667304930588799</v>
      </c>
      <c r="I119" s="125">
        <f t="shared" si="15"/>
        <v>96.067153738535666</v>
      </c>
      <c r="K119" s="533"/>
      <c r="L119" s="238"/>
      <c r="N119" s="622"/>
    </row>
    <row r="120" spans="2:14" ht="15" customHeight="1">
      <c r="B120" s="118">
        <v>722532</v>
      </c>
      <c r="C120" s="83" t="s">
        <v>277</v>
      </c>
      <c r="D120" s="102">
        <v>242820</v>
      </c>
      <c r="E120" s="102">
        <v>242820</v>
      </c>
      <c r="F120" s="102">
        <v>250577</v>
      </c>
      <c r="G120" s="437">
        <v>244633</v>
      </c>
      <c r="H120" s="686">
        <f t="shared" si="33"/>
        <v>100.74664360431595</v>
      </c>
      <c r="I120" s="125">
        <f t="shared" si="15"/>
        <v>97.627874864812014</v>
      </c>
      <c r="K120" s="533"/>
      <c r="L120" s="238"/>
      <c r="N120" s="622"/>
    </row>
    <row r="121" spans="2:14" ht="15" customHeight="1">
      <c r="B121" s="118">
        <v>722538</v>
      </c>
      <c r="C121" s="83" t="s">
        <v>278</v>
      </c>
      <c r="D121" s="102">
        <v>0</v>
      </c>
      <c r="E121" s="102">
        <v>0</v>
      </c>
      <c r="F121" s="102">
        <v>0</v>
      </c>
      <c r="G121" s="437">
        <v>0</v>
      </c>
      <c r="H121" s="686" t="str">
        <f t="shared" si="33"/>
        <v/>
      </c>
      <c r="I121" s="125" t="str">
        <f t="shared" si="15"/>
        <v/>
      </c>
      <c r="K121" s="533"/>
      <c r="L121" s="238"/>
      <c r="N121" s="622"/>
    </row>
    <row r="122" spans="2:14" ht="15" customHeight="1">
      <c r="B122" s="118">
        <v>722539</v>
      </c>
      <c r="C122" s="83" t="s">
        <v>449</v>
      </c>
      <c r="D122" s="102">
        <v>0</v>
      </c>
      <c r="E122" s="102">
        <v>0</v>
      </c>
      <c r="F122" s="102">
        <v>0</v>
      </c>
      <c r="G122" s="437">
        <v>0</v>
      </c>
      <c r="H122" s="686" t="str">
        <f t="shared" si="33"/>
        <v/>
      </c>
      <c r="I122" s="125" t="str">
        <f t="shared" si="15"/>
        <v/>
      </c>
      <c r="K122" s="533"/>
      <c r="L122" s="238"/>
      <c r="N122" s="622"/>
    </row>
    <row r="123" spans="2:14" ht="15" customHeight="1">
      <c r="B123" s="137">
        <v>722540</v>
      </c>
      <c r="C123" s="142" t="s">
        <v>279</v>
      </c>
      <c r="D123" s="134">
        <f>D124</f>
        <v>200</v>
      </c>
      <c r="E123" s="134">
        <f>E124</f>
        <v>200</v>
      </c>
      <c r="F123" s="134">
        <f>F124</f>
        <v>296</v>
      </c>
      <c r="G123" s="440">
        <f>G124</f>
        <v>182</v>
      </c>
      <c r="H123" s="685">
        <f t="shared" si="33"/>
        <v>91</v>
      </c>
      <c r="I123" s="133">
        <f t="shared" si="15"/>
        <v>61.486486486486491</v>
      </c>
      <c r="K123" s="533"/>
      <c r="L123" s="238"/>
      <c r="N123" s="622"/>
    </row>
    <row r="124" spans="2:14" ht="15" customHeight="1">
      <c r="B124" s="118">
        <v>722541</v>
      </c>
      <c r="C124" s="83" t="s">
        <v>280</v>
      </c>
      <c r="D124" s="102">
        <v>200</v>
      </c>
      <c r="E124" s="102">
        <v>200</v>
      </c>
      <c r="F124" s="102">
        <v>296</v>
      </c>
      <c r="G124" s="437">
        <v>182</v>
      </c>
      <c r="H124" s="686">
        <f t="shared" si="33"/>
        <v>91</v>
      </c>
      <c r="I124" s="125">
        <f t="shared" si="15"/>
        <v>61.486486486486491</v>
      </c>
      <c r="K124" s="533"/>
      <c r="L124" s="238"/>
      <c r="N124" s="622"/>
    </row>
    <row r="125" spans="2:14" ht="15" customHeight="1">
      <c r="B125" s="137">
        <v>722550</v>
      </c>
      <c r="C125" s="142" t="s">
        <v>281</v>
      </c>
      <c r="D125" s="134">
        <f t="shared" ref="D125:E125" si="34">D126+D128+D130+D132</f>
        <v>300000</v>
      </c>
      <c r="E125" s="134">
        <f t="shared" si="34"/>
        <v>300000</v>
      </c>
      <c r="F125" s="134">
        <f t="shared" ref="F125:G125" si="35">F126+F128+F130+F132</f>
        <v>180000</v>
      </c>
      <c r="G125" s="440">
        <f t="shared" si="35"/>
        <v>300000</v>
      </c>
      <c r="H125" s="685">
        <f t="shared" si="33"/>
        <v>100</v>
      </c>
      <c r="I125" s="133">
        <f t="shared" si="15"/>
        <v>166.66666666666669</v>
      </c>
      <c r="K125" s="534"/>
      <c r="L125" s="238"/>
      <c r="N125" s="622"/>
    </row>
    <row r="126" spans="2:14" ht="15" customHeight="1">
      <c r="B126" s="118">
        <v>722551</v>
      </c>
      <c r="C126" s="83" t="s">
        <v>282</v>
      </c>
      <c r="D126" s="102">
        <f>D127</f>
        <v>15310</v>
      </c>
      <c r="E126" s="102">
        <f>E127</f>
        <v>15310</v>
      </c>
      <c r="F126" s="102">
        <f>F127</f>
        <v>14761</v>
      </c>
      <c r="G126" s="437">
        <f>G127</f>
        <v>14419</v>
      </c>
      <c r="H126" s="686">
        <f t="shared" si="33"/>
        <v>94.18027433050294</v>
      </c>
      <c r="I126" s="125">
        <f t="shared" si="15"/>
        <v>97.683083801910442</v>
      </c>
      <c r="K126" s="533"/>
      <c r="L126" s="238"/>
      <c r="N126" s="622"/>
    </row>
    <row r="127" spans="2:14" s="812" customFormat="1" ht="15" customHeight="1">
      <c r="B127" s="813"/>
      <c r="C127" s="821" t="s">
        <v>657</v>
      </c>
      <c r="D127" s="822">
        <v>15310</v>
      </c>
      <c r="E127" s="822">
        <v>15310</v>
      </c>
      <c r="F127" s="822">
        <v>14761</v>
      </c>
      <c r="G127" s="816">
        <v>14419</v>
      </c>
      <c r="H127" s="817">
        <f t="shared" si="33"/>
        <v>94.18027433050294</v>
      </c>
      <c r="I127" s="818">
        <f t="shared" si="15"/>
        <v>97.683083801910442</v>
      </c>
      <c r="J127" s="820"/>
      <c r="K127" s="819"/>
      <c r="L127" s="819"/>
      <c r="M127" s="820"/>
    </row>
    <row r="128" spans="2:14" s="527" customFormat="1" ht="15" customHeight="1">
      <c r="B128" s="118">
        <v>722552</v>
      </c>
      <c r="C128" s="528" t="s">
        <v>669</v>
      </c>
      <c r="D128" s="102">
        <f>D129</f>
        <v>40</v>
      </c>
      <c r="E128" s="102">
        <f>E129</f>
        <v>40</v>
      </c>
      <c r="F128" s="102">
        <f>F129</f>
        <v>16</v>
      </c>
      <c r="G128" s="437">
        <f>G129</f>
        <v>40</v>
      </c>
      <c r="H128" s="686">
        <f t="shared" si="33"/>
        <v>100</v>
      </c>
      <c r="I128" s="125">
        <f t="shared" si="15"/>
        <v>250</v>
      </c>
      <c r="J128" s="185"/>
      <c r="K128" s="533"/>
      <c r="L128" s="238"/>
      <c r="M128" s="185"/>
      <c r="N128" s="622"/>
    </row>
    <row r="129" spans="2:14" s="812" customFormat="1" ht="15" customHeight="1">
      <c r="B129" s="813"/>
      <c r="C129" s="821" t="s">
        <v>657</v>
      </c>
      <c r="D129" s="822">
        <v>40</v>
      </c>
      <c r="E129" s="822">
        <v>40</v>
      </c>
      <c r="F129" s="822">
        <v>16</v>
      </c>
      <c r="G129" s="816">
        <v>40</v>
      </c>
      <c r="H129" s="817">
        <f t="shared" si="33"/>
        <v>100</v>
      </c>
      <c r="I129" s="818">
        <f t="shared" si="15"/>
        <v>250</v>
      </c>
      <c r="J129" s="820"/>
      <c r="K129" s="819"/>
      <c r="L129" s="819"/>
      <c r="M129" s="820"/>
    </row>
    <row r="130" spans="2:14" ht="25.5">
      <c r="B130" s="118">
        <v>722555</v>
      </c>
      <c r="C130" s="82" t="s">
        <v>288</v>
      </c>
      <c r="D130" s="102">
        <f>D131</f>
        <v>58760</v>
      </c>
      <c r="E130" s="102">
        <f>E131</f>
        <v>58760</v>
      </c>
      <c r="F130" s="102">
        <f>F131</f>
        <v>61977</v>
      </c>
      <c r="G130" s="437">
        <f>G131</f>
        <v>58723</v>
      </c>
      <c r="H130" s="686">
        <f t="shared" si="33"/>
        <v>99.937031994554118</v>
      </c>
      <c r="I130" s="125">
        <f t="shared" si="15"/>
        <v>94.749665198380043</v>
      </c>
      <c r="K130" s="533"/>
      <c r="L130" s="238"/>
      <c r="N130" s="622"/>
    </row>
    <row r="131" spans="2:14" s="812" customFormat="1" ht="17.100000000000001" customHeight="1">
      <c r="B131" s="813"/>
      <c r="C131" s="821" t="s">
        <v>657</v>
      </c>
      <c r="D131" s="822">
        <v>58760</v>
      </c>
      <c r="E131" s="822">
        <v>58760</v>
      </c>
      <c r="F131" s="822">
        <v>61977</v>
      </c>
      <c r="G131" s="816">
        <v>58723</v>
      </c>
      <c r="H131" s="817">
        <f t="shared" si="33"/>
        <v>99.937031994554118</v>
      </c>
      <c r="I131" s="818">
        <f t="shared" si="15"/>
        <v>94.749665198380043</v>
      </c>
      <c r="J131" s="820"/>
      <c r="K131" s="819"/>
      <c r="L131" s="819"/>
      <c r="M131" s="820"/>
    </row>
    <row r="132" spans="2:14" ht="25.5">
      <c r="B132" s="118">
        <v>722556</v>
      </c>
      <c r="C132" s="82" t="s">
        <v>289</v>
      </c>
      <c r="D132" s="102">
        <f t="shared" ref="D132:E132" si="36">D133+D134</f>
        <v>225890</v>
      </c>
      <c r="E132" s="102">
        <f t="shared" si="36"/>
        <v>225890</v>
      </c>
      <c r="F132" s="102">
        <f t="shared" ref="F132:G132" si="37">F133+F134</f>
        <v>103246</v>
      </c>
      <c r="G132" s="437">
        <f t="shared" si="37"/>
        <v>226818</v>
      </c>
      <c r="H132" s="686">
        <f t="shared" si="33"/>
        <v>100.41081942538403</v>
      </c>
      <c r="I132" s="125">
        <f t="shared" si="15"/>
        <v>219.6869612382078</v>
      </c>
      <c r="K132" s="533"/>
      <c r="L132" s="238"/>
      <c r="N132" s="622"/>
    </row>
    <row r="133" spans="2:14" s="812" customFormat="1" ht="15" customHeight="1">
      <c r="B133" s="813"/>
      <c r="C133" s="821" t="s">
        <v>838</v>
      </c>
      <c r="D133" s="822">
        <v>105610</v>
      </c>
      <c r="E133" s="822">
        <v>105610</v>
      </c>
      <c r="F133" s="822">
        <v>0</v>
      </c>
      <c r="G133" s="816">
        <v>104876</v>
      </c>
      <c r="H133" s="817">
        <f t="shared" ref="H133" si="38">IF(E133=0,"",G133/E133*100)</f>
        <v>99.304990057759682</v>
      </c>
      <c r="I133" s="818" t="str">
        <f t="shared" ref="I133" si="39">IF(F133=0,"",G133/F133*100)</f>
        <v/>
      </c>
      <c r="J133" s="820"/>
      <c r="K133" s="819"/>
      <c r="L133" s="819"/>
      <c r="M133" s="820"/>
    </row>
    <row r="134" spans="2:14" s="812" customFormat="1" ht="15" customHeight="1">
      <c r="B134" s="813"/>
      <c r="C134" s="821" t="s">
        <v>657</v>
      </c>
      <c r="D134" s="822">
        <v>120280</v>
      </c>
      <c r="E134" s="822">
        <v>120280</v>
      </c>
      <c r="F134" s="822">
        <v>103246</v>
      </c>
      <c r="G134" s="816">
        <v>121942</v>
      </c>
      <c r="H134" s="817">
        <f t="shared" si="33"/>
        <v>101.38177585633521</v>
      </c>
      <c r="I134" s="818">
        <f t="shared" si="15"/>
        <v>118.1082075818918</v>
      </c>
      <c r="J134" s="820"/>
      <c r="K134" s="819"/>
      <c r="L134" s="819"/>
      <c r="M134" s="820"/>
    </row>
    <row r="135" spans="2:14" ht="15" customHeight="1">
      <c r="B135" s="137">
        <v>722580</v>
      </c>
      <c r="C135" s="142" t="s">
        <v>290</v>
      </c>
      <c r="D135" s="134">
        <f t="shared" ref="D135:E135" si="40">D136+D139+D140+D141+D142</f>
        <v>106500</v>
      </c>
      <c r="E135" s="134">
        <f t="shared" si="40"/>
        <v>106500</v>
      </c>
      <c r="F135" s="134">
        <f t="shared" ref="F135:G135" si="41">F136+F139+F140+F141+F142</f>
        <v>56679</v>
      </c>
      <c r="G135" s="440">
        <f t="shared" si="41"/>
        <v>66201</v>
      </c>
      <c r="H135" s="685">
        <f t="shared" si="33"/>
        <v>62.160563380281687</v>
      </c>
      <c r="I135" s="133">
        <f t="shared" si="15"/>
        <v>116.79987296882443</v>
      </c>
      <c r="K135" s="533"/>
      <c r="L135" s="238"/>
      <c r="N135" s="622"/>
    </row>
    <row r="136" spans="2:14" ht="25.5">
      <c r="B136" s="118">
        <v>722581</v>
      </c>
      <c r="C136" s="82" t="s">
        <v>517</v>
      </c>
      <c r="D136" s="102">
        <f t="shared" ref="D136:E136" si="42">SUM(D137:D138)</f>
        <v>102010</v>
      </c>
      <c r="E136" s="102">
        <f t="shared" si="42"/>
        <v>102010</v>
      </c>
      <c r="F136" s="102">
        <f t="shared" ref="F136:G136" si="43">SUM(F137:F138)</f>
        <v>48615</v>
      </c>
      <c r="G136" s="437">
        <f t="shared" si="43"/>
        <v>62858</v>
      </c>
      <c r="H136" s="686">
        <f t="shared" si="33"/>
        <v>61.619449073620238</v>
      </c>
      <c r="I136" s="125">
        <f t="shared" si="15"/>
        <v>129.29754191093284</v>
      </c>
      <c r="K136" s="533"/>
      <c r="L136" s="238"/>
      <c r="N136" s="622"/>
    </row>
    <row r="137" spans="2:14" s="812" customFormat="1" ht="15" customHeight="1">
      <c r="B137" s="813"/>
      <c r="C137" s="821" t="s">
        <v>841</v>
      </c>
      <c r="D137" s="822">
        <v>60000</v>
      </c>
      <c r="E137" s="822">
        <v>60000</v>
      </c>
      <c r="F137" s="822">
        <v>0</v>
      </c>
      <c r="G137" s="816">
        <f>60000-59652</f>
        <v>348</v>
      </c>
      <c r="H137" s="817">
        <f t="shared" ref="H137" si="44">IF(E137=0,"",G137/E137*100)</f>
        <v>0.57999999999999996</v>
      </c>
      <c r="I137" s="818" t="str">
        <f t="shared" ref="I137" si="45">IF(F137=0,"",G137/F137*100)</f>
        <v/>
      </c>
      <c r="J137" s="820"/>
      <c r="K137" s="825"/>
      <c r="L137" s="819"/>
      <c r="M137" s="820"/>
    </row>
    <row r="138" spans="2:14" s="812" customFormat="1" ht="15" customHeight="1">
      <c r="B138" s="813"/>
      <c r="C138" s="821" t="s">
        <v>656</v>
      </c>
      <c r="D138" s="822">
        <v>42010</v>
      </c>
      <c r="E138" s="822">
        <v>42010</v>
      </c>
      <c r="F138" s="822">
        <v>48615</v>
      </c>
      <c r="G138" s="816">
        <f>122510-60000</f>
        <v>62510</v>
      </c>
      <c r="H138" s="817">
        <f t="shared" si="33"/>
        <v>148.79790526065221</v>
      </c>
      <c r="I138" s="818">
        <f t="shared" si="15"/>
        <v>128.58171346292298</v>
      </c>
      <c r="J138" s="820"/>
      <c r="K138" s="825"/>
      <c r="L138" s="819"/>
      <c r="M138" s="820"/>
    </row>
    <row r="139" spans="2:14" ht="37.5" customHeight="1">
      <c r="B139" s="118">
        <v>722582</v>
      </c>
      <c r="C139" s="288" t="s">
        <v>514</v>
      </c>
      <c r="D139" s="102">
        <v>2930</v>
      </c>
      <c r="E139" s="102">
        <v>2930</v>
      </c>
      <c r="F139" s="102">
        <v>5086</v>
      </c>
      <c r="G139" s="437">
        <v>3343</v>
      </c>
      <c r="H139" s="686">
        <f t="shared" si="33"/>
        <v>114.09556313993174</v>
      </c>
      <c r="I139" s="125">
        <f t="shared" si="15"/>
        <v>65.729453401494297</v>
      </c>
      <c r="K139" s="533"/>
      <c r="L139" s="238"/>
      <c r="N139" s="622"/>
    </row>
    <row r="140" spans="2:14" ht="26.25" customHeight="1">
      <c r="B140" s="118">
        <v>722583</v>
      </c>
      <c r="C140" s="82" t="s">
        <v>291</v>
      </c>
      <c r="D140" s="102">
        <v>630</v>
      </c>
      <c r="E140" s="102">
        <v>630</v>
      </c>
      <c r="F140" s="102">
        <v>1262</v>
      </c>
      <c r="G140" s="437">
        <f>1571-1571</f>
        <v>0</v>
      </c>
      <c r="H140" s="686">
        <f t="shared" si="33"/>
        <v>0</v>
      </c>
      <c r="I140" s="125">
        <f t="shared" si="15"/>
        <v>0</v>
      </c>
      <c r="K140" s="533"/>
      <c r="L140" s="238"/>
      <c r="N140" s="622"/>
    </row>
    <row r="141" spans="2:14" ht="25.5">
      <c r="B141" s="118">
        <v>722584</v>
      </c>
      <c r="C141" s="82" t="s">
        <v>292</v>
      </c>
      <c r="D141" s="102">
        <v>560</v>
      </c>
      <c r="E141" s="102">
        <v>560</v>
      </c>
      <c r="F141" s="102">
        <v>1033</v>
      </c>
      <c r="G141" s="437">
        <f>947-947</f>
        <v>0</v>
      </c>
      <c r="H141" s="686">
        <f t="shared" si="33"/>
        <v>0</v>
      </c>
      <c r="I141" s="125">
        <f t="shared" si="15"/>
        <v>0</v>
      </c>
      <c r="K141" s="533"/>
      <c r="L141" s="238"/>
      <c r="N141" s="622"/>
    </row>
    <row r="142" spans="2:14" ht="25.5">
      <c r="B142" s="118">
        <v>722585</v>
      </c>
      <c r="C142" s="82" t="s">
        <v>293</v>
      </c>
      <c r="D142" s="102">
        <v>370</v>
      </c>
      <c r="E142" s="102">
        <v>370</v>
      </c>
      <c r="F142" s="102">
        <v>683</v>
      </c>
      <c r="G142" s="437">
        <f>353-353</f>
        <v>0</v>
      </c>
      <c r="H142" s="686">
        <f t="shared" si="33"/>
        <v>0</v>
      </c>
      <c r="I142" s="125">
        <f t="shared" si="15"/>
        <v>0</v>
      </c>
      <c r="K142" s="533"/>
      <c r="L142" s="238"/>
      <c r="N142" s="622"/>
    </row>
    <row r="143" spans="2:14" ht="15" customHeight="1">
      <c r="B143" s="122">
        <v>722600</v>
      </c>
      <c r="C143" s="50" t="s">
        <v>283</v>
      </c>
      <c r="D143" s="140">
        <f>SUM(D144:D151)</f>
        <v>341440</v>
      </c>
      <c r="E143" s="140">
        <f>SUM(E144:E151)</f>
        <v>341440</v>
      </c>
      <c r="F143" s="140">
        <f t="shared" ref="F143:G143" si="46">SUM(F144:F151)</f>
        <v>397608</v>
      </c>
      <c r="G143" s="438">
        <f t="shared" si="46"/>
        <v>315895</v>
      </c>
      <c r="H143" s="685">
        <f t="shared" si="33"/>
        <v>92.518451265229615</v>
      </c>
      <c r="I143" s="133">
        <f t="shared" si="15"/>
        <v>79.448854147803871</v>
      </c>
      <c r="K143" s="533"/>
      <c r="L143" s="238"/>
      <c r="N143" s="622"/>
    </row>
    <row r="144" spans="2:14" ht="15" customHeight="1">
      <c r="B144" s="126">
        <v>722611</v>
      </c>
      <c r="C144" s="83" t="s">
        <v>294</v>
      </c>
      <c r="D144" s="102">
        <v>96680</v>
      </c>
      <c r="E144" s="102">
        <v>96680</v>
      </c>
      <c r="F144" s="102">
        <v>125212</v>
      </c>
      <c r="G144" s="437">
        <v>90919</v>
      </c>
      <c r="H144" s="686">
        <f t="shared" ref="H144:H179" si="47">IF(E144=0,"",G144/E144*100)</f>
        <v>94.041166735622667</v>
      </c>
      <c r="I144" s="125">
        <f t="shared" si="15"/>
        <v>72.612049963262308</v>
      </c>
      <c r="K144" s="533"/>
      <c r="L144" s="238"/>
      <c r="N144" s="622"/>
    </row>
    <row r="145" spans="2:14" ht="15" customHeight="1">
      <c r="B145" s="126">
        <v>722612</v>
      </c>
      <c r="C145" s="83" t="s">
        <v>295</v>
      </c>
      <c r="D145" s="102">
        <v>32940</v>
      </c>
      <c r="E145" s="102">
        <v>32940</v>
      </c>
      <c r="F145" s="102">
        <v>86862</v>
      </c>
      <c r="G145" s="437">
        <v>32395</v>
      </c>
      <c r="H145" s="686">
        <f t="shared" si="47"/>
        <v>98.345476624165144</v>
      </c>
      <c r="I145" s="125">
        <f t="shared" ref="I145:I217" si="48">IF(F145=0,"",G145/F145*100)</f>
        <v>37.294789436117057</v>
      </c>
      <c r="K145" s="533"/>
      <c r="L145" s="238"/>
      <c r="N145" s="622"/>
    </row>
    <row r="146" spans="2:14" ht="15" customHeight="1">
      <c r="B146" s="126">
        <v>722613</v>
      </c>
      <c r="C146" s="83" t="s">
        <v>296</v>
      </c>
      <c r="D146" s="102">
        <v>27600</v>
      </c>
      <c r="E146" s="102">
        <v>27600</v>
      </c>
      <c r="F146" s="102">
        <v>9485</v>
      </c>
      <c r="G146" s="437">
        <v>22451</v>
      </c>
      <c r="H146" s="686">
        <f t="shared" si="47"/>
        <v>81.344202898550719</v>
      </c>
      <c r="I146" s="125">
        <f t="shared" si="48"/>
        <v>236.70005271481287</v>
      </c>
      <c r="K146" s="533"/>
      <c r="L146" s="238"/>
      <c r="N146" s="622"/>
    </row>
    <row r="147" spans="2:14" ht="15" customHeight="1">
      <c r="B147" s="126">
        <v>722621</v>
      </c>
      <c r="C147" s="83" t="s">
        <v>297</v>
      </c>
      <c r="D147" s="102">
        <v>147260</v>
      </c>
      <c r="E147" s="102">
        <v>147260</v>
      </c>
      <c r="F147" s="102">
        <v>124352</v>
      </c>
      <c r="G147" s="437">
        <v>133548</v>
      </c>
      <c r="H147" s="686">
        <f t="shared" si="47"/>
        <v>90.68857802526145</v>
      </c>
      <c r="I147" s="125">
        <f t="shared" si="48"/>
        <v>107.39513638703035</v>
      </c>
      <c r="K147" s="533"/>
      <c r="L147" s="238"/>
      <c r="N147" s="622"/>
    </row>
    <row r="148" spans="2:14" ht="15" customHeight="1">
      <c r="B148" s="126">
        <v>722631</v>
      </c>
      <c r="C148" s="83" t="s">
        <v>298</v>
      </c>
      <c r="D148" s="102">
        <v>36930</v>
      </c>
      <c r="E148" s="102">
        <v>36930</v>
      </c>
      <c r="F148" s="102">
        <v>51392</v>
      </c>
      <c r="G148" s="437">
        <v>36552</v>
      </c>
      <c r="H148" s="686">
        <f t="shared" si="47"/>
        <v>98.976441917140534</v>
      </c>
      <c r="I148" s="125">
        <f t="shared" si="48"/>
        <v>71.123910336239106</v>
      </c>
      <c r="K148" s="533"/>
      <c r="L148" s="238"/>
      <c r="N148" s="622"/>
    </row>
    <row r="149" spans="2:14" ht="15" customHeight="1">
      <c r="B149" s="126">
        <v>722632</v>
      </c>
      <c r="C149" s="83" t="s">
        <v>450</v>
      </c>
      <c r="D149" s="102">
        <v>0</v>
      </c>
      <c r="E149" s="102">
        <v>0</v>
      </c>
      <c r="F149" s="102">
        <v>0</v>
      </c>
      <c r="G149" s="437">
        <v>0</v>
      </c>
      <c r="H149" s="686" t="str">
        <f t="shared" si="47"/>
        <v/>
      </c>
      <c r="I149" s="125" t="str">
        <f t="shared" si="48"/>
        <v/>
      </c>
      <c r="K149" s="533"/>
      <c r="L149" s="238"/>
      <c r="N149" s="622"/>
    </row>
    <row r="150" spans="2:14" s="527" customFormat="1" ht="15" customHeight="1">
      <c r="B150" s="126">
        <v>722633</v>
      </c>
      <c r="C150" s="528" t="s">
        <v>670</v>
      </c>
      <c r="D150" s="102">
        <v>30</v>
      </c>
      <c r="E150" s="102">
        <v>30</v>
      </c>
      <c r="F150" s="102">
        <v>5</v>
      </c>
      <c r="G150" s="437">
        <v>30</v>
      </c>
      <c r="H150" s="686">
        <f t="shared" si="47"/>
        <v>100</v>
      </c>
      <c r="I150" s="125">
        <f t="shared" si="48"/>
        <v>600</v>
      </c>
      <c r="J150" s="185"/>
      <c r="K150" s="533"/>
      <c r="L150" s="238"/>
      <c r="M150" s="185"/>
      <c r="N150" s="622"/>
    </row>
    <row r="151" spans="2:14" s="831" customFormat="1" ht="15" customHeight="1">
      <c r="B151" s="126">
        <v>722634</v>
      </c>
      <c r="C151" s="528" t="s">
        <v>905</v>
      </c>
      <c r="D151" s="102">
        <v>0</v>
      </c>
      <c r="E151" s="102">
        <v>0</v>
      </c>
      <c r="F151" s="102">
        <v>300</v>
      </c>
      <c r="G151" s="437">
        <v>0</v>
      </c>
      <c r="H151" s="686" t="str">
        <f t="shared" ref="H151" si="49">IF(E151=0,"",G151/E151*100)</f>
        <v/>
      </c>
      <c r="I151" s="125">
        <f t="shared" ref="I151" si="50">IF(F151=0,"",G151/F151*100)</f>
        <v>0</v>
      </c>
      <c r="J151" s="185"/>
      <c r="K151" s="533"/>
      <c r="L151" s="238"/>
      <c r="M151" s="185"/>
    </row>
    <row r="152" spans="2:14" ht="15" customHeight="1">
      <c r="B152" s="137">
        <v>722700</v>
      </c>
      <c r="C152" s="50" t="s">
        <v>299</v>
      </c>
      <c r="D152" s="140">
        <f t="shared" ref="D152:E152" si="51">SUM(D153:D157)</f>
        <v>49230</v>
      </c>
      <c r="E152" s="140">
        <f t="shared" si="51"/>
        <v>49230</v>
      </c>
      <c r="F152" s="140">
        <f t="shared" ref="F152" si="52">SUM(F153:F157)</f>
        <v>37597</v>
      </c>
      <c r="G152" s="438">
        <f t="shared" ref="G152" si="53">SUM(G153:G157)</f>
        <v>47249</v>
      </c>
      <c r="H152" s="685">
        <f t="shared" si="47"/>
        <v>95.976030875482436</v>
      </c>
      <c r="I152" s="133">
        <f t="shared" si="48"/>
        <v>125.672261084661</v>
      </c>
      <c r="K152" s="533"/>
      <c r="L152" s="238"/>
      <c r="N152" s="622"/>
    </row>
    <row r="153" spans="2:14" ht="15" customHeight="1">
      <c r="B153" s="126">
        <v>722715</v>
      </c>
      <c r="C153" s="83" t="s">
        <v>531</v>
      </c>
      <c r="D153" s="102">
        <v>0</v>
      </c>
      <c r="E153" s="102">
        <v>0</v>
      </c>
      <c r="F153" s="102">
        <v>0</v>
      </c>
      <c r="G153" s="437">
        <v>0</v>
      </c>
      <c r="H153" s="686" t="str">
        <f t="shared" si="47"/>
        <v/>
      </c>
      <c r="I153" s="125" t="str">
        <f t="shared" si="48"/>
        <v/>
      </c>
      <c r="K153" s="533"/>
      <c r="L153" s="238"/>
      <c r="N153" s="622"/>
    </row>
    <row r="154" spans="2:14" ht="15" customHeight="1">
      <c r="B154" s="126">
        <v>722719</v>
      </c>
      <c r="C154" s="83" t="s">
        <v>447</v>
      </c>
      <c r="D154" s="102">
        <v>41610</v>
      </c>
      <c r="E154" s="102">
        <v>41610</v>
      </c>
      <c r="F154" s="102">
        <v>0</v>
      </c>
      <c r="G154" s="437">
        <v>39606</v>
      </c>
      <c r="H154" s="686">
        <f t="shared" si="47"/>
        <v>95.183850036049023</v>
      </c>
      <c r="I154" s="125" t="str">
        <f t="shared" si="48"/>
        <v/>
      </c>
      <c r="K154" s="533"/>
      <c r="L154" s="238"/>
      <c r="N154" s="622"/>
    </row>
    <row r="155" spans="2:14" ht="15" customHeight="1">
      <c r="B155" s="126">
        <v>722732</v>
      </c>
      <c r="C155" s="83" t="s">
        <v>300</v>
      </c>
      <c r="D155" s="102">
        <v>0</v>
      </c>
      <c r="E155" s="102">
        <v>0</v>
      </c>
      <c r="F155" s="102">
        <v>0</v>
      </c>
      <c r="G155" s="437">
        <v>0</v>
      </c>
      <c r="H155" s="686" t="str">
        <f t="shared" si="47"/>
        <v/>
      </c>
      <c r="I155" s="125" t="str">
        <f t="shared" si="48"/>
        <v/>
      </c>
      <c r="K155" s="533"/>
      <c r="L155" s="238"/>
      <c r="N155" s="622"/>
    </row>
    <row r="156" spans="2:14" s="831" customFormat="1" ht="15" customHeight="1">
      <c r="B156" s="126">
        <v>722741</v>
      </c>
      <c r="C156" s="83" t="s">
        <v>906</v>
      </c>
      <c r="D156" s="102">
        <v>0</v>
      </c>
      <c r="E156" s="102">
        <v>0</v>
      </c>
      <c r="F156" s="102">
        <v>56</v>
      </c>
      <c r="G156" s="437">
        <v>0</v>
      </c>
      <c r="H156" s="686" t="str">
        <f t="shared" ref="H156" si="54">IF(E156=0,"",G156/E156*100)</f>
        <v/>
      </c>
      <c r="I156" s="125">
        <f t="shared" ref="I156" si="55">IF(F156=0,"",G156/F156*100)</f>
        <v>0</v>
      </c>
      <c r="J156" s="185"/>
      <c r="K156" s="533"/>
      <c r="L156" s="238"/>
      <c r="M156" s="185"/>
    </row>
    <row r="157" spans="2:14" ht="15" customHeight="1">
      <c r="B157" s="126">
        <v>722791</v>
      </c>
      <c r="C157" s="83" t="s">
        <v>301</v>
      </c>
      <c r="D157" s="102">
        <v>7620</v>
      </c>
      <c r="E157" s="102">
        <v>7620</v>
      </c>
      <c r="F157" s="102">
        <v>37541</v>
      </c>
      <c r="G157" s="437">
        <v>7643</v>
      </c>
      <c r="H157" s="686">
        <f t="shared" si="47"/>
        <v>100.30183727034121</v>
      </c>
      <c r="I157" s="125">
        <f t="shared" si="48"/>
        <v>20.359074079006952</v>
      </c>
      <c r="K157" s="533"/>
      <c r="L157" s="238"/>
      <c r="N157" s="622"/>
    </row>
    <row r="158" spans="2:14" ht="17.100000000000001" customHeight="1">
      <c r="B158" s="219">
        <v>723000</v>
      </c>
      <c r="C158" s="220" t="s">
        <v>166</v>
      </c>
      <c r="D158" s="221">
        <f>D159</f>
        <v>521970</v>
      </c>
      <c r="E158" s="221">
        <f>E159</f>
        <v>521970</v>
      </c>
      <c r="F158" s="221">
        <f>F159</f>
        <v>628302</v>
      </c>
      <c r="G158" s="434">
        <f>G159</f>
        <v>454300</v>
      </c>
      <c r="H158" s="684">
        <f t="shared" si="47"/>
        <v>87.035653390041574</v>
      </c>
      <c r="I158" s="206">
        <f t="shared" si="48"/>
        <v>72.305992977899152</v>
      </c>
      <c r="K158" s="533"/>
      <c r="L158" s="238"/>
      <c r="N158" s="622"/>
    </row>
    <row r="159" spans="2:14" ht="15" customHeight="1">
      <c r="B159" s="130">
        <v>723100</v>
      </c>
      <c r="C159" s="141" t="s">
        <v>302</v>
      </c>
      <c r="D159" s="134">
        <f>SUM(D160:D163)</f>
        <v>521970</v>
      </c>
      <c r="E159" s="134">
        <f>SUM(E160:E163)</f>
        <v>521970</v>
      </c>
      <c r="F159" s="134">
        <f>SUM(F160:F163)</f>
        <v>628302</v>
      </c>
      <c r="G159" s="440">
        <f>SUM(G160:G163)</f>
        <v>454300</v>
      </c>
      <c r="H159" s="686">
        <f t="shared" si="47"/>
        <v>87.035653390041574</v>
      </c>
      <c r="I159" s="125">
        <f t="shared" si="48"/>
        <v>72.305992977899152</v>
      </c>
      <c r="K159" s="533"/>
      <c r="L159" s="238"/>
      <c r="N159" s="622"/>
    </row>
    <row r="160" spans="2:14" ht="15" customHeight="1">
      <c r="B160" s="126">
        <v>723121</v>
      </c>
      <c r="C160" s="23" t="s">
        <v>303</v>
      </c>
      <c r="D160" s="129">
        <v>390</v>
      </c>
      <c r="E160" s="129">
        <v>390</v>
      </c>
      <c r="F160" s="129">
        <v>540</v>
      </c>
      <c r="G160" s="436">
        <v>350</v>
      </c>
      <c r="H160" s="686">
        <f t="shared" si="47"/>
        <v>89.743589743589752</v>
      </c>
      <c r="I160" s="125">
        <f t="shared" si="48"/>
        <v>64.81481481481481</v>
      </c>
      <c r="K160" s="533"/>
      <c r="L160" s="238"/>
      <c r="N160" s="622"/>
    </row>
    <row r="161" spans="2:14" ht="15" customHeight="1">
      <c r="B161" s="126">
        <v>723122</v>
      </c>
      <c r="C161" s="23" t="s">
        <v>862</v>
      </c>
      <c r="D161" s="124">
        <v>15000</v>
      </c>
      <c r="E161" s="124">
        <v>15000</v>
      </c>
      <c r="F161" s="124">
        <v>0</v>
      </c>
      <c r="G161" s="437">
        <v>0</v>
      </c>
      <c r="H161" s="686">
        <f t="shared" si="47"/>
        <v>0</v>
      </c>
      <c r="I161" s="125" t="str">
        <f t="shared" si="48"/>
        <v/>
      </c>
      <c r="K161" s="533"/>
      <c r="L161" s="238"/>
      <c r="N161" s="622"/>
    </row>
    <row r="162" spans="2:14" ht="25.5">
      <c r="B162" s="126">
        <v>723123</v>
      </c>
      <c r="C162" s="48" t="s">
        <v>305</v>
      </c>
      <c r="D162" s="129">
        <v>490160</v>
      </c>
      <c r="E162" s="129">
        <v>490160</v>
      </c>
      <c r="F162" s="129">
        <v>620598</v>
      </c>
      <c r="G162" s="436">
        <v>437659</v>
      </c>
      <c r="H162" s="686">
        <f t="shared" si="47"/>
        <v>89.28900767096458</v>
      </c>
      <c r="I162" s="125">
        <f t="shared" si="48"/>
        <v>70.52214154734628</v>
      </c>
      <c r="K162" s="533"/>
      <c r="L162" s="238"/>
      <c r="N162" s="622"/>
    </row>
    <row r="163" spans="2:14" ht="15" customHeight="1">
      <c r="B163" s="202">
        <v>723129</v>
      </c>
      <c r="C163" s="203" t="s">
        <v>304</v>
      </c>
      <c r="D163" s="204">
        <v>16420</v>
      </c>
      <c r="E163" s="204">
        <v>16420</v>
      </c>
      <c r="F163" s="204">
        <v>7164</v>
      </c>
      <c r="G163" s="441">
        <v>16291</v>
      </c>
      <c r="H163" s="687">
        <f t="shared" si="47"/>
        <v>99.214372716199762</v>
      </c>
      <c r="I163" s="207">
        <f t="shared" si="48"/>
        <v>227.40089335566722</v>
      </c>
      <c r="K163" s="533"/>
      <c r="L163" s="238"/>
      <c r="N163" s="622"/>
    </row>
    <row r="164" spans="2:14">
      <c r="B164" s="126"/>
      <c r="C164" s="117"/>
      <c r="D164" s="129"/>
      <c r="E164" s="129"/>
      <c r="F164" s="129"/>
      <c r="G164" s="436"/>
      <c r="H164" s="688" t="str">
        <f t="shared" si="47"/>
        <v/>
      </c>
      <c r="I164" s="128" t="str">
        <f t="shared" si="48"/>
        <v/>
      </c>
      <c r="K164" s="533"/>
      <c r="L164" s="238"/>
    </row>
    <row r="165" spans="2:14" ht="17.100000000000001" customHeight="1">
      <c r="B165" s="881" t="s">
        <v>322</v>
      </c>
      <c r="C165" s="882"/>
      <c r="D165" s="145">
        <f>D5+D62</f>
        <v>35081950</v>
      </c>
      <c r="E165" s="145">
        <f>E5+E62</f>
        <v>35081950</v>
      </c>
      <c r="F165" s="145">
        <f>F5+F62</f>
        <v>40926309</v>
      </c>
      <c r="G165" s="442">
        <f>G5+G62</f>
        <v>36023790</v>
      </c>
      <c r="H165" s="692">
        <f t="shared" si="47"/>
        <v>102.68468542940172</v>
      </c>
      <c r="I165" s="209">
        <f t="shared" si="48"/>
        <v>88.021106423254537</v>
      </c>
      <c r="K165" s="533"/>
      <c r="L165" s="238"/>
    </row>
    <row r="166" spans="2:14">
      <c r="B166" s="51"/>
      <c r="C166" s="49"/>
      <c r="D166" s="66"/>
      <c r="E166" s="66"/>
      <c r="F166" s="66"/>
      <c r="G166" s="436"/>
      <c r="H166" s="688" t="str">
        <f t="shared" si="47"/>
        <v/>
      </c>
      <c r="I166" s="128" t="str">
        <f t="shared" si="48"/>
        <v/>
      </c>
      <c r="K166" s="533"/>
      <c r="L166" s="238"/>
    </row>
    <row r="167" spans="2:14" ht="17.100000000000001" customHeight="1">
      <c r="B167" s="216">
        <v>730000</v>
      </c>
      <c r="C167" s="225" t="s">
        <v>363</v>
      </c>
      <c r="D167" s="218">
        <f>D168+D175+D191</f>
        <v>8254570</v>
      </c>
      <c r="E167" s="218">
        <f>E168+E175+E191</f>
        <v>8254570</v>
      </c>
      <c r="F167" s="218">
        <f>F168+F175+F191</f>
        <v>968494</v>
      </c>
      <c r="G167" s="433">
        <f>G168+G175+G191</f>
        <v>7477698</v>
      </c>
      <c r="H167" s="683">
        <f t="shared" si="47"/>
        <v>90.588583051570225</v>
      </c>
      <c r="I167" s="205">
        <f t="shared" si="48"/>
        <v>772.0954388979178</v>
      </c>
      <c r="K167" s="533"/>
      <c r="L167" s="238"/>
    </row>
    <row r="168" spans="2:14" ht="26.25">
      <c r="B168" s="226">
        <v>731000</v>
      </c>
      <c r="C168" s="227" t="s">
        <v>346</v>
      </c>
      <c r="D168" s="228">
        <f>D169</f>
        <v>1410</v>
      </c>
      <c r="E168" s="228">
        <f>E169</f>
        <v>1410</v>
      </c>
      <c r="F168" s="228">
        <f>F169</f>
        <v>224</v>
      </c>
      <c r="G168" s="434">
        <f>G169</f>
        <v>1514</v>
      </c>
      <c r="H168" s="684">
        <f t="shared" si="47"/>
        <v>107.3758865248227</v>
      </c>
      <c r="I168" s="206">
        <f t="shared" si="48"/>
        <v>675.89285714285711</v>
      </c>
      <c r="K168" s="533"/>
      <c r="L168" s="238"/>
    </row>
    <row r="169" spans="2:14" ht="15" customHeight="1">
      <c r="B169" s="137">
        <v>731100</v>
      </c>
      <c r="C169" s="196" t="s">
        <v>347</v>
      </c>
      <c r="D169" s="134">
        <f t="shared" ref="D169:E169" si="56">D170+D172</f>
        <v>1410</v>
      </c>
      <c r="E169" s="134">
        <f t="shared" si="56"/>
        <v>1410</v>
      </c>
      <c r="F169" s="134">
        <f t="shared" ref="F169:G169" si="57">F170+F172</f>
        <v>224</v>
      </c>
      <c r="G169" s="440">
        <f t="shared" si="57"/>
        <v>1514</v>
      </c>
      <c r="H169" s="689">
        <f t="shared" si="47"/>
        <v>107.3758865248227</v>
      </c>
      <c r="I169" s="120">
        <f t="shared" si="48"/>
        <v>675.89285714285711</v>
      </c>
      <c r="K169" s="533"/>
      <c r="L169" s="238"/>
    </row>
    <row r="170" spans="2:14" ht="15" customHeight="1">
      <c r="B170" s="240">
        <v>731111</v>
      </c>
      <c r="C170" s="189" t="s">
        <v>458</v>
      </c>
      <c r="D170" s="241">
        <f t="shared" ref="D170:G170" si="58">D171</f>
        <v>1290</v>
      </c>
      <c r="E170" s="241">
        <f t="shared" si="58"/>
        <v>1290</v>
      </c>
      <c r="F170" s="241">
        <f t="shared" si="58"/>
        <v>0</v>
      </c>
      <c r="G170" s="436">
        <f t="shared" si="58"/>
        <v>1285</v>
      </c>
      <c r="H170" s="693">
        <f t="shared" si="47"/>
        <v>99.612403100775197</v>
      </c>
      <c r="I170" s="242" t="str">
        <f t="shared" si="48"/>
        <v/>
      </c>
      <c r="K170" s="533"/>
      <c r="L170" s="238"/>
    </row>
    <row r="171" spans="2:14" s="812" customFormat="1" ht="17.100000000000001" customHeight="1">
      <c r="B171" s="813"/>
      <c r="C171" s="821" t="s">
        <v>842</v>
      </c>
      <c r="D171" s="815">
        <v>1290</v>
      </c>
      <c r="E171" s="815">
        <v>1290</v>
      </c>
      <c r="F171" s="815">
        <v>0</v>
      </c>
      <c r="G171" s="816">
        <v>1285</v>
      </c>
      <c r="H171" s="823">
        <f t="shared" si="47"/>
        <v>99.612403100775197</v>
      </c>
      <c r="I171" s="824" t="str">
        <f t="shared" ref="I171" si="59">IF(F171=0,"",G171/F171*100)</f>
        <v/>
      </c>
      <c r="J171" s="820"/>
      <c r="K171" s="819"/>
      <c r="L171" s="820"/>
      <c r="M171" s="820"/>
    </row>
    <row r="172" spans="2:14" ht="15" customHeight="1">
      <c r="B172" s="240">
        <v>731121</v>
      </c>
      <c r="C172" s="189" t="s">
        <v>348</v>
      </c>
      <c r="D172" s="241">
        <f>SUM(D173:D174)</f>
        <v>120</v>
      </c>
      <c r="E172" s="241">
        <f>SUM(E173:E174)</f>
        <v>120</v>
      </c>
      <c r="F172" s="241">
        <f>SUM(F173:F174)</f>
        <v>224</v>
      </c>
      <c r="G172" s="436">
        <f>SUM(G173:G174)</f>
        <v>229</v>
      </c>
      <c r="H172" s="693">
        <f t="shared" si="47"/>
        <v>190.83333333333334</v>
      </c>
      <c r="I172" s="242">
        <f t="shared" si="48"/>
        <v>102.23214285714286</v>
      </c>
      <c r="K172" s="533"/>
      <c r="L172" s="238"/>
    </row>
    <row r="173" spans="2:14" s="812" customFormat="1" ht="15" customHeight="1">
      <c r="B173" s="813"/>
      <c r="C173" s="826" t="s">
        <v>866</v>
      </c>
      <c r="D173" s="815">
        <v>0</v>
      </c>
      <c r="E173" s="815">
        <v>0</v>
      </c>
      <c r="F173" s="815">
        <v>0</v>
      </c>
      <c r="G173" s="816">
        <v>0</v>
      </c>
      <c r="H173" s="823" t="str">
        <f t="shared" si="47"/>
        <v/>
      </c>
      <c r="I173" s="824" t="str">
        <f t="shared" si="48"/>
        <v/>
      </c>
      <c r="J173" s="820"/>
      <c r="K173" s="819"/>
      <c r="L173" s="819"/>
      <c r="M173" s="820"/>
    </row>
    <row r="174" spans="2:14" s="812" customFormat="1" ht="15" customHeight="1">
      <c r="B174" s="813"/>
      <c r="C174" s="821" t="s">
        <v>843</v>
      </c>
      <c r="D174" s="815">
        <v>120</v>
      </c>
      <c r="E174" s="815">
        <v>120</v>
      </c>
      <c r="F174" s="815">
        <v>224</v>
      </c>
      <c r="G174" s="816">
        <f>115+114</f>
        <v>229</v>
      </c>
      <c r="H174" s="823">
        <f t="shared" si="47"/>
        <v>190.83333333333334</v>
      </c>
      <c r="I174" s="824">
        <f t="shared" si="48"/>
        <v>102.23214285714286</v>
      </c>
      <c r="J174" s="820"/>
      <c r="K174" s="819"/>
      <c r="L174" s="819"/>
      <c r="M174" s="820"/>
    </row>
    <row r="175" spans="2:14" ht="17.100000000000001" customHeight="1">
      <c r="B175" s="229">
        <v>732000</v>
      </c>
      <c r="C175" s="227" t="s">
        <v>349</v>
      </c>
      <c r="D175" s="228">
        <f>D176</f>
        <v>8252930</v>
      </c>
      <c r="E175" s="228">
        <f>E176</f>
        <v>8252930</v>
      </c>
      <c r="F175" s="228">
        <f>F176</f>
        <v>968270</v>
      </c>
      <c r="G175" s="434">
        <f>G176</f>
        <v>7475957</v>
      </c>
      <c r="H175" s="684">
        <f t="shared" si="47"/>
        <v>90.585489032380025</v>
      </c>
      <c r="I175" s="206">
        <f t="shared" si="48"/>
        <v>772.09425057060525</v>
      </c>
      <c r="K175" s="533"/>
      <c r="L175" s="238"/>
    </row>
    <row r="176" spans="2:14" ht="15" customHeight="1">
      <c r="B176" s="137">
        <v>732100</v>
      </c>
      <c r="C176" s="196" t="s">
        <v>350</v>
      </c>
      <c r="D176" s="134">
        <f>D177+D187</f>
        <v>8252930</v>
      </c>
      <c r="E176" s="134">
        <f>E177+E187</f>
        <v>8252930</v>
      </c>
      <c r="F176" s="134">
        <f>F177+F187</f>
        <v>968270</v>
      </c>
      <c r="G176" s="440">
        <f>G177+G187</f>
        <v>7475957</v>
      </c>
      <c r="H176" s="689">
        <f t="shared" si="47"/>
        <v>90.585489032380025</v>
      </c>
      <c r="I176" s="120">
        <f t="shared" si="48"/>
        <v>772.09425057060525</v>
      </c>
      <c r="K176" s="533"/>
      <c r="L176" s="238"/>
    </row>
    <row r="177" spans="2:13" ht="15" customHeight="1">
      <c r="B177" s="122">
        <v>732110</v>
      </c>
      <c r="C177" s="132" t="s">
        <v>351</v>
      </c>
      <c r="D177" s="140">
        <f>D178+D185</f>
        <v>8242130</v>
      </c>
      <c r="E177" s="140">
        <f>E178+E185</f>
        <v>8242130</v>
      </c>
      <c r="F177" s="140">
        <f>F178+F185</f>
        <v>943670</v>
      </c>
      <c r="G177" s="438">
        <f>G178+G185</f>
        <v>7459157</v>
      </c>
      <c r="H177" s="689">
        <f t="shared" si="47"/>
        <v>90.500356097270966</v>
      </c>
      <c r="I177" s="120">
        <f t="shared" si="48"/>
        <v>790.44125594752404</v>
      </c>
      <c r="K177" s="533"/>
      <c r="L177" s="238"/>
    </row>
    <row r="178" spans="2:13" ht="15" customHeight="1">
      <c r="B178" s="240">
        <v>732112</v>
      </c>
      <c r="C178" s="189" t="s">
        <v>352</v>
      </c>
      <c r="D178" s="241">
        <f>SUM(D179:D184)</f>
        <v>8242130</v>
      </c>
      <c r="E178" s="241">
        <f>SUM(E179:E184)</f>
        <v>8242130</v>
      </c>
      <c r="F178" s="241">
        <f t="shared" ref="F178:G178" si="60">SUM(F179:F184)</f>
        <v>938670</v>
      </c>
      <c r="G178" s="436">
        <f t="shared" si="60"/>
        <v>7459157</v>
      </c>
      <c r="H178" s="693">
        <f t="shared" si="47"/>
        <v>90.500356097270966</v>
      </c>
      <c r="I178" s="242">
        <f t="shared" si="48"/>
        <v>794.65168802667608</v>
      </c>
      <c r="K178" s="533"/>
      <c r="L178" s="238"/>
    </row>
    <row r="179" spans="2:13" s="812" customFormat="1">
      <c r="B179" s="813"/>
      <c r="C179" s="826" t="s">
        <v>866</v>
      </c>
      <c r="D179" s="815">
        <v>50000</v>
      </c>
      <c r="E179" s="815">
        <v>50000</v>
      </c>
      <c r="F179" s="815">
        <v>0</v>
      </c>
      <c r="G179" s="816">
        <v>7523</v>
      </c>
      <c r="H179" s="823">
        <f t="shared" si="47"/>
        <v>15.046000000000001</v>
      </c>
      <c r="I179" s="824" t="str">
        <f t="shared" ref="I179" si="61">IF(F179=0,"",G179/F179*100)</f>
        <v/>
      </c>
      <c r="J179" s="820"/>
      <c r="K179" s="819"/>
      <c r="L179" s="819"/>
      <c r="M179" s="820"/>
    </row>
    <row r="180" spans="2:13" s="812" customFormat="1">
      <c r="B180" s="813"/>
      <c r="C180" s="821" t="s">
        <v>844</v>
      </c>
      <c r="D180" s="815">
        <v>242810</v>
      </c>
      <c r="E180" s="815">
        <v>242810</v>
      </c>
      <c r="F180" s="815">
        <v>260510</v>
      </c>
      <c r="G180" s="816">
        <v>242319</v>
      </c>
      <c r="H180" s="823">
        <f t="shared" ref="H180:H181" si="62">IF(E180=0,"",G180/E180*100)</f>
        <v>99.797784275771178</v>
      </c>
      <c r="I180" s="824">
        <f t="shared" si="48"/>
        <v>93.017158650339709</v>
      </c>
      <c r="J180" s="820"/>
      <c r="K180" s="819"/>
      <c r="L180" s="819"/>
      <c r="M180" s="820"/>
    </row>
    <row r="181" spans="2:13" s="812" customFormat="1" ht="25.5">
      <c r="B181" s="813"/>
      <c r="C181" s="821" t="s">
        <v>845</v>
      </c>
      <c r="D181" s="815">
        <v>7350</v>
      </c>
      <c r="E181" s="815">
        <v>7350</v>
      </c>
      <c r="F181" s="815">
        <v>8160</v>
      </c>
      <c r="G181" s="816">
        <v>7344</v>
      </c>
      <c r="H181" s="823">
        <f t="shared" si="62"/>
        <v>99.91836734693878</v>
      </c>
      <c r="I181" s="824">
        <f t="shared" si="48"/>
        <v>90</v>
      </c>
      <c r="J181" s="820"/>
      <c r="K181" s="819"/>
      <c r="L181" s="820"/>
      <c r="M181" s="820"/>
    </row>
    <row r="182" spans="2:13" s="812" customFormat="1" ht="17.100000000000001" customHeight="1">
      <c r="B182" s="813"/>
      <c r="C182" s="821" t="s">
        <v>321</v>
      </c>
      <c r="D182" s="815">
        <v>600000</v>
      </c>
      <c r="E182" s="815">
        <v>600000</v>
      </c>
      <c r="F182" s="815">
        <v>670000</v>
      </c>
      <c r="G182" s="816">
        <v>600000</v>
      </c>
      <c r="H182" s="823">
        <f t="shared" ref="H182:H220" si="63">IF(E182=0,"",G182/E182*100)</f>
        <v>100</v>
      </c>
      <c r="I182" s="824">
        <f t="shared" si="48"/>
        <v>89.552238805970148</v>
      </c>
      <c r="J182" s="820"/>
      <c r="K182" s="819"/>
      <c r="L182" s="820"/>
      <c r="M182" s="820"/>
    </row>
    <row r="183" spans="2:13" s="812" customFormat="1" ht="17.100000000000001" customHeight="1">
      <c r="B183" s="813"/>
      <c r="C183" s="821" t="s">
        <v>846</v>
      </c>
      <c r="D183" s="815">
        <v>740000</v>
      </c>
      <c r="E183" s="815">
        <v>740000</v>
      </c>
      <c r="F183" s="815">
        <v>0</v>
      </c>
      <c r="G183" s="816">
        <v>0</v>
      </c>
      <c r="H183" s="823">
        <f t="shared" ref="H183" si="64">IF(E183=0,"",G183/E183*100)</f>
        <v>0</v>
      </c>
      <c r="I183" s="824" t="str">
        <f t="shared" ref="I183" si="65">IF(F183=0,"",G183/F183*100)</f>
        <v/>
      </c>
      <c r="J183" s="820"/>
      <c r="K183" s="819"/>
      <c r="L183" s="820"/>
      <c r="M183" s="820"/>
    </row>
    <row r="184" spans="2:13" s="812" customFormat="1" ht="17.100000000000001" customHeight="1">
      <c r="B184" s="813"/>
      <c r="C184" s="821" t="s">
        <v>847</v>
      </c>
      <c r="D184" s="815">
        <v>6601970</v>
      </c>
      <c r="E184" s="815">
        <v>6601970</v>
      </c>
      <c r="F184" s="815">
        <v>0</v>
      </c>
      <c r="G184" s="816">
        <v>6601971</v>
      </c>
      <c r="H184" s="823">
        <f t="shared" ref="H184" si="66">IF(E184=0,"",G184/E184*100)</f>
        <v>100.00001514699399</v>
      </c>
      <c r="I184" s="824" t="str">
        <f t="shared" ref="I184" si="67">IF(F184=0,"",G184/F184*100)</f>
        <v/>
      </c>
      <c r="J184" s="820"/>
      <c r="K184" s="819"/>
      <c r="L184" s="820"/>
      <c r="M184" s="820"/>
    </row>
    <row r="185" spans="2:13" ht="15" customHeight="1">
      <c r="B185" s="240">
        <v>732115</v>
      </c>
      <c r="C185" s="189" t="s">
        <v>534</v>
      </c>
      <c r="D185" s="241">
        <f>D186</f>
        <v>0</v>
      </c>
      <c r="E185" s="241">
        <f>E186</f>
        <v>0</v>
      </c>
      <c r="F185" s="241">
        <f>F186</f>
        <v>5000</v>
      </c>
      <c r="G185" s="436">
        <f>G186</f>
        <v>0</v>
      </c>
      <c r="H185" s="693" t="str">
        <f t="shared" si="63"/>
        <v/>
      </c>
      <c r="I185" s="242">
        <f t="shared" si="48"/>
        <v>0</v>
      </c>
      <c r="K185" s="533"/>
    </row>
    <row r="186" spans="2:13" s="527" customFormat="1" ht="15" customHeight="1">
      <c r="B186" s="240">
        <v>732115</v>
      </c>
      <c r="C186" s="189" t="s">
        <v>672</v>
      </c>
      <c r="D186" s="241">
        <v>0</v>
      </c>
      <c r="E186" s="241">
        <v>0</v>
      </c>
      <c r="F186" s="241">
        <v>5000</v>
      </c>
      <c r="G186" s="436">
        <v>0</v>
      </c>
      <c r="H186" s="693" t="str">
        <f t="shared" si="63"/>
        <v/>
      </c>
      <c r="I186" s="242">
        <f t="shared" si="48"/>
        <v>0</v>
      </c>
      <c r="J186" s="185"/>
      <c r="K186" s="533"/>
      <c r="L186" s="185"/>
      <c r="M186" s="185"/>
    </row>
    <row r="187" spans="2:13" ht="15" customHeight="1">
      <c r="B187" s="122">
        <v>732130</v>
      </c>
      <c r="C187" s="132" t="s">
        <v>507</v>
      </c>
      <c r="D187" s="140">
        <f t="shared" ref="D187:E187" si="68">SUM(D188:D190)</f>
        <v>10800</v>
      </c>
      <c r="E187" s="140">
        <f t="shared" si="68"/>
        <v>10800</v>
      </c>
      <c r="F187" s="140">
        <f t="shared" ref="F187" si="69">SUM(F188:F190)</f>
        <v>24600</v>
      </c>
      <c r="G187" s="438">
        <f t="shared" ref="G187" si="70">SUM(G188:G190)</f>
        <v>16800</v>
      </c>
      <c r="H187" s="689">
        <f t="shared" si="63"/>
        <v>155.55555555555557</v>
      </c>
      <c r="I187" s="120">
        <f t="shared" si="48"/>
        <v>68.292682926829272</v>
      </c>
      <c r="K187" s="533"/>
    </row>
    <row r="188" spans="2:13" s="633" customFormat="1" ht="15" customHeight="1">
      <c r="B188" s="131">
        <v>732131</v>
      </c>
      <c r="C188" s="195" t="s">
        <v>749</v>
      </c>
      <c r="D188" s="102">
        <v>0</v>
      </c>
      <c r="E188" s="102">
        <v>0</v>
      </c>
      <c r="F188" s="102">
        <v>0</v>
      </c>
      <c r="G188" s="437">
        <v>0</v>
      </c>
      <c r="H188" s="693" t="str">
        <f t="shared" si="63"/>
        <v/>
      </c>
      <c r="I188" s="242" t="str">
        <f t="shared" si="48"/>
        <v/>
      </c>
      <c r="J188" s="532"/>
      <c r="K188" s="533"/>
      <c r="L188" s="185"/>
      <c r="M188" s="185"/>
    </row>
    <row r="189" spans="2:13" ht="15" customHeight="1">
      <c r="B189" s="131">
        <v>732131</v>
      </c>
      <c r="C189" s="195" t="s">
        <v>524</v>
      </c>
      <c r="D189" s="102">
        <v>10800</v>
      </c>
      <c r="E189" s="102">
        <v>10800</v>
      </c>
      <c r="F189" s="102">
        <v>24600</v>
      </c>
      <c r="G189" s="437">
        <v>16800</v>
      </c>
      <c r="H189" s="693">
        <f t="shared" si="63"/>
        <v>155.55555555555557</v>
      </c>
      <c r="I189" s="242">
        <f t="shared" si="48"/>
        <v>68.292682926829272</v>
      </c>
      <c r="J189" s="532"/>
      <c r="K189" s="533"/>
    </row>
    <row r="190" spans="2:13" ht="15" customHeight="1">
      <c r="B190" s="131">
        <v>732131</v>
      </c>
      <c r="C190" s="195" t="s">
        <v>683</v>
      </c>
      <c r="D190" s="102">
        <v>0</v>
      </c>
      <c r="E190" s="102">
        <v>0</v>
      </c>
      <c r="F190" s="102">
        <v>0</v>
      </c>
      <c r="G190" s="437">
        <v>0</v>
      </c>
      <c r="H190" s="693" t="str">
        <f t="shared" si="63"/>
        <v/>
      </c>
      <c r="I190" s="242" t="str">
        <f t="shared" si="48"/>
        <v/>
      </c>
      <c r="K190" s="533"/>
    </row>
    <row r="191" spans="2:13" ht="17.100000000000001" customHeight="1">
      <c r="B191" s="229">
        <v>733000</v>
      </c>
      <c r="C191" s="227" t="s">
        <v>306</v>
      </c>
      <c r="D191" s="228">
        <f>D192</f>
        <v>230</v>
      </c>
      <c r="E191" s="228">
        <f>E192</f>
        <v>230</v>
      </c>
      <c r="F191" s="228">
        <f>F192</f>
        <v>0</v>
      </c>
      <c r="G191" s="434">
        <f>G192</f>
        <v>227</v>
      </c>
      <c r="H191" s="684">
        <f t="shared" si="63"/>
        <v>98.695652173913047</v>
      </c>
      <c r="I191" s="206" t="str">
        <f t="shared" si="48"/>
        <v/>
      </c>
      <c r="K191" s="533"/>
    </row>
    <row r="192" spans="2:13" ht="15" customHeight="1">
      <c r="B192" s="137">
        <v>733100</v>
      </c>
      <c r="C192" s="196" t="s">
        <v>307</v>
      </c>
      <c r="D192" s="134">
        <f>D193+D194</f>
        <v>230</v>
      </c>
      <c r="E192" s="134">
        <f>E193+E194</f>
        <v>230</v>
      </c>
      <c r="F192" s="134">
        <f>F193+F194</f>
        <v>0</v>
      </c>
      <c r="G192" s="440">
        <f>G193+G194</f>
        <v>227</v>
      </c>
      <c r="H192" s="689">
        <f t="shared" si="63"/>
        <v>98.695652173913047</v>
      </c>
      <c r="I192" s="120" t="str">
        <f t="shared" si="48"/>
        <v/>
      </c>
      <c r="K192" s="533"/>
    </row>
    <row r="193" spans="2:13" ht="15" customHeight="1">
      <c r="B193" s="122">
        <v>733110</v>
      </c>
      <c r="C193" s="132" t="s">
        <v>308</v>
      </c>
      <c r="D193" s="140">
        <v>230</v>
      </c>
      <c r="E193" s="140">
        <v>230</v>
      </c>
      <c r="F193" s="140">
        <v>0</v>
      </c>
      <c r="G193" s="438">
        <v>227</v>
      </c>
      <c r="H193" s="689">
        <f t="shared" si="63"/>
        <v>98.695652173913047</v>
      </c>
      <c r="I193" s="120" t="str">
        <f t="shared" si="48"/>
        <v/>
      </c>
      <c r="K193" s="533"/>
    </row>
    <row r="194" spans="2:13" ht="15" customHeight="1">
      <c r="B194" s="122">
        <v>733120</v>
      </c>
      <c r="C194" s="132" t="s">
        <v>309</v>
      </c>
      <c r="D194" s="140">
        <v>0</v>
      </c>
      <c r="E194" s="140">
        <v>0</v>
      </c>
      <c r="F194" s="140">
        <v>0</v>
      </c>
      <c r="G194" s="438">
        <v>0</v>
      </c>
      <c r="H194" s="689" t="str">
        <f t="shared" si="63"/>
        <v/>
      </c>
      <c r="I194" s="120" t="str">
        <f t="shared" si="48"/>
        <v/>
      </c>
      <c r="K194" s="533"/>
    </row>
    <row r="195" spans="2:13" ht="15">
      <c r="B195" s="35"/>
      <c r="C195" s="50"/>
      <c r="D195" s="65"/>
      <c r="E195" s="65"/>
      <c r="F195" s="65"/>
      <c r="G195" s="435"/>
      <c r="H195" s="693" t="str">
        <f t="shared" si="63"/>
        <v/>
      </c>
      <c r="I195" s="242" t="str">
        <f t="shared" si="48"/>
        <v/>
      </c>
      <c r="K195" s="533"/>
    </row>
    <row r="196" spans="2:13" ht="17.100000000000001" customHeight="1">
      <c r="B196" s="216">
        <v>740000</v>
      </c>
      <c r="C196" s="225" t="s">
        <v>353</v>
      </c>
      <c r="D196" s="218">
        <f>D197+D205</f>
        <v>367700</v>
      </c>
      <c r="E196" s="218">
        <f>E197+E205</f>
        <v>367700</v>
      </c>
      <c r="F196" s="218">
        <f>F197+F205</f>
        <v>152132</v>
      </c>
      <c r="G196" s="433">
        <f>G197+G205</f>
        <v>367672</v>
      </c>
      <c r="H196" s="683">
        <f t="shared" si="63"/>
        <v>99.992385096546101</v>
      </c>
      <c r="I196" s="205">
        <f t="shared" si="48"/>
        <v>241.67959403675755</v>
      </c>
      <c r="K196" s="533"/>
    </row>
    <row r="197" spans="2:13" ht="26.25">
      <c r="B197" s="229">
        <v>741000</v>
      </c>
      <c r="C197" s="227" t="s">
        <v>354</v>
      </c>
      <c r="D197" s="228">
        <f t="shared" ref="D197:G198" si="71">D198</f>
        <v>144800</v>
      </c>
      <c r="E197" s="228">
        <f t="shared" si="71"/>
        <v>144800</v>
      </c>
      <c r="F197" s="228">
        <f t="shared" si="71"/>
        <v>5143</v>
      </c>
      <c r="G197" s="434">
        <f t="shared" si="71"/>
        <v>144788</v>
      </c>
      <c r="H197" s="684">
        <f t="shared" si="63"/>
        <v>99.99171270718233</v>
      </c>
      <c r="I197" s="206">
        <f t="shared" si="48"/>
        <v>2815.244020999417</v>
      </c>
      <c r="K197" s="533"/>
    </row>
    <row r="198" spans="2:13" ht="25.5">
      <c r="B198" s="137">
        <v>741100</v>
      </c>
      <c r="C198" s="198" t="s">
        <v>355</v>
      </c>
      <c r="D198" s="134">
        <f t="shared" si="71"/>
        <v>144800</v>
      </c>
      <c r="E198" s="134">
        <f t="shared" si="71"/>
        <v>144800</v>
      </c>
      <c r="F198" s="134">
        <f t="shared" si="71"/>
        <v>5143</v>
      </c>
      <c r="G198" s="440">
        <f t="shared" si="71"/>
        <v>144788</v>
      </c>
      <c r="H198" s="689">
        <f t="shared" si="63"/>
        <v>99.99171270718233</v>
      </c>
      <c r="I198" s="120">
        <f t="shared" si="48"/>
        <v>2815.244020999417</v>
      </c>
      <c r="K198" s="533"/>
    </row>
    <row r="199" spans="2:13" ht="15" customHeight="1">
      <c r="B199" s="131">
        <v>741111</v>
      </c>
      <c r="C199" s="189" t="s">
        <v>356</v>
      </c>
      <c r="D199" s="73">
        <f t="shared" ref="D199:F199" si="72">SUM(D200:D204)</f>
        <v>144800</v>
      </c>
      <c r="E199" s="73">
        <f t="shared" ref="E199" si="73">SUM(E200:E204)</f>
        <v>144800</v>
      </c>
      <c r="F199" s="73">
        <f t="shared" si="72"/>
        <v>5143</v>
      </c>
      <c r="G199" s="436">
        <f>SUM(G200:G204)</f>
        <v>144788</v>
      </c>
      <c r="H199" s="693">
        <f t="shared" si="63"/>
        <v>99.99171270718233</v>
      </c>
      <c r="I199" s="242">
        <f t="shared" si="48"/>
        <v>2815.244020999417</v>
      </c>
      <c r="K199" s="533"/>
    </row>
    <row r="200" spans="2:13" s="812" customFormat="1" ht="24.75" customHeight="1">
      <c r="B200" s="813"/>
      <c r="C200" s="821" t="s">
        <v>673</v>
      </c>
      <c r="D200" s="815">
        <v>102330</v>
      </c>
      <c r="E200" s="815">
        <v>102330</v>
      </c>
      <c r="F200" s="815">
        <v>0</v>
      </c>
      <c r="G200" s="816">
        <v>102330</v>
      </c>
      <c r="H200" s="823">
        <f t="shared" si="63"/>
        <v>100</v>
      </c>
      <c r="I200" s="824" t="str">
        <f t="shared" si="48"/>
        <v/>
      </c>
      <c r="J200" s="820"/>
      <c r="K200" s="819"/>
      <c r="L200" s="820"/>
      <c r="M200" s="820"/>
    </row>
    <row r="201" spans="2:13" s="812" customFormat="1" ht="24.75" customHeight="1">
      <c r="B201" s="813"/>
      <c r="C201" s="821" t="s">
        <v>810</v>
      </c>
      <c r="D201" s="815">
        <v>30620</v>
      </c>
      <c r="E201" s="815">
        <v>30620</v>
      </c>
      <c r="F201" s="815">
        <v>0</v>
      </c>
      <c r="G201" s="816">
        <v>30612</v>
      </c>
      <c r="H201" s="823">
        <f t="shared" si="63"/>
        <v>99.973873285434351</v>
      </c>
      <c r="I201" s="824" t="str">
        <f t="shared" si="48"/>
        <v/>
      </c>
      <c r="J201" s="820"/>
      <c r="K201" s="819"/>
      <c r="L201" s="820"/>
      <c r="M201" s="820"/>
    </row>
    <row r="202" spans="2:13" s="812" customFormat="1" ht="15" customHeight="1">
      <c r="B202" s="813"/>
      <c r="C202" s="821" t="s">
        <v>858</v>
      </c>
      <c r="D202" s="815">
        <v>7310</v>
      </c>
      <c r="E202" s="815">
        <v>7310</v>
      </c>
      <c r="F202" s="815">
        <v>0</v>
      </c>
      <c r="G202" s="816">
        <v>7309</v>
      </c>
      <c r="H202" s="823">
        <f t="shared" ref="H202" si="74">IF(E202=0,"",G202/E202*100)</f>
        <v>99.98632010943912</v>
      </c>
      <c r="I202" s="824" t="str">
        <f t="shared" ref="I202" si="75">IF(F202=0,"",G202/F202*100)</f>
        <v/>
      </c>
      <c r="J202" s="820"/>
      <c r="K202" s="819"/>
      <c r="L202" s="820"/>
      <c r="M202" s="820"/>
    </row>
    <row r="203" spans="2:13" s="812" customFormat="1" ht="15" customHeight="1">
      <c r="B203" s="813"/>
      <c r="C203" s="821" t="s">
        <v>848</v>
      </c>
      <c r="D203" s="815">
        <v>0</v>
      </c>
      <c r="E203" s="815">
        <v>0</v>
      </c>
      <c r="F203" s="815">
        <v>5143</v>
      </c>
      <c r="G203" s="816">
        <v>0</v>
      </c>
      <c r="H203" s="823" t="str">
        <f t="shared" si="63"/>
        <v/>
      </c>
      <c r="I203" s="824">
        <f t="shared" si="48"/>
        <v>0</v>
      </c>
      <c r="J203" s="820"/>
      <c r="K203" s="819"/>
      <c r="L203" s="820"/>
      <c r="M203" s="820"/>
    </row>
    <row r="204" spans="2:13" s="812" customFormat="1" ht="15" customHeight="1">
      <c r="B204" s="813"/>
      <c r="C204" s="821" t="s">
        <v>859</v>
      </c>
      <c r="D204" s="815">
        <v>4540</v>
      </c>
      <c r="E204" s="815">
        <v>4540</v>
      </c>
      <c r="F204" s="815">
        <v>0</v>
      </c>
      <c r="G204" s="816">
        <v>4537</v>
      </c>
      <c r="H204" s="823">
        <f t="shared" ref="H204" si="76">IF(E204=0,"",G204/E204*100)</f>
        <v>99.933920704845818</v>
      </c>
      <c r="I204" s="824" t="str">
        <f t="shared" ref="I204" si="77">IF(F204=0,"",G204/F204*100)</f>
        <v/>
      </c>
      <c r="J204" s="820"/>
      <c r="K204" s="819"/>
      <c r="L204" s="820"/>
      <c r="M204" s="820"/>
    </row>
    <row r="205" spans="2:13" ht="25.5" customHeight="1">
      <c r="B205" s="229">
        <v>742000</v>
      </c>
      <c r="C205" s="227" t="s">
        <v>357</v>
      </c>
      <c r="D205" s="228">
        <f>D206+D223</f>
        <v>222900</v>
      </c>
      <c r="E205" s="228">
        <f>E206+E223</f>
        <v>222900</v>
      </c>
      <c r="F205" s="228">
        <f>F206+F223</f>
        <v>146989</v>
      </c>
      <c r="G205" s="434">
        <f>G206+G223</f>
        <v>222884</v>
      </c>
      <c r="H205" s="684">
        <f t="shared" si="63"/>
        <v>99.992821893225653</v>
      </c>
      <c r="I205" s="206">
        <f t="shared" si="48"/>
        <v>151.63311540319344</v>
      </c>
      <c r="K205" s="533"/>
    </row>
    <row r="206" spans="2:13" ht="15" customHeight="1">
      <c r="B206" s="137">
        <v>742100</v>
      </c>
      <c r="C206" s="198" t="s">
        <v>358</v>
      </c>
      <c r="D206" s="134">
        <f>D207+D208+D218+D221</f>
        <v>217300</v>
      </c>
      <c r="E206" s="134">
        <f>E207+E208+E218+E221</f>
        <v>217300</v>
      </c>
      <c r="F206" s="134">
        <f>F207+F208+F218+F2023</f>
        <v>141439</v>
      </c>
      <c r="G206" s="440">
        <f>G207+G208+G218+G221</f>
        <v>217286</v>
      </c>
      <c r="H206" s="689">
        <f t="shared" si="63"/>
        <v>99.993557294063507</v>
      </c>
      <c r="I206" s="120">
        <f t="shared" si="48"/>
        <v>153.6252377349953</v>
      </c>
      <c r="K206" s="533"/>
    </row>
    <row r="207" spans="2:13" ht="15" customHeight="1">
      <c r="B207" s="131">
        <v>742111</v>
      </c>
      <c r="C207" s="189" t="s">
        <v>459</v>
      </c>
      <c r="D207" s="391">
        <v>0</v>
      </c>
      <c r="E207" s="391">
        <v>0</v>
      </c>
      <c r="F207" s="391">
        <v>0</v>
      </c>
      <c r="G207" s="436">
        <v>0</v>
      </c>
      <c r="H207" s="693" t="str">
        <f t="shared" si="63"/>
        <v/>
      </c>
      <c r="I207" s="242" t="str">
        <f t="shared" si="48"/>
        <v/>
      </c>
      <c r="K207" s="533"/>
    </row>
    <row r="208" spans="2:13" ht="15" customHeight="1">
      <c r="B208" s="131">
        <v>742112</v>
      </c>
      <c r="C208" s="189" t="s">
        <v>359</v>
      </c>
      <c r="D208" s="73">
        <f>SUM(D209:D217)</f>
        <v>211860</v>
      </c>
      <c r="E208" s="73">
        <f>SUM(E209:E217)</f>
        <v>211860</v>
      </c>
      <c r="F208" s="73">
        <f>SUM(F209:F217)</f>
        <v>131439</v>
      </c>
      <c r="G208" s="436">
        <f>SUM(G209:G217)</f>
        <v>211852</v>
      </c>
      <c r="H208" s="693">
        <f t="shared" si="63"/>
        <v>99.996223921457556</v>
      </c>
      <c r="I208" s="242">
        <f t="shared" si="48"/>
        <v>161.17894993114678</v>
      </c>
      <c r="K208" s="533"/>
    </row>
    <row r="209" spans="2:13" s="812" customFormat="1" ht="25.5">
      <c r="B209" s="139"/>
      <c r="C209" s="821" t="s">
        <v>674</v>
      </c>
      <c r="D209" s="822">
        <v>0</v>
      </c>
      <c r="E209" s="822">
        <v>0</v>
      </c>
      <c r="F209" s="822">
        <v>100000</v>
      </c>
      <c r="G209" s="816">
        <v>0</v>
      </c>
      <c r="H209" s="823" t="str">
        <f t="shared" si="63"/>
        <v/>
      </c>
      <c r="I209" s="824">
        <f t="shared" si="48"/>
        <v>0</v>
      </c>
      <c r="J209" s="820"/>
      <c r="K209" s="819"/>
      <c r="L209" s="820"/>
      <c r="M209" s="820"/>
    </row>
    <row r="210" spans="2:13" s="812" customFormat="1" ht="24.75" customHeight="1">
      <c r="B210" s="813"/>
      <c r="C210" s="821" t="s">
        <v>675</v>
      </c>
      <c r="D210" s="815">
        <v>0</v>
      </c>
      <c r="E210" s="815">
        <v>0</v>
      </c>
      <c r="F210" s="815">
        <v>0</v>
      </c>
      <c r="G210" s="816">
        <v>0</v>
      </c>
      <c r="H210" s="823" t="str">
        <f t="shared" si="63"/>
        <v/>
      </c>
      <c r="I210" s="824" t="str">
        <f t="shared" si="48"/>
        <v/>
      </c>
      <c r="J210" s="820"/>
      <c r="K210" s="819"/>
      <c r="L210" s="820"/>
      <c r="M210" s="820"/>
    </row>
    <row r="211" spans="2:13" s="812" customFormat="1" ht="24.75" customHeight="1">
      <c r="B211" s="813"/>
      <c r="C211" s="821" t="s">
        <v>867</v>
      </c>
      <c r="D211" s="815">
        <v>200000</v>
      </c>
      <c r="E211" s="815">
        <v>200000</v>
      </c>
      <c r="F211" s="815">
        <v>0</v>
      </c>
      <c r="G211" s="816">
        <v>200000</v>
      </c>
      <c r="H211" s="823">
        <f t="shared" ref="H211:H212" si="78">IF(E211=0,"",G211/E211*100)</f>
        <v>100</v>
      </c>
      <c r="I211" s="824" t="str">
        <f t="shared" ref="I211" si="79">IF(F211=0,"",G211/F211*100)</f>
        <v/>
      </c>
      <c r="J211" s="820"/>
      <c r="K211" s="819"/>
      <c r="L211" s="820"/>
      <c r="M211" s="820"/>
    </row>
    <row r="212" spans="2:13" s="812" customFormat="1" ht="25.5">
      <c r="B212" s="813"/>
      <c r="C212" s="821" t="s">
        <v>809</v>
      </c>
      <c r="D212" s="815">
        <v>11860</v>
      </c>
      <c r="E212" s="815">
        <v>11860</v>
      </c>
      <c r="F212" s="815">
        <v>0</v>
      </c>
      <c r="G212" s="816">
        <v>11852</v>
      </c>
      <c r="H212" s="823">
        <f t="shared" si="78"/>
        <v>99.932546374367632</v>
      </c>
      <c r="I212" s="824" t="str">
        <f>IF(F212=0,"",G212/F212*100)</f>
        <v/>
      </c>
      <c r="J212" s="820"/>
      <c r="K212" s="819"/>
      <c r="L212" s="820"/>
      <c r="M212" s="820"/>
    </row>
    <row r="213" spans="2:13" s="812" customFormat="1" ht="25.5">
      <c r="B213" s="813"/>
      <c r="C213" s="821" t="s">
        <v>676</v>
      </c>
      <c r="D213" s="815">
        <v>0</v>
      </c>
      <c r="E213" s="815">
        <v>0</v>
      </c>
      <c r="F213" s="815">
        <v>11941</v>
      </c>
      <c r="G213" s="816">
        <v>0</v>
      </c>
      <c r="H213" s="823" t="str">
        <f t="shared" si="63"/>
        <v/>
      </c>
      <c r="I213" s="824">
        <f t="shared" si="48"/>
        <v>0</v>
      </c>
      <c r="J213" s="820"/>
      <c r="K213" s="819"/>
      <c r="L213" s="820"/>
      <c r="M213" s="820"/>
    </row>
    <row r="214" spans="2:13" s="812" customFormat="1" ht="25.5">
      <c r="B214" s="813"/>
      <c r="C214" s="821" t="s">
        <v>676</v>
      </c>
      <c r="D214" s="815">
        <v>0</v>
      </c>
      <c r="E214" s="815">
        <v>0</v>
      </c>
      <c r="F214" s="815">
        <v>4875</v>
      </c>
      <c r="G214" s="816">
        <v>0</v>
      </c>
      <c r="H214" s="823" t="str">
        <f t="shared" si="63"/>
        <v/>
      </c>
      <c r="I214" s="824">
        <f t="shared" si="48"/>
        <v>0</v>
      </c>
      <c r="J214" s="820"/>
      <c r="K214" s="819"/>
      <c r="L214" s="820"/>
      <c r="M214" s="820"/>
    </row>
    <row r="215" spans="2:13" s="812" customFormat="1" ht="25.5">
      <c r="B215" s="813"/>
      <c r="C215" s="821" t="s">
        <v>654</v>
      </c>
      <c r="D215" s="815">
        <v>0</v>
      </c>
      <c r="E215" s="815">
        <v>0</v>
      </c>
      <c r="F215" s="815">
        <v>4660</v>
      </c>
      <c r="G215" s="816">
        <v>0</v>
      </c>
      <c r="H215" s="823" t="str">
        <f t="shared" si="63"/>
        <v/>
      </c>
      <c r="I215" s="824">
        <f t="shared" si="48"/>
        <v>0</v>
      </c>
      <c r="J215" s="820"/>
      <c r="K215" s="819"/>
      <c r="L215" s="820"/>
      <c r="M215" s="820"/>
    </row>
    <row r="216" spans="2:13" s="812" customFormat="1" ht="25.5">
      <c r="B216" s="813"/>
      <c r="C216" s="821" t="s">
        <v>654</v>
      </c>
      <c r="D216" s="815">
        <v>0</v>
      </c>
      <c r="E216" s="815">
        <v>0</v>
      </c>
      <c r="F216" s="815">
        <v>5064</v>
      </c>
      <c r="G216" s="816">
        <v>0</v>
      </c>
      <c r="H216" s="823" t="str">
        <f t="shared" si="63"/>
        <v/>
      </c>
      <c r="I216" s="824">
        <f t="shared" si="48"/>
        <v>0</v>
      </c>
      <c r="J216" s="820"/>
      <c r="K216" s="819"/>
      <c r="L216" s="820"/>
      <c r="M216" s="820"/>
    </row>
    <row r="217" spans="2:13" s="812" customFormat="1" ht="25.5">
      <c r="B217" s="813"/>
      <c r="C217" s="821" t="s">
        <v>655</v>
      </c>
      <c r="D217" s="815">
        <v>0</v>
      </c>
      <c r="E217" s="815">
        <v>0</v>
      </c>
      <c r="F217" s="815">
        <v>4899</v>
      </c>
      <c r="G217" s="816">
        <v>0</v>
      </c>
      <c r="H217" s="823" t="str">
        <f t="shared" si="63"/>
        <v/>
      </c>
      <c r="I217" s="824">
        <f t="shared" si="48"/>
        <v>0</v>
      </c>
      <c r="J217" s="820"/>
      <c r="K217" s="819"/>
      <c r="L217" s="820"/>
      <c r="M217" s="820"/>
    </row>
    <row r="218" spans="2:13" s="527" customFormat="1" ht="15" customHeight="1">
      <c r="B218" s="131">
        <v>742114</v>
      </c>
      <c r="C218" s="189" t="s">
        <v>677</v>
      </c>
      <c r="D218" s="73">
        <f>SUM(D219:D220)</f>
        <v>0</v>
      </c>
      <c r="E218" s="73">
        <f>SUM(E219:E220)</f>
        <v>0</v>
      </c>
      <c r="F218" s="73">
        <f t="shared" ref="F218:G218" si="80">SUM(F219:F220)</f>
        <v>10000</v>
      </c>
      <c r="G218" s="437">
        <f t="shared" si="80"/>
        <v>0</v>
      </c>
      <c r="H218" s="693" t="str">
        <f t="shared" si="63"/>
        <v/>
      </c>
      <c r="I218" s="242">
        <f t="shared" ref="I218:I248" si="81">IF(F218=0,"",G218/F218*100)</f>
        <v>0</v>
      </c>
      <c r="J218" s="185"/>
      <c r="K218" s="533"/>
      <c r="L218" s="185"/>
      <c r="M218" s="185"/>
    </row>
    <row r="219" spans="2:13" s="812" customFormat="1" ht="25.5">
      <c r="B219" s="813"/>
      <c r="C219" s="197" t="s">
        <v>907</v>
      </c>
      <c r="D219" s="815">
        <v>0</v>
      </c>
      <c r="E219" s="815">
        <v>0</v>
      </c>
      <c r="F219" s="815">
        <v>5000</v>
      </c>
      <c r="G219" s="816">
        <v>0</v>
      </c>
      <c r="H219" s="823" t="str">
        <f t="shared" ref="H219" si="82">IF(E219=0,"",G219/E219*100)</f>
        <v/>
      </c>
      <c r="I219" s="824">
        <f t="shared" ref="I219" si="83">IF(F219=0,"",G219/F219*100)</f>
        <v>0</v>
      </c>
      <c r="J219" s="820"/>
      <c r="K219" s="819"/>
      <c r="L219" s="820"/>
      <c r="M219" s="820"/>
    </row>
    <row r="220" spans="2:13" s="812" customFormat="1" ht="25.5">
      <c r="B220" s="813"/>
      <c r="C220" s="821" t="s">
        <v>678</v>
      </c>
      <c r="D220" s="815">
        <v>0</v>
      </c>
      <c r="E220" s="815">
        <v>0</v>
      </c>
      <c r="F220" s="815">
        <v>5000</v>
      </c>
      <c r="G220" s="816">
        <v>0</v>
      </c>
      <c r="H220" s="823" t="str">
        <f t="shared" si="63"/>
        <v/>
      </c>
      <c r="I220" s="824">
        <f t="shared" si="81"/>
        <v>0</v>
      </c>
      <c r="J220" s="820"/>
      <c r="K220" s="819"/>
      <c r="L220" s="820"/>
      <c r="M220" s="820"/>
    </row>
    <row r="221" spans="2:13" s="827" customFormat="1" ht="15" customHeight="1">
      <c r="B221" s="131">
        <v>742116</v>
      </c>
      <c r="C221" s="189" t="s">
        <v>860</v>
      </c>
      <c r="D221" s="73">
        <f>D222</f>
        <v>5440</v>
      </c>
      <c r="E221" s="73">
        <f>E222</f>
        <v>5440</v>
      </c>
      <c r="F221" s="73">
        <f>F222</f>
        <v>0</v>
      </c>
      <c r="G221" s="437">
        <f>G222</f>
        <v>5434</v>
      </c>
      <c r="H221" s="693">
        <f t="shared" ref="H221:H222" si="84">IF(E221=0,"",G221/E221*100)</f>
        <v>99.889705882352942</v>
      </c>
      <c r="I221" s="242" t="str">
        <f t="shared" ref="I221:I222" si="85">IF(F221=0,"",G221/F221*100)</f>
        <v/>
      </c>
      <c r="J221" s="185"/>
      <c r="K221" s="533"/>
      <c r="L221" s="185"/>
      <c r="M221" s="185"/>
    </row>
    <row r="222" spans="2:13" s="812" customFormat="1" ht="17.25" customHeight="1">
      <c r="B222" s="813"/>
      <c r="C222" s="821" t="s">
        <v>863</v>
      </c>
      <c r="D222" s="815">
        <v>5440</v>
      </c>
      <c r="E222" s="815">
        <v>5440</v>
      </c>
      <c r="F222" s="815">
        <v>0</v>
      </c>
      <c r="G222" s="816">
        <v>5434</v>
      </c>
      <c r="H222" s="823">
        <f t="shared" si="84"/>
        <v>99.889705882352942</v>
      </c>
      <c r="I222" s="824" t="str">
        <f t="shared" si="85"/>
        <v/>
      </c>
      <c r="J222" s="820"/>
      <c r="K222" s="819"/>
      <c r="L222" s="820"/>
      <c r="M222" s="820"/>
    </row>
    <row r="223" spans="2:13" ht="15" customHeight="1">
      <c r="B223" s="137">
        <v>742200</v>
      </c>
      <c r="C223" s="198" t="s">
        <v>532</v>
      </c>
      <c r="D223" s="134">
        <f t="shared" ref="D223:E223" si="86">D224+D226</f>
        <v>5600</v>
      </c>
      <c r="E223" s="134">
        <f t="shared" si="86"/>
        <v>5600</v>
      </c>
      <c r="F223" s="134">
        <f t="shared" ref="F223:G223" si="87">F224+F226</f>
        <v>5550</v>
      </c>
      <c r="G223" s="440">
        <f t="shared" si="87"/>
        <v>5598</v>
      </c>
      <c r="H223" s="689">
        <f t="shared" ref="H223:H248" si="88">IF(E223=0,"",G223/E223*100)</f>
        <v>99.964285714285722</v>
      </c>
      <c r="I223" s="120">
        <f t="shared" si="81"/>
        <v>100.86486486486486</v>
      </c>
      <c r="K223" s="533"/>
    </row>
    <row r="224" spans="2:13" s="809" customFormat="1" ht="15" customHeight="1">
      <c r="B224" s="131">
        <v>742211</v>
      </c>
      <c r="C224" s="189" t="s">
        <v>532</v>
      </c>
      <c r="D224" s="73">
        <f t="shared" ref="D224:G224" si="89">D225</f>
        <v>5600</v>
      </c>
      <c r="E224" s="73">
        <f t="shared" si="89"/>
        <v>5600</v>
      </c>
      <c r="F224" s="73">
        <f t="shared" si="89"/>
        <v>0</v>
      </c>
      <c r="G224" s="436">
        <f t="shared" si="89"/>
        <v>5598</v>
      </c>
      <c r="H224" s="693">
        <f t="shared" ref="H224:H225" si="90">IF(E224=0,"",G224/E224*100)</f>
        <v>99.964285714285722</v>
      </c>
      <c r="I224" s="242" t="str">
        <f t="shared" ref="I224:I225" si="91">IF(F224=0,"",G224/F224*100)</f>
        <v/>
      </c>
      <c r="J224" s="185"/>
      <c r="K224" s="533"/>
      <c r="L224" s="185"/>
      <c r="M224" s="185"/>
    </row>
    <row r="225" spans="2:13" s="812" customFormat="1" ht="15" customHeight="1">
      <c r="B225" s="139"/>
      <c r="C225" s="821" t="s">
        <v>849</v>
      </c>
      <c r="D225" s="822">
        <v>5600</v>
      </c>
      <c r="E225" s="822">
        <v>5600</v>
      </c>
      <c r="F225" s="822">
        <v>0</v>
      </c>
      <c r="G225" s="816">
        <v>5598</v>
      </c>
      <c r="H225" s="823">
        <f t="shared" si="90"/>
        <v>99.964285714285722</v>
      </c>
      <c r="I225" s="824" t="str">
        <f t="shared" si="91"/>
        <v/>
      </c>
      <c r="J225" s="820"/>
      <c r="K225" s="819"/>
      <c r="L225" s="820"/>
      <c r="M225" s="820"/>
    </row>
    <row r="226" spans="2:13" ht="15" customHeight="1">
      <c r="B226" s="131">
        <v>742212</v>
      </c>
      <c r="C226" s="189" t="s">
        <v>533</v>
      </c>
      <c r="D226" s="73">
        <f t="shared" ref="D226:E226" si="92">SUM(D227:D229)</f>
        <v>0</v>
      </c>
      <c r="E226" s="73">
        <f t="shared" si="92"/>
        <v>0</v>
      </c>
      <c r="F226" s="73">
        <f t="shared" ref="F226" si="93">SUM(F227:F229)</f>
        <v>5550</v>
      </c>
      <c r="G226" s="436">
        <f>SUM(G227:G229)</f>
        <v>0</v>
      </c>
      <c r="H226" s="693" t="str">
        <f t="shared" si="88"/>
        <v/>
      </c>
      <c r="I226" s="242">
        <f t="shared" si="81"/>
        <v>0</v>
      </c>
      <c r="K226" s="533"/>
    </row>
    <row r="227" spans="2:13" s="812" customFormat="1" ht="15" customHeight="1">
      <c r="B227" s="139"/>
      <c r="C227" s="821" t="s">
        <v>679</v>
      </c>
      <c r="D227" s="822">
        <v>0</v>
      </c>
      <c r="E227" s="822">
        <v>0</v>
      </c>
      <c r="F227" s="822">
        <v>550</v>
      </c>
      <c r="G227" s="816">
        <v>0</v>
      </c>
      <c r="H227" s="823" t="str">
        <f t="shared" si="88"/>
        <v/>
      </c>
      <c r="I227" s="824">
        <f t="shared" si="81"/>
        <v>0</v>
      </c>
      <c r="J227" s="820"/>
      <c r="K227" s="819"/>
      <c r="L227" s="820"/>
      <c r="M227" s="820"/>
    </row>
    <row r="228" spans="2:13" s="812" customFormat="1" ht="15" customHeight="1">
      <c r="B228" s="139"/>
      <c r="C228" s="821" t="s">
        <v>680</v>
      </c>
      <c r="D228" s="822">
        <v>0</v>
      </c>
      <c r="E228" s="822">
        <v>0</v>
      </c>
      <c r="F228" s="822">
        <v>3000</v>
      </c>
      <c r="G228" s="816">
        <v>0</v>
      </c>
      <c r="H228" s="823" t="str">
        <f t="shared" si="88"/>
        <v/>
      </c>
      <c r="I228" s="824">
        <f t="shared" si="81"/>
        <v>0</v>
      </c>
      <c r="J228" s="820"/>
      <c r="K228" s="819"/>
      <c r="L228" s="820"/>
      <c r="M228" s="820"/>
    </row>
    <row r="229" spans="2:13" s="812" customFormat="1" ht="15" customHeight="1">
      <c r="B229" s="139"/>
      <c r="C229" s="821" t="s">
        <v>681</v>
      </c>
      <c r="D229" s="822">
        <v>0</v>
      </c>
      <c r="E229" s="822">
        <v>0</v>
      </c>
      <c r="F229" s="822">
        <v>2000</v>
      </c>
      <c r="G229" s="816">
        <v>0</v>
      </c>
      <c r="H229" s="823" t="str">
        <f t="shared" si="88"/>
        <v/>
      </c>
      <c r="I229" s="824">
        <f t="shared" si="81"/>
        <v>0</v>
      </c>
      <c r="J229" s="820"/>
      <c r="K229" s="819"/>
      <c r="L229" s="820"/>
      <c r="M229" s="820"/>
    </row>
    <row r="230" spans="2:13">
      <c r="B230" s="122"/>
      <c r="C230" s="197"/>
      <c r="D230" s="102"/>
      <c r="E230" s="102"/>
      <c r="F230" s="102"/>
      <c r="G230" s="437"/>
      <c r="H230" s="693" t="str">
        <f t="shared" si="88"/>
        <v/>
      </c>
      <c r="I230" s="242" t="str">
        <f t="shared" si="81"/>
        <v/>
      </c>
      <c r="K230" s="533"/>
    </row>
    <row r="231" spans="2:13" ht="17.100000000000001" customHeight="1">
      <c r="B231" s="216">
        <v>777000</v>
      </c>
      <c r="C231" s="217" t="s">
        <v>310</v>
      </c>
      <c r="D231" s="230">
        <f>SUM(D232:D233)</f>
        <v>330</v>
      </c>
      <c r="E231" s="230">
        <f>SUM(E232:E233)</f>
        <v>330</v>
      </c>
      <c r="F231" s="230">
        <f>SUM(F232:F233)</f>
        <v>1315</v>
      </c>
      <c r="G231" s="434">
        <f>SUM(G232:G233)</f>
        <v>363</v>
      </c>
      <c r="H231" s="684">
        <f t="shared" si="88"/>
        <v>110.00000000000001</v>
      </c>
      <c r="I231" s="206">
        <f t="shared" si="81"/>
        <v>27.604562737642585</v>
      </c>
      <c r="K231" s="533"/>
    </row>
    <row r="232" spans="2:13" ht="15" customHeight="1">
      <c r="B232" s="118">
        <v>777778</v>
      </c>
      <c r="C232" s="195" t="s">
        <v>311</v>
      </c>
      <c r="D232" s="66">
        <v>330</v>
      </c>
      <c r="E232" s="66">
        <v>330</v>
      </c>
      <c r="F232" s="66">
        <v>1315</v>
      </c>
      <c r="G232" s="436">
        <v>363</v>
      </c>
      <c r="H232" s="693">
        <f t="shared" si="88"/>
        <v>110.00000000000001</v>
      </c>
      <c r="I232" s="242">
        <f t="shared" si="81"/>
        <v>27.604562737642585</v>
      </c>
      <c r="K232" s="533"/>
    </row>
    <row r="233" spans="2:13" ht="15" customHeight="1">
      <c r="B233" s="118">
        <v>777779</v>
      </c>
      <c r="C233" s="189" t="s">
        <v>910</v>
      </c>
      <c r="D233" s="151">
        <v>0</v>
      </c>
      <c r="E233" s="151">
        <v>0</v>
      </c>
      <c r="F233" s="151">
        <v>0</v>
      </c>
      <c r="G233" s="437">
        <v>0</v>
      </c>
      <c r="H233" s="693" t="str">
        <f t="shared" si="88"/>
        <v/>
      </c>
      <c r="I233" s="242" t="str">
        <f t="shared" si="81"/>
        <v/>
      </c>
      <c r="K233" s="533"/>
    </row>
    <row r="234" spans="2:13" ht="15" customHeight="1">
      <c r="B234" s="71"/>
      <c r="C234" s="72"/>
      <c r="D234" s="102"/>
      <c r="E234" s="102"/>
      <c r="F234" s="102"/>
      <c r="G234" s="437"/>
      <c r="H234" s="693" t="str">
        <f t="shared" si="88"/>
        <v/>
      </c>
      <c r="I234" s="242" t="str">
        <f t="shared" si="81"/>
        <v/>
      </c>
      <c r="K234" s="533"/>
    </row>
    <row r="235" spans="2:13" ht="15" customHeight="1">
      <c r="B235" s="881" t="s">
        <v>323</v>
      </c>
      <c r="C235" s="882"/>
      <c r="D235" s="145">
        <f>D165+D167+D196+D231</f>
        <v>43704550</v>
      </c>
      <c r="E235" s="145">
        <f>E165+E167+E196+E231</f>
        <v>43704550</v>
      </c>
      <c r="F235" s="145">
        <f>F165+F167+F196+F231</f>
        <v>42048250</v>
      </c>
      <c r="G235" s="442">
        <f>G165+G167+G196+G231</f>
        <v>43869523</v>
      </c>
      <c r="H235" s="692">
        <f t="shared" si="88"/>
        <v>100.37747328367412</v>
      </c>
      <c r="I235" s="209">
        <f t="shared" si="81"/>
        <v>104.33138834553162</v>
      </c>
      <c r="K235" s="533"/>
    </row>
    <row r="236" spans="2:13" ht="15" customHeight="1">
      <c r="B236" s="143"/>
      <c r="C236" s="144"/>
      <c r="D236" s="145"/>
      <c r="E236" s="145"/>
      <c r="F236" s="145"/>
      <c r="G236" s="442"/>
      <c r="H236" s="693" t="str">
        <f t="shared" si="88"/>
        <v/>
      </c>
      <c r="I236" s="242" t="str">
        <f t="shared" si="81"/>
        <v/>
      </c>
      <c r="K236" s="533"/>
    </row>
    <row r="237" spans="2:13" ht="17.100000000000001" customHeight="1">
      <c r="B237" s="216">
        <v>810000</v>
      </c>
      <c r="C237" s="217" t="s">
        <v>312</v>
      </c>
      <c r="D237" s="218">
        <f>D238</f>
        <v>11580</v>
      </c>
      <c r="E237" s="218">
        <f>E238</f>
        <v>11580</v>
      </c>
      <c r="F237" s="218">
        <f>F238</f>
        <v>5436</v>
      </c>
      <c r="G237" s="433">
        <f>G238</f>
        <v>11566</v>
      </c>
      <c r="H237" s="684">
        <f t="shared" si="88"/>
        <v>99.87910189982729</v>
      </c>
      <c r="I237" s="206">
        <f t="shared" si="81"/>
        <v>212.76674025018397</v>
      </c>
      <c r="K237" s="533"/>
    </row>
    <row r="238" spans="2:13" ht="17.100000000000001" customHeight="1">
      <c r="B238" s="226">
        <v>811000</v>
      </c>
      <c r="C238" s="227" t="s">
        <v>314</v>
      </c>
      <c r="D238" s="228">
        <f>SUM(D239:D239)</f>
        <v>11580</v>
      </c>
      <c r="E238" s="228">
        <f>SUM(E239:E239)</f>
        <v>11580</v>
      </c>
      <c r="F238" s="228">
        <f>SUM(F239:F239)</f>
        <v>5436</v>
      </c>
      <c r="G238" s="434">
        <f>SUM(G239:G239)</f>
        <v>11566</v>
      </c>
      <c r="H238" s="684">
        <f t="shared" si="88"/>
        <v>99.87910189982729</v>
      </c>
      <c r="I238" s="206">
        <f t="shared" si="81"/>
        <v>212.76674025018397</v>
      </c>
      <c r="K238" s="533"/>
    </row>
    <row r="239" spans="2:13" ht="15" customHeight="1">
      <c r="B239" s="137">
        <v>811100</v>
      </c>
      <c r="C239" s="142" t="s">
        <v>313</v>
      </c>
      <c r="D239" s="140">
        <f>D240+D242</f>
        <v>11580</v>
      </c>
      <c r="E239" s="140">
        <f>E240+E242</f>
        <v>11580</v>
      </c>
      <c r="F239" s="140">
        <f>F240+F242</f>
        <v>5436</v>
      </c>
      <c r="G239" s="438">
        <f>G240+G242</f>
        <v>11566</v>
      </c>
      <c r="H239" s="689">
        <f t="shared" si="88"/>
        <v>99.87910189982729</v>
      </c>
      <c r="I239" s="120">
        <f t="shared" si="81"/>
        <v>212.76674025018397</v>
      </c>
      <c r="K239" s="533"/>
    </row>
    <row r="240" spans="2:13" ht="15" customHeight="1">
      <c r="B240" s="118">
        <v>811111</v>
      </c>
      <c r="C240" s="195" t="s">
        <v>453</v>
      </c>
      <c r="D240" s="66">
        <f t="shared" ref="D240:F240" si="94">D241</f>
        <v>0</v>
      </c>
      <c r="E240" s="66">
        <f t="shared" si="94"/>
        <v>0</v>
      </c>
      <c r="F240" s="66">
        <f t="shared" si="94"/>
        <v>4080</v>
      </c>
      <c r="G240" s="436">
        <f>G241</f>
        <v>0</v>
      </c>
      <c r="H240" s="693" t="str">
        <f t="shared" si="88"/>
        <v/>
      </c>
      <c r="I240" s="242">
        <f t="shared" si="81"/>
        <v>0</v>
      </c>
      <c r="K240" s="533"/>
    </row>
    <row r="241" spans="2:13" s="527" customFormat="1" ht="15" customHeight="1">
      <c r="B241" s="118"/>
      <c r="C241" s="197" t="s">
        <v>682</v>
      </c>
      <c r="D241" s="66">
        <v>0</v>
      </c>
      <c r="E241" s="66">
        <v>0</v>
      </c>
      <c r="F241" s="66">
        <v>4080</v>
      </c>
      <c r="G241" s="436">
        <v>0</v>
      </c>
      <c r="H241" s="693" t="str">
        <f t="shared" si="88"/>
        <v/>
      </c>
      <c r="I241" s="242">
        <f t="shared" si="81"/>
        <v>0</v>
      </c>
      <c r="J241" s="185"/>
      <c r="K241" s="533"/>
      <c r="L241" s="185"/>
      <c r="M241" s="185"/>
    </row>
    <row r="242" spans="2:13" ht="15" customHeight="1">
      <c r="B242" s="118">
        <v>811114</v>
      </c>
      <c r="C242" s="189" t="s">
        <v>454</v>
      </c>
      <c r="D242" s="66">
        <f t="shared" ref="D242:E242" si="95">SUM(D243:D246)</f>
        <v>11580</v>
      </c>
      <c r="E242" s="66">
        <f t="shared" si="95"/>
        <v>11580</v>
      </c>
      <c r="F242" s="66">
        <f t="shared" ref="F242:G242" si="96">SUM(F243:F246)</f>
        <v>1356</v>
      </c>
      <c r="G242" s="436">
        <f t="shared" si="96"/>
        <v>11566</v>
      </c>
      <c r="H242" s="693">
        <f t="shared" si="88"/>
        <v>99.87910189982729</v>
      </c>
      <c r="I242" s="242">
        <f t="shared" si="81"/>
        <v>852.94985250737466</v>
      </c>
      <c r="K242" s="533"/>
    </row>
    <row r="243" spans="2:13" ht="15" customHeight="1">
      <c r="B243" s="118"/>
      <c r="C243" s="197" t="s">
        <v>811</v>
      </c>
      <c r="D243" s="66">
        <v>3520</v>
      </c>
      <c r="E243" s="66">
        <v>3520</v>
      </c>
      <c r="F243" s="66">
        <v>0</v>
      </c>
      <c r="G243" s="436">
        <v>3513</v>
      </c>
      <c r="H243" s="693">
        <f t="shared" si="88"/>
        <v>99.801136363636374</v>
      </c>
      <c r="I243" s="242" t="str">
        <f t="shared" si="81"/>
        <v/>
      </c>
      <c r="K243" s="533"/>
    </row>
    <row r="244" spans="2:13" s="831" customFormat="1" ht="15" customHeight="1">
      <c r="B244" s="118"/>
      <c r="C244" s="197" t="s">
        <v>909</v>
      </c>
      <c r="D244" s="66">
        <v>5460</v>
      </c>
      <c r="E244" s="66">
        <v>5460</v>
      </c>
      <c r="F244" s="66">
        <v>0</v>
      </c>
      <c r="G244" s="436">
        <v>5453</v>
      </c>
      <c r="H244" s="693">
        <f t="shared" ref="H244" si="97">IF(E244=0,"",G244/E244*100)</f>
        <v>99.871794871794876</v>
      </c>
      <c r="I244" s="242" t="str">
        <f t="shared" ref="I244" si="98">IF(F244=0,"",G244/F244*100)</f>
        <v/>
      </c>
      <c r="J244" s="185"/>
      <c r="K244" s="533"/>
      <c r="L244" s="185"/>
      <c r="M244" s="185"/>
    </row>
    <row r="245" spans="2:13" s="827" customFormat="1" ht="15" customHeight="1">
      <c r="B245" s="118"/>
      <c r="C245" s="197" t="s">
        <v>861</v>
      </c>
      <c r="D245" s="66">
        <v>0</v>
      </c>
      <c r="E245" s="66">
        <v>0</v>
      </c>
      <c r="F245" s="66">
        <v>1356</v>
      </c>
      <c r="G245" s="436">
        <v>0</v>
      </c>
      <c r="H245" s="693" t="str">
        <f t="shared" ref="H245" si="99">IF(E245=0,"",G245/E245*100)</f>
        <v/>
      </c>
      <c r="I245" s="242">
        <f t="shared" ref="I245" si="100">IF(F245=0,"",G245/F245*100)</f>
        <v>0</v>
      </c>
      <c r="J245" s="185"/>
      <c r="K245" s="533"/>
      <c r="L245" s="185"/>
      <c r="M245" s="185"/>
    </row>
    <row r="246" spans="2:13" s="669" customFormat="1" ht="15" customHeight="1">
      <c r="B246" s="118"/>
      <c r="C246" s="197" t="s">
        <v>812</v>
      </c>
      <c r="D246" s="66">
        <v>2600</v>
      </c>
      <c r="E246" s="66">
        <v>2600</v>
      </c>
      <c r="F246" s="66">
        <v>0</v>
      </c>
      <c r="G246" s="436">
        <v>2600</v>
      </c>
      <c r="H246" s="693">
        <f t="shared" si="88"/>
        <v>100</v>
      </c>
      <c r="I246" s="242" t="str">
        <f t="shared" si="81"/>
        <v/>
      </c>
      <c r="J246" s="185"/>
      <c r="K246" s="533"/>
      <c r="L246" s="185"/>
      <c r="M246" s="185"/>
    </row>
    <row r="247" spans="2:13" ht="15" customHeight="1" thickBot="1">
      <c r="B247" s="165"/>
      <c r="C247" s="166"/>
      <c r="D247" s="166"/>
      <c r="E247" s="166"/>
      <c r="F247" s="166"/>
      <c r="G247" s="443"/>
      <c r="H247" s="694" t="str">
        <f t="shared" si="88"/>
        <v/>
      </c>
      <c r="I247" s="243" t="str">
        <f t="shared" si="81"/>
        <v/>
      </c>
      <c r="K247" s="533"/>
    </row>
    <row r="248" spans="2:13" ht="17.100000000000001" customHeight="1" thickBot="1">
      <c r="B248" s="883" t="s">
        <v>360</v>
      </c>
      <c r="C248" s="884"/>
      <c r="D248" s="231">
        <f>D235+D237</f>
        <v>43716130</v>
      </c>
      <c r="E248" s="231">
        <f>E235+E237</f>
        <v>43716130</v>
      </c>
      <c r="F248" s="231">
        <f>F235+F237</f>
        <v>42053686</v>
      </c>
      <c r="G248" s="444">
        <f>G235+G237</f>
        <v>43881089</v>
      </c>
      <c r="H248" s="695">
        <f t="shared" si="88"/>
        <v>100.37734126968697</v>
      </c>
      <c r="I248" s="210">
        <f t="shared" si="81"/>
        <v>104.34540506152065</v>
      </c>
    </row>
    <row r="250" spans="2:13">
      <c r="G250" s="808"/>
    </row>
    <row r="251" spans="2:13">
      <c r="D251" s="74"/>
      <c r="E251" s="74"/>
      <c r="F251" s="74"/>
    </row>
  </sheetData>
  <mergeCells count="4">
    <mergeCell ref="B2:H2"/>
    <mergeCell ref="B165:C165"/>
    <mergeCell ref="B235:C235"/>
    <mergeCell ref="B248:C248"/>
  </mergeCells>
  <pageMargins left="0.44" right="0.2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Q130"/>
  <sheetViews>
    <sheetView topLeftCell="C37" zoomScaleNormal="100" workbookViewId="0">
      <selection activeCell="L121" sqref="L121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8" customWidth="1"/>
    <col min="4" max="4" width="7.42578125" style="312" customWidth="1"/>
    <col min="5" max="5" width="54" style="9" customWidth="1"/>
    <col min="6" max="8" width="12.7109375" style="9" customWidth="1"/>
    <col min="9" max="10" width="12.7109375" style="307" customWidth="1"/>
    <col min="11" max="11" width="14.7109375" style="9" customWidth="1"/>
    <col min="12" max="13" width="7.85546875" style="94" customWidth="1"/>
    <col min="14" max="14" width="9.140625" style="9"/>
    <col min="15" max="15" width="13.140625" style="9" bestFit="1" customWidth="1"/>
    <col min="16" max="17" width="10.140625" style="9" bestFit="1" customWidth="1"/>
    <col min="18" max="16384" width="9.140625" style="9"/>
  </cols>
  <sheetData>
    <row r="2" spans="2:17" ht="2.25" customHeight="1"/>
    <row r="3" spans="2:17" s="1" customFormat="1" ht="30.75" customHeight="1" thickBot="1">
      <c r="C3" s="889" t="s">
        <v>76</v>
      </c>
      <c r="D3" s="889"/>
      <c r="E3" s="889"/>
      <c r="F3" s="92"/>
      <c r="G3" s="92"/>
      <c r="H3" s="92"/>
      <c r="I3" s="396"/>
      <c r="J3" s="396"/>
      <c r="K3" s="887"/>
      <c r="L3" s="888"/>
      <c r="M3" s="697"/>
    </row>
    <row r="4" spans="2:17" s="1" customFormat="1" ht="39.75" customHeight="1">
      <c r="B4" s="3" t="s">
        <v>77</v>
      </c>
      <c r="C4" s="895" t="s">
        <v>503</v>
      </c>
      <c r="D4" s="897" t="s">
        <v>535</v>
      </c>
      <c r="E4" s="899" t="s">
        <v>79</v>
      </c>
      <c r="F4" s="901" t="s">
        <v>856</v>
      </c>
      <c r="G4" s="901" t="s">
        <v>855</v>
      </c>
      <c r="H4" s="901" t="s">
        <v>875</v>
      </c>
      <c r="I4" s="892" t="s">
        <v>876</v>
      </c>
      <c r="J4" s="893"/>
      <c r="K4" s="894"/>
      <c r="L4" s="902" t="s">
        <v>877</v>
      </c>
      <c r="M4" s="885" t="s">
        <v>878</v>
      </c>
    </row>
    <row r="5" spans="2:17" s="304" customFormat="1" ht="37.5" customHeight="1">
      <c r="B5" s="400"/>
      <c r="C5" s="896"/>
      <c r="D5" s="898"/>
      <c r="E5" s="900"/>
      <c r="F5" s="900"/>
      <c r="G5" s="900"/>
      <c r="H5" s="900"/>
      <c r="I5" s="415" t="s">
        <v>580</v>
      </c>
      <c r="J5" s="415" t="s">
        <v>581</v>
      </c>
      <c r="K5" s="405" t="s">
        <v>336</v>
      </c>
      <c r="L5" s="903"/>
      <c r="M5" s="886"/>
    </row>
    <row r="6" spans="2:17" s="2" customFormat="1" ht="14.1" customHeight="1">
      <c r="B6" s="4">
        <v>1</v>
      </c>
      <c r="C6" s="506">
        <v>1</v>
      </c>
      <c r="D6" s="339"/>
      <c r="E6" s="353">
        <v>2</v>
      </c>
      <c r="F6" s="507">
        <v>3</v>
      </c>
      <c r="G6" s="507">
        <v>4</v>
      </c>
      <c r="H6" s="507">
        <v>5</v>
      </c>
      <c r="I6" s="353">
        <v>6</v>
      </c>
      <c r="J6" s="353">
        <v>7</v>
      </c>
      <c r="K6" s="509" t="s">
        <v>582</v>
      </c>
      <c r="L6" s="698">
        <v>9</v>
      </c>
      <c r="M6" s="543">
        <v>10</v>
      </c>
    </row>
    <row r="7" spans="2:17" s="2" customFormat="1" ht="15" customHeight="1">
      <c r="B7" s="4"/>
      <c r="C7" s="420"/>
      <c r="D7" s="421"/>
      <c r="E7" s="422" t="s">
        <v>143</v>
      </c>
      <c r="F7" s="423">
        <f t="shared" ref="F7:K7" si="0">F9+F15+F21+F24+F47+F93+F99+F106+F114</f>
        <v>43714860</v>
      </c>
      <c r="G7" s="423">
        <f t="shared" si="0"/>
        <v>43714860</v>
      </c>
      <c r="H7" s="423">
        <f t="shared" si="0"/>
        <v>41068593</v>
      </c>
      <c r="I7" s="423">
        <f t="shared" si="0"/>
        <v>39556769</v>
      </c>
      <c r="J7" s="423">
        <f t="shared" si="0"/>
        <v>3642213</v>
      </c>
      <c r="K7" s="408">
        <f t="shared" si="0"/>
        <v>43198982</v>
      </c>
      <c r="L7" s="699">
        <f>IF(G7=0,"",K7/G7*100)</f>
        <v>98.819902431347145</v>
      </c>
      <c r="M7" s="706">
        <f>IF(H7=0,"",K7/H7*100)</f>
        <v>105.18739222451569</v>
      </c>
      <c r="O7" s="163"/>
    </row>
    <row r="8" spans="2:17" s="2" customFormat="1" ht="9" customHeight="1">
      <c r="B8" s="4"/>
      <c r="C8" s="4"/>
      <c r="D8" s="339"/>
      <c r="E8" s="21"/>
      <c r="F8" s="19"/>
      <c r="G8" s="19"/>
      <c r="H8" s="19"/>
      <c r="I8" s="301"/>
      <c r="J8" s="301"/>
      <c r="K8" s="408"/>
      <c r="L8" s="700" t="str">
        <f>IF(F8=0,"",K8/F8*100)</f>
        <v/>
      </c>
      <c r="M8" s="707" t="str">
        <f>IF(G8=0,"",L8/G8*100)</f>
        <v/>
      </c>
      <c r="O8" s="91"/>
    </row>
    <row r="9" spans="2:17" s="2" customFormat="1" ht="15" customHeight="1">
      <c r="B9" s="4"/>
      <c r="C9" s="424">
        <v>600000</v>
      </c>
      <c r="D9" s="425"/>
      <c r="E9" s="422" t="s">
        <v>116</v>
      </c>
      <c r="F9" s="423">
        <f>F10+F11+F12+F13</f>
        <v>548000</v>
      </c>
      <c r="G9" s="423">
        <f t="shared" ref="G9:H9" si="1">G10+G11+G12+G13</f>
        <v>548000</v>
      </c>
      <c r="H9" s="423">
        <f t="shared" si="1"/>
        <v>609613</v>
      </c>
      <c r="I9" s="423">
        <f>I10+I11+I12+I13</f>
        <v>546291</v>
      </c>
      <c r="J9" s="423">
        <f>J10+J11+J12+J13</f>
        <v>0</v>
      </c>
      <c r="K9" s="408">
        <f>K10+K11+K12+K13</f>
        <v>546291</v>
      </c>
      <c r="L9" s="699">
        <f>IF(G9=0,"",K9/G9*100)</f>
        <v>99.688138686131396</v>
      </c>
      <c r="M9" s="706">
        <f t="shared" ref="M9:M73" si="2">IF(H9=0,"",K9/H9*100)</f>
        <v>89.612754321184099</v>
      </c>
      <c r="O9" s="163"/>
    </row>
    <row r="10" spans="2:17" s="2" customFormat="1" ht="15" customHeight="1">
      <c r="B10" s="4"/>
      <c r="C10" s="261">
        <v>600000</v>
      </c>
      <c r="D10" s="341"/>
      <c r="E10" s="40" t="s">
        <v>96</v>
      </c>
      <c r="F10" s="43">
        <f>'3'!I9</f>
        <v>500000</v>
      </c>
      <c r="G10" s="43">
        <f>'3'!J9</f>
        <v>500000</v>
      </c>
      <c r="H10" s="43">
        <f>'3'!K9</f>
        <v>549813</v>
      </c>
      <c r="I10" s="239">
        <f>'3'!L9</f>
        <v>498391</v>
      </c>
      <c r="J10" s="239">
        <f>'3'!M9</f>
        <v>0</v>
      </c>
      <c r="K10" s="416">
        <f>'3'!N9</f>
        <v>498391</v>
      </c>
      <c r="L10" s="700">
        <f>IF(G10=0,"",K10/G10*100)</f>
        <v>99.67819999999999</v>
      </c>
      <c r="M10" s="707">
        <f t="shared" si="2"/>
        <v>90.64736555883546</v>
      </c>
      <c r="Q10" s="91"/>
    </row>
    <row r="11" spans="2:17" s="2" customFormat="1" ht="15" customHeight="1">
      <c r="B11" s="4"/>
      <c r="C11" s="261">
        <v>600000</v>
      </c>
      <c r="D11" s="341"/>
      <c r="E11" s="40" t="s">
        <v>97</v>
      </c>
      <c r="F11" s="43">
        <f>'3'!I10</f>
        <v>24000</v>
      </c>
      <c r="G11" s="43">
        <f>'3'!J10</f>
        <v>24000</v>
      </c>
      <c r="H11" s="43">
        <f>'3'!K10</f>
        <v>29900</v>
      </c>
      <c r="I11" s="43">
        <f>'3'!L10</f>
        <v>24000</v>
      </c>
      <c r="J11" s="43">
        <f>'3'!M10</f>
        <v>0</v>
      </c>
      <c r="K11" s="416">
        <f>'3'!N10</f>
        <v>24000</v>
      </c>
      <c r="L11" s="700">
        <f t="shared" ref="L11:L77" si="3">IF(G11=0,"",K11/G11*100)</f>
        <v>100</v>
      </c>
      <c r="M11" s="707">
        <f t="shared" si="2"/>
        <v>80.267558528428097</v>
      </c>
      <c r="P11" s="91"/>
    </row>
    <row r="12" spans="2:17" s="2" customFormat="1" ht="15" customHeight="1">
      <c r="B12" s="4"/>
      <c r="C12" s="261">
        <v>600000</v>
      </c>
      <c r="D12" s="341"/>
      <c r="E12" s="40" t="s">
        <v>117</v>
      </c>
      <c r="F12" s="43">
        <f>'3'!I11</f>
        <v>12000</v>
      </c>
      <c r="G12" s="43">
        <f>'3'!J11</f>
        <v>12000</v>
      </c>
      <c r="H12" s="43">
        <f>'3'!K11</f>
        <v>14900</v>
      </c>
      <c r="I12" s="43">
        <f>'3'!L11</f>
        <v>11900</v>
      </c>
      <c r="J12" s="43">
        <f>'3'!M11</f>
        <v>0</v>
      </c>
      <c r="K12" s="416">
        <f>'3'!N11</f>
        <v>11900</v>
      </c>
      <c r="L12" s="700">
        <f t="shared" si="3"/>
        <v>99.166666666666671</v>
      </c>
      <c r="M12" s="707">
        <f t="shared" si="2"/>
        <v>79.865771812080538</v>
      </c>
      <c r="Q12" s="91"/>
    </row>
    <row r="13" spans="2:17" s="2" customFormat="1" ht="15" customHeight="1">
      <c r="B13" s="4"/>
      <c r="C13" s="261">
        <v>600000</v>
      </c>
      <c r="D13" s="341"/>
      <c r="E13" s="40" t="s">
        <v>106</v>
      </c>
      <c r="F13" s="43">
        <f>'16'!I9</f>
        <v>12000</v>
      </c>
      <c r="G13" s="43">
        <f>'16'!J9</f>
        <v>12000</v>
      </c>
      <c r="H13" s="43">
        <f>'16'!K9</f>
        <v>15000</v>
      </c>
      <c r="I13" s="43">
        <f>'16'!L9</f>
        <v>12000</v>
      </c>
      <c r="J13" s="43">
        <f>'16'!M9</f>
        <v>0</v>
      </c>
      <c r="K13" s="416">
        <f>'16'!N9</f>
        <v>12000</v>
      </c>
      <c r="L13" s="700">
        <f t="shared" si="3"/>
        <v>100</v>
      </c>
      <c r="M13" s="707">
        <f t="shared" si="2"/>
        <v>80</v>
      </c>
    </row>
    <row r="14" spans="2:17" s="2" customFormat="1" ht="10.5" customHeight="1">
      <c r="B14" s="4"/>
      <c r="C14" s="261"/>
      <c r="D14" s="341"/>
      <c r="E14" s="40"/>
      <c r="F14" s="88"/>
      <c r="G14" s="88"/>
      <c r="H14" s="88"/>
      <c r="I14" s="320"/>
      <c r="J14" s="320"/>
      <c r="K14" s="408"/>
      <c r="L14" s="700" t="str">
        <f t="shared" si="3"/>
        <v/>
      </c>
      <c r="M14" s="707" t="str">
        <f t="shared" si="2"/>
        <v/>
      </c>
    </row>
    <row r="15" spans="2:17" s="1" customFormat="1" ht="15" customHeight="1">
      <c r="B15" s="6"/>
      <c r="C15" s="424">
        <v>611000</v>
      </c>
      <c r="D15" s="425"/>
      <c r="E15" s="426" t="s">
        <v>146</v>
      </c>
      <c r="F15" s="427">
        <f>F16+F17</f>
        <v>21853470</v>
      </c>
      <c r="G15" s="427">
        <f t="shared" ref="G15:H15" si="4">G16+G17</f>
        <v>21655780</v>
      </c>
      <c r="H15" s="427">
        <f t="shared" si="4"/>
        <v>21036637</v>
      </c>
      <c r="I15" s="427">
        <f>I16+I17</f>
        <v>21625749</v>
      </c>
      <c r="J15" s="427">
        <f>J16+J17</f>
        <v>0</v>
      </c>
      <c r="K15" s="407">
        <f>K16+K17</f>
        <v>21625749</v>
      </c>
      <c r="L15" s="701">
        <f t="shared" si="3"/>
        <v>99.861325706116332</v>
      </c>
      <c r="M15" s="708">
        <f t="shared" si="2"/>
        <v>102.80040959018307</v>
      </c>
      <c r="O15" s="64"/>
      <c r="P15" s="64"/>
      <c r="Q15" s="64"/>
    </row>
    <row r="16" spans="2:17" ht="15" customHeight="1">
      <c r="B16" s="10"/>
      <c r="C16" s="262">
        <v>611100</v>
      </c>
      <c r="D16" s="341"/>
      <c r="E16" s="20" t="s">
        <v>169</v>
      </c>
      <c r="F16" s="31">
        <f>'1'!I9+'3'!I14+'4 (S)'!I9+'4 (N)'!I9+'5'!I9+'6'!I9+'8'!I9+'9'!I9+'10'!I9+'11'!I9+'12'!I9+'13'!I9+'14'!I9+'15'!I9+'16'!I12+'17'!I9+'18'!I9+'19'!I9+'20'!I9+'22'!I9+'23'!I9+'21'!I9+'24'!I9+'25'!I9+'26'!I9+'27'!I9+'28'!I9+'29'!I9+'30'!I9+'31'!I9+'32'!I9+'33'!I9+'34'!I9+'35'!I9+'36'!I9+'37'!I9+'7'!I9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18183760</v>
      </c>
      <c r="G16" s="314">
        <f>'1'!J9+'3'!J14+'4 (S)'!J9+'4 (N)'!J9+'5'!J9+'6'!J9+'8'!J9+'9'!J9+'10'!J9+'11'!J9+'12'!J9+'13'!J9+'14'!J9+'15'!J9+'16'!J12+'17'!J9+'18'!J9+'19'!J9+'20'!J9+'22'!J9+'23'!J9+'21'!J9+'24'!J9+'25'!J9+'26'!J9+'27'!J9+'28'!J9+'29'!J9+'30'!J9+'31'!J9+'32'!J9+'33'!J9+'34'!J9+'35'!J9+'36'!J9+'37'!J9+'7'!J9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18078600</v>
      </c>
      <c r="H16" s="314">
        <f>'1'!K9+'3'!K14+'4 (S)'!K9+'4 (N)'!K9+'5'!K9+'6'!K9+'8'!K9+'9'!K9+'10'!K9+'11'!K9+'12'!K9+'13'!K9+'14'!K9+'15'!K9+'16'!K12+'17'!K9+'18'!K9+'19'!K9+'20'!K9+'22'!K9+'23'!K9+'21'!K9+'24'!K9+'25'!K9+'26'!K9+'27'!K9+'28'!K9+'29'!K9+'30'!K9+'31'!K9+'32'!K9+'33'!K9+'34'!K9+'35'!K9+'36'!K9+'37'!K9+'7'!K9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17330794</v>
      </c>
      <c r="I16" s="314">
        <f>'1'!L9+'3'!L14+'4 (S)'!L9+'4 (N)'!L9+'5'!L9+'6'!L9+'8'!L9+'9'!L9+'10'!L9+'11'!L9+'12'!L9+'13'!L9+'14'!L9+'15'!L9+'16'!L12+'17'!L9+'18'!L9+'19'!L9+'20'!L9+'22'!L9+'23'!L9+'21'!L9+'24'!L9+'25'!L9+'26'!L9+'27'!L9+'28'!L9+'29'!L9+'30'!L9+'31'!L9+'32'!L9+'33'!L9+'34'!L9+'35'!L9+'36'!L9+'37'!L9+'7'!L9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18062528</v>
      </c>
      <c r="J16" s="314">
        <f>'1'!M9+'3'!M14+'4 (S)'!M9+'4 (N)'!M9+'5'!M9+'6'!M9+'8'!M9+'9'!M9+'10'!M9+'11'!M9+'12'!M9+'13'!M9+'14'!M9+'15'!M9+'16'!M12+'17'!M9+'18'!M9+'19'!M9+'20'!M9+'22'!M9+'23'!M9+'21'!M9+'24'!M9+'25'!M9+'26'!M9+'27'!M9+'28'!M9+'29'!M9+'30'!M9+'31'!M9+'32'!M9+'33'!M9+'34'!M9+'35'!M9+'36'!M9+'37'!M9+'7'!M9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0</v>
      </c>
      <c r="K16" s="406">
        <f>'1'!N9+'3'!N14+'4 (S)'!N9+'4 (N)'!N9+'5'!N9+'6'!N9+'8'!N9+'9'!N9+'10'!N9+'11'!N9+'12'!N9+'13'!N9+'14'!N9+'15'!N9+'16'!N12+'17'!N9+'18'!N9+'19'!N9+'20'!N9+'22'!N9+'23'!N9+'21'!N9+'24'!N9+'25'!N9+'26'!N9+'27'!N9+'28'!N9+'29'!N9+'30'!N9+'31'!N9+'32'!N9+'33'!N9+'34'!N9+'35'!N9+'36'!N9+'37'!N9+'7'!N9</f>
        <v>18062528</v>
      </c>
      <c r="L16" s="700">
        <f t="shared" si="3"/>
        <v>99.91109931078735</v>
      </c>
      <c r="M16" s="707">
        <f t="shared" si="2"/>
        <v>104.22216085425747</v>
      </c>
      <c r="O16" s="63"/>
    </row>
    <row r="17" spans="2:16" ht="15" customHeight="1">
      <c r="B17" s="10"/>
      <c r="C17" s="262">
        <v>611200</v>
      </c>
      <c r="D17" s="341"/>
      <c r="E17" s="20" t="s">
        <v>170</v>
      </c>
      <c r="F17" s="31">
        <f>F18+F19</f>
        <v>3669710</v>
      </c>
      <c r="G17" s="314">
        <f t="shared" ref="G17:K17" si="5">G18+G19</f>
        <v>3577180</v>
      </c>
      <c r="H17" s="314">
        <f t="shared" si="5"/>
        <v>3705843</v>
      </c>
      <c r="I17" s="314">
        <f t="shared" ref="I17:J17" si="6">I18+I19</f>
        <v>3563221</v>
      </c>
      <c r="J17" s="314">
        <f t="shared" si="6"/>
        <v>0</v>
      </c>
      <c r="K17" s="406">
        <f t="shared" si="5"/>
        <v>3563221</v>
      </c>
      <c r="L17" s="700">
        <f t="shared" si="3"/>
        <v>99.609776416059574</v>
      </c>
      <c r="M17" s="707">
        <f t="shared" si="2"/>
        <v>96.151428973110839</v>
      </c>
      <c r="O17" s="63"/>
    </row>
    <row r="18" spans="2:16" ht="15" customHeight="1">
      <c r="B18" s="10"/>
      <c r="C18" s="263">
        <v>611200</v>
      </c>
      <c r="D18" s="342"/>
      <c r="E18" s="248" t="s">
        <v>170</v>
      </c>
      <c r="F18" s="249">
        <f>'1'!I10+'3'!I15+'4 (S)'!I10+'4 (N)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3626410</v>
      </c>
      <c r="G18" s="323">
        <f>'1'!J10+'3'!J15+'4 (S)'!J10+'4 (N)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3533880</v>
      </c>
      <c r="H18" s="323">
        <f>'1'!K10+'3'!K15+'4 (S)'!K10+'4 (N)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3643467</v>
      </c>
      <c r="I18" s="323">
        <f>'1'!L10+'3'!L15+'4 (S)'!L10+'4 (N)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3520792</v>
      </c>
      <c r="J18" s="323">
        <f>'1'!M10+'3'!M15+'4 (S)'!M10+'4 (N)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0</v>
      </c>
      <c r="K18" s="417">
        <f>'1'!N10+'3'!N15+'4 (S)'!N10+'4 (N)'!N10+'5'!N10+'6'!N10+'8'!N10+'9'!N10+'10'!N10+'11'!N10+'12'!N10+'13'!N10+'14'!N10+'15'!N10+'16'!N13+'17'!N10+'18'!N10+'19'!N10+'20'!N10+'22'!N10+'23'!N10+'21'!N10+'24'!N10+'25'!N10+'26'!N10+'27'!N10+'28'!N10+'29'!N10+'30'!N10+'31'!N10+'32'!N10+'33'!N10+'34'!N10+'35'!N10+'36'!N10+'37'!N10+'7'!N10</f>
        <v>3520792</v>
      </c>
      <c r="L18" s="702">
        <f t="shared" si="3"/>
        <v>99.629642206300161</v>
      </c>
      <c r="M18" s="709">
        <f t="shared" si="2"/>
        <v>96.633014653350784</v>
      </c>
      <c r="O18" s="63"/>
    </row>
    <row r="19" spans="2:16" ht="15" customHeight="1">
      <c r="B19" s="10"/>
      <c r="C19" s="263">
        <v>611200</v>
      </c>
      <c r="D19" s="342" t="s">
        <v>536</v>
      </c>
      <c r="E19" s="322" t="s">
        <v>853</v>
      </c>
      <c r="F19" s="249">
        <f>'1'!I11+'3'!I16+'4 (S)'!I11+'4 (N)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43300</v>
      </c>
      <c r="G19" s="323">
        <f>'1'!J11+'3'!J16+'4 (S)'!J11+'4 (N)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43300</v>
      </c>
      <c r="H19" s="323">
        <f>'1'!K11+'3'!K16+'4 (S)'!K11+'4 (N)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62376</v>
      </c>
      <c r="I19" s="323">
        <f>'1'!L11+'3'!L16+'4 (S)'!L11+'4 (N)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42429</v>
      </c>
      <c r="J19" s="323">
        <f>'1'!M11+'3'!M16+'4 (S)'!M11+'4 (N)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0</v>
      </c>
      <c r="K19" s="417">
        <f>'1'!N11+'3'!N16+'4 (S)'!N11+'4 (N)'!N11+'5'!N11+'6'!N11+'8'!N11+'9'!N11+'10'!N11+'11'!N11+'12'!N11+'13'!N11+'14'!N11+'15'!N11+'16'!N14+'17'!N11+'18'!N11+'19'!N11+'20'!N11+'22'!N11+'23'!N11+'21'!N11+'24'!N11+'25'!N11+'26'!N11+'27'!N11+'28'!N11+'29'!N11+'30'!N11+'31'!N11+'32'!N11+'33'!N11+'34'!N11+'35'!N11+'36'!N11+'37'!N11+'7'!N11</f>
        <v>42429</v>
      </c>
      <c r="L19" s="702">
        <f t="shared" si="3"/>
        <v>97.988452655889148</v>
      </c>
      <c r="M19" s="709">
        <f t="shared" si="2"/>
        <v>68.021354367064262</v>
      </c>
      <c r="O19" s="63"/>
    </row>
    <row r="20" spans="2:16" ht="12.75" customHeight="1">
      <c r="B20" s="10"/>
      <c r="C20" s="262"/>
      <c r="D20" s="341"/>
      <c r="E20" s="11"/>
      <c r="F20" s="56"/>
      <c r="G20" s="56"/>
      <c r="H20" s="56"/>
      <c r="I20" s="303"/>
      <c r="J20" s="303"/>
      <c r="K20" s="406"/>
      <c r="L20" s="700" t="str">
        <f t="shared" si="3"/>
        <v/>
      </c>
      <c r="M20" s="707" t="str">
        <f t="shared" si="2"/>
        <v/>
      </c>
      <c r="O20" s="63"/>
    </row>
    <row r="21" spans="2:16" ht="15" customHeight="1">
      <c r="B21" s="10"/>
      <c r="C21" s="424">
        <v>612000</v>
      </c>
      <c r="D21" s="425"/>
      <c r="E21" s="426" t="s">
        <v>145</v>
      </c>
      <c r="F21" s="427">
        <f>F22</f>
        <v>2163210</v>
      </c>
      <c r="G21" s="427">
        <f t="shared" ref="G21:H21" si="7">G22</f>
        <v>2155300</v>
      </c>
      <c r="H21" s="427">
        <f t="shared" si="7"/>
        <v>2072125</v>
      </c>
      <c r="I21" s="427">
        <f>I22</f>
        <v>2145348</v>
      </c>
      <c r="J21" s="427">
        <f>J22</f>
        <v>0</v>
      </c>
      <c r="K21" s="407">
        <f>K22</f>
        <v>2145348</v>
      </c>
      <c r="L21" s="701">
        <f t="shared" si="3"/>
        <v>99.538254535331504</v>
      </c>
      <c r="M21" s="708">
        <f t="shared" si="2"/>
        <v>103.53371538879171</v>
      </c>
      <c r="O21" s="63"/>
      <c r="P21" s="63"/>
    </row>
    <row r="22" spans="2:16" s="1" customFormat="1" ht="15" customHeight="1">
      <c r="B22" s="12"/>
      <c r="C22" s="262">
        <v>612100</v>
      </c>
      <c r="D22" s="341"/>
      <c r="E22" s="13" t="s">
        <v>82</v>
      </c>
      <c r="F22" s="31">
        <f>'1'!I14+'3'!I19+'4 (S)'!I14+'4 (N)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2163210</v>
      </c>
      <c r="G22" s="314">
        <f>'1'!J14+'3'!J19+'4 (S)'!J14+'4 (N)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2155300</v>
      </c>
      <c r="H22" s="314">
        <f>'1'!K14+'3'!K19+'4 (S)'!K14+'4 (N)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2072125</v>
      </c>
      <c r="I22" s="314">
        <f>'1'!L14+'3'!L19+'4 (S)'!L14+'4 (N)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2145348</v>
      </c>
      <c r="J22" s="314">
        <f>'1'!M14+'3'!M19+'4 (S)'!M14+'4 (N)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0</v>
      </c>
      <c r="K22" s="406">
        <f>'1'!N14+'3'!N19+'4 (S)'!N14+'4 (N)'!N14+'5'!N14+'6'!N14+'8'!N14+'9'!N14+'10'!N14+'11'!N14+'12'!N14+'13'!N14+'14'!N14+'15'!N14+'16'!N17+'17'!N14+'18'!N14+'19'!N14+'20'!N14+'22'!N14+'23'!N14+'21'!N14+'24'!N14+'25'!N14+'26'!N14+'27'!N14+'28'!N14+'29'!N14+'30'!N14+'31'!N14+'32'!N14+'33'!N14+'34'!N14+'35'!N14+'36'!N14+'37'!N14+'7'!N14</f>
        <v>2145348</v>
      </c>
      <c r="L22" s="700">
        <f t="shared" si="3"/>
        <v>99.538254535331504</v>
      </c>
      <c r="M22" s="707">
        <f t="shared" si="2"/>
        <v>103.53371538879171</v>
      </c>
      <c r="O22" s="64"/>
    </row>
    <row r="23" spans="2:16" ht="11.25" customHeight="1">
      <c r="B23" s="10"/>
      <c r="C23" s="262"/>
      <c r="D23" s="341"/>
      <c r="E23" s="20"/>
      <c r="F23" s="31"/>
      <c r="G23" s="31"/>
      <c r="H23" s="31"/>
      <c r="I23" s="314"/>
      <c r="J23" s="314"/>
      <c r="K23" s="406"/>
      <c r="L23" s="700" t="str">
        <f t="shared" si="3"/>
        <v/>
      </c>
      <c r="M23" s="707" t="str">
        <f t="shared" si="2"/>
        <v/>
      </c>
    </row>
    <row r="24" spans="2:16" ht="15" customHeight="1">
      <c r="B24" s="10"/>
      <c r="C24" s="424">
        <v>613000</v>
      </c>
      <c r="D24" s="425"/>
      <c r="E24" s="426" t="s">
        <v>147</v>
      </c>
      <c r="F24" s="427">
        <f>F25+F26+F27+F28+F29+F30+F31+F34+F37</f>
        <v>4006650</v>
      </c>
      <c r="G24" s="427">
        <f t="shared" ref="G24:H24" si="8">G25+G26+G27+G28+G29+G30+G31+G34+G37</f>
        <v>3907250</v>
      </c>
      <c r="H24" s="427">
        <f t="shared" si="8"/>
        <v>3945194</v>
      </c>
      <c r="I24" s="427">
        <f>I25+I26+I27+I28+I29+I30+I31+I34+I37</f>
        <v>3533916</v>
      </c>
      <c r="J24" s="427">
        <f>J25+J26+J27+J28+J29+J30+J31+J34+J37</f>
        <v>209427</v>
      </c>
      <c r="K24" s="407">
        <f>K25+K26+K27+K28+K29+K30+K31+K34+K37</f>
        <v>3743343</v>
      </c>
      <c r="L24" s="701">
        <f t="shared" si="3"/>
        <v>95.805054705995261</v>
      </c>
      <c r="M24" s="708">
        <f t="shared" si="2"/>
        <v>94.883622959986241</v>
      </c>
      <c r="O24" s="94"/>
    </row>
    <row r="25" spans="2:16" s="1" customFormat="1" ht="15" customHeight="1">
      <c r="B25" s="12"/>
      <c r="C25" s="262">
        <v>613100</v>
      </c>
      <c r="D25" s="341"/>
      <c r="E25" s="11" t="s">
        <v>83</v>
      </c>
      <c r="F25" s="31">
        <f>'1'!I17+'3'!I22+'4 (S)'!I17+'4 (N)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63320</v>
      </c>
      <c r="G25" s="314">
        <f>'1'!J17+'3'!J22+'4 (S)'!J17+'4 (N)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59650</v>
      </c>
      <c r="H25" s="314">
        <f>'1'!K17+'3'!K22+'4 (S)'!K17+'4 (N)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125054</v>
      </c>
      <c r="I25" s="314">
        <f>'1'!L17+'3'!L22+'4 (S)'!L17+'4 (N)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46255</v>
      </c>
      <c r="J25" s="314">
        <f>'1'!M17+'3'!M22+'4 (S)'!M17+'4 (N)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0</v>
      </c>
      <c r="K25" s="406">
        <f>'1'!N17+'3'!N22+'4 (S)'!N17+'4 (N)'!N17+'5'!N17+'6'!N17+'8'!N17+'9'!N17+'10'!N17+'11'!N17+'12'!N17+'13'!N17+'14'!N17+'15'!N17+'16'!N20+'17'!N17+'18'!N17+'19'!N17+'20'!N17+'22'!N17+'23'!N17+'21'!N17+'24'!N17+'25'!N17+'26'!N17+'27'!N17+'28'!N17+'29'!N17+'30'!N17+'31'!N17+'32'!N17+'33'!N17+'34'!N17+'35'!N17+'36'!N17+'37'!N17+'7'!N17</f>
        <v>46255</v>
      </c>
      <c r="L25" s="700">
        <f t="shared" si="3"/>
        <v>77.544006705783744</v>
      </c>
      <c r="M25" s="707">
        <f t="shared" si="2"/>
        <v>36.988021174852463</v>
      </c>
      <c r="O25" s="64"/>
    </row>
    <row r="26" spans="2:16" ht="15" customHeight="1">
      <c r="B26" s="10"/>
      <c r="C26" s="262">
        <v>613200</v>
      </c>
      <c r="D26" s="341"/>
      <c r="E26" s="11" t="s">
        <v>84</v>
      </c>
      <c r="F26" s="31">
        <f>'1'!I18+'3'!I23+'4 (S)'!I18+'4 (N)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696600</v>
      </c>
      <c r="G26" s="314">
        <f>'1'!J18+'3'!J23+'4 (S)'!J18+'4 (N)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680200</v>
      </c>
      <c r="H26" s="314">
        <f>'1'!K18+'3'!K23+'4 (S)'!K18+'4 (N)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778621</v>
      </c>
      <c r="I26" s="314">
        <f>'1'!L18+'3'!L23+'4 (S)'!L18+'4 (N)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669339</v>
      </c>
      <c r="J26" s="314">
        <f>'1'!M18+'3'!M23+'4 (S)'!M18+'4 (N)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0</v>
      </c>
      <c r="K26" s="406">
        <f>'1'!N18+'3'!N23+'4 (S)'!N18+'4 (N)'!N18+'5'!N18+'6'!N18+'8'!N18+'9'!N18+'10'!N18+'11'!N18+'12'!N18+'13'!N18+'14'!N18+'15'!N18+'16'!N21+'17'!N18+'18'!N18+'19'!N18+'20'!N18+'22'!N18+'23'!N18+'21'!N18+'24'!N18+'25'!N18+'26'!N18+'27'!N18+'28'!N18+'29'!N18+'30'!N18+'31'!N18+'32'!N18+'33'!N18+'34'!N18+'35'!N18+'36'!N18+'37'!N18+'7'!N18</f>
        <v>669339</v>
      </c>
      <c r="L26" s="700">
        <f t="shared" si="3"/>
        <v>98.403263745957076</v>
      </c>
      <c r="M26" s="707">
        <f t="shared" si="2"/>
        <v>85.964673441892785</v>
      </c>
    </row>
    <row r="27" spans="2:16" ht="15" customHeight="1">
      <c r="B27" s="10"/>
      <c r="C27" s="262">
        <v>613300</v>
      </c>
      <c r="D27" s="341"/>
      <c r="E27" s="20" t="s">
        <v>171</v>
      </c>
      <c r="F27" s="31">
        <f>'1'!I19+'3'!I24+'4 (S)'!I19+'4 (N)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394850</v>
      </c>
      <c r="G27" s="314">
        <f>'1'!J19+'3'!J24+'4 (S)'!J19+'4 (N)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381650</v>
      </c>
      <c r="H27" s="314">
        <f>'1'!K19+'3'!K24+'4 (S)'!K19+'4 (N)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368348</v>
      </c>
      <c r="I27" s="314">
        <f>'1'!L19+'3'!L24+'4 (S)'!L19+'4 (N)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369008</v>
      </c>
      <c r="J27" s="314">
        <f>'1'!M19+'3'!M24+'4 (S)'!M19+'4 (N)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0</v>
      </c>
      <c r="K27" s="406">
        <f>'1'!N19+'3'!N24+'4 (S)'!N19+'4 (N)'!N19+'5'!N19+'6'!N19+'8'!N19+'9'!N19+'10'!N19+'11'!N19+'12'!N19+'13'!N19+'14'!N19+'15'!N19+'16'!N22+'17'!N19+'18'!N19+'19'!N19+'20'!N19+'22'!N19+'23'!N19+'21'!N19+'24'!N19+'25'!N19+'26'!N19+'27'!N19+'28'!N19+'29'!N19+'30'!N19+'31'!N19+'32'!N19+'33'!N19+'34'!N19+'35'!N19+'36'!N19+'37'!N19+'7'!N19</f>
        <v>369008</v>
      </c>
      <c r="L27" s="700">
        <f t="shared" si="3"/>
        <v>96.687540940652426</v>
      </c>
      <c r="M27" s="707">
        <f t="shared" si="2"/>
        <v>100.17917838565704</v>
      </c>
    </row>
    <row r="28" spans="2:16" ht="15" customHeight="1">
      <c r="B28" s="10"/>
      <c r="C28" s="262">
        <v>613400</v>
      </c>
      <c r="D28" s="341"/>
      <c r="E28" s="20" t="s">
        <v>148</v>
      </c>
      <c r="F28" s="31">
        <f>'1'!I20+'3'!I25+'4 (S)'!I20+'4 (N)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472240</v>
      </c>
      <c r="G28" s="314">
        <f>'1'!J20+'3'!J25+'4 (S)'!J20+'4 (N)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465460</v>
      </c>
      <c r="H28" s="314">
        <f>'1'!K20+'3'!K25+'4 (S)'!K20+'4 (N)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415254</v>
      </c>
      <c r="I28" s="314">
        <f>'1'!L20+'3'!L25+'4 (S)'!L20+'4 (N)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444107</v>
      </c>
      <c r="J28" s="314">
        <f>'1'!M20+'3'!M25+'4 (S)'!M20+'4 (N)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8629</v>
      </c>
      <c r="K28" s="406">
        <f>'1'!N20+'3'!N25+'4 (S)'!N20+'4 (N)'!N20+'5'!N20+'6'!N20+'8'!N20+'9'!N20+'10'!N20+'11'!N20+'12'!N20+'13'!N20+'14'!N20+'15'!N20+'16'!N23+'17'!N20+'18'!N20+'19'!N20+'20'!N20+'22'!N20+'23'!N20+'21'!N20+'24'!N20+'25'!N20+'26'!N20+'27'!N20+'28'!N20+'29'!N20+'30'!N20+'31'!N20+'32'!N20+'33'!N20+'34'!N20+'35'!N20+'36'!N20+'37'!N20+'7'!N20</f>
        <v>452736</v>
      </c>
      <c r="L28" s="700">
        <f t="shared" si="3"/>
        <v>97.266360159841881</v>
      </c>
      <c r="M28" s="707">
        <f t="shared" si="2"/>
        <v>109.02628270889625</v>
      </c>
    </row>
    <row r="29" spans="2:16" ht="15" customHeight="1">
      <c r="B29" s="10"/>
      <c r="C29" s="262">
        <v>613500</v>
      </c>
      <c r="D29" s="341"/>
      <c r="E29" s="14" t="s">
        <v>85</v>
      </c>
      <c r="F29" s="85">
        <f>'1'!I21+'3'!I26+'4 (S)'!I21+'4 (N)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205910</v>
      </c>
      <c r="G29" s="319">
        <f>'1'!J21+'3'!J26+'4 (S)'!J21+'4 (N)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185340</v>
      </c>
      <c r="H29" s="319">
        <f>'1'!K21+'3'!K26+'4 (S)'!K21+'4 (N)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214604</v>
      </c>
      <c r="I29" s="319">
        <f>'1'!L21+'3'!L26+'4 (S)'!L21+'4 (N)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176718</v>
      </c>
      <c r="J29" s="319">
        <f>'1'!M21+'3'!M26+'4 (S)'!M21+'4 (N)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0</v>
      </c>
      <c r="K29" s="406">
        <f>'1'!N21+'3'!N26+'4 (S)'!N21+'4 (N)'!N21+'5'!N21+'6'!N21+'8'!N21+'9'!N21+'10'!N21+'11'!N21+'12'!N21+'13'!N21+'14'!N21+'15'!N21+'16'!N24+'17'!N21+'18'!N21+'19'!N21+'20'!N21+'22'!N21+'23'!N21+'21'!N21+'24'!N21+'25'!N21+'26'!N21+'27'!N21+'28'!N21+'29'!N21+'30'!N21+'31'!N21+'32'!N21+'33'!N21+'34'!N21+'35'!N21+'36'!N21+'37'!N21+'7'!N21</f>
        <v>176718</v>
      </c>
      <c r="L29" s="700">
        <f t="shared" si="3"/>
        <v>95.348009064422143</v>
      </c>
      <c r="M29" s="707">
        <f t="shared" si="2"/>
        <v>82.346088609718365</v>
      </c>
    </row>
    <row r="30" spans="2:16" ht="15" customHeight="1">
      <c r="B30" s="10"/>
      <c r="C30" s="262">
        <v>613600</v>
      </c>
      <c r="D30" s="341"/>
      <c r="E30" s="78" t="s">
        <v>172</v>
      </c>
      <c r="F30" s="85">
        <f>'1'!I22+'3'!I27+'4 (S)'!I22+'4 (N)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33700</v>
      </c>
      <c r="G30" s="319">
        <f>'1'!J22+'3'!J27+'4 (S)'!J22+'4 (N)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33650</v>
      </c>
      <c r="H30" s="319">
        <f>'1'!K22+'3'!K27+'4 (S)'!K22+'4 (N)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36004</v>
      </c>
      <c r="I30" s="319">
        <f>'1'!L22+'3'!L27+'4 (S)'!L22+'4 (N)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32254</v>
      </c>
      <c r="J30" s="319">
        <f>'1'!M22+'3'!M27+'4 (S)'!M22+'4 (N)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0</v>
      </c>
      <c r="K30" s="406">
        <f>'1'!N22+'3'!N27+'4 (S)'!N22+'4 (N)'!N22+'5'!N22+'6'!N22+'8'!N22+'9'!N22+'10'!N22+'11'!N22+'12'!N22+'13'!N22+'14'!N22+'15'!N22+'16'!N25+'17'!N22+'18'!N22+'19'!N22+'20'!N22+'22'!N22+'23'!N22+'21'!N22+'24'!N22+'25'!N22+'26'!N22+'27'!N22+'28'!N22+'29'!N22+'30'!N22+'31'!N22+'32'!N22+'33'!N22+'34'!N22+'35'!N22+'36'!N22+'37'!N22+'7'!N22</f>
        <v>32254</v>
      </c>
      <c r="L30" s="700">
        <f t="shared" si="3"/>
        <v>95.851411589895989</v>
      </c>
      <c r="M30" s="707">
        <f t="shared" si="2"/>
        <v>89.584490612154212</v>
      </c>
    </row>
    <row r="31" spans="2:16" ht="15" customHeight="1">
      <c r="B31" s="10"/>
      <c r="C31" s="262">
        <v>613700</v>
      </c>
      <c r="D31" s="341"/>
      <c r="E31" s="14" t="s">
        <v>86</v>
      </c>
      <c r="F31" s="85">
        <f>F32+F33</f>
        <v>529750</v>
      </c>
      <c r="G31" s="319">
        <f t="shared" ref="G31:K31" si="9">G32+G33</f>
        <v>498580</v>
      </c>
      <c r="H31" s="319">
        <f t="shared" si="9"/>
        <v>480947</v>
      </c>
      <c r="I31" s="319">
        <f t="shared" ref="I31:J31" si="10">I32+I33</f>
        <v>294318</v>
      </c>
      <c r="J31" s="319">
        <f t="shared" si="10"/>
        <v>193275</v>
      </c>
      <c r="K31" s="406">
        <f t="shared" si="9"/>
        <v>487593</v>
      </c>
      <c r="L31" s="700">
        <f t="shared" si="3"/>
        <v>97.796341610172888</v>
      </c>
      <c r="M31" s="707">
        <f t="shared" si="2"/>
        <v>101.38185704453922</v>
      </c>
    </row>
    <row r="32" spans="2:16" ht="15" customHeight="1">
      <c r="B32" s="10"/>
      <c r="C32" s="263">
        <v>613700</v>
      </c>
      <c r="D32" s="342"/>
      <c r="E32" s="250" t="s">
        <v>462</v>
      </c>
      <c r="F32" s="251">
        <f>'1'!I23+'3'!I28+'4 (S)'!I23+'4 (N)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329750</v>
      </c>
      <c r="G32" s="324">
        <f>'1'!J23+'3'!J28+'4 (S)'!J23+'4 (N)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305080</v>
      </c>
      <c r="H32" s="324">
        <f>'1'!K23+'3'!K28+'4 (S)'!K23+'4 (N)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300705</v>
      </c>
      <c r="I32" s="324">
        <f>'1'!L23+'3'!L28+'4 (S)'!L23+'4 (N)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294318</v>
      </c>
      <c r="J32" s="324">
        <f>'1'!M23+'3'!M28+'4 (S)'!M23+'4 (N)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0</v>
      </c>
      <c r="K32" s="417">
        <f>'1'!N23+'3'!N28+'4 (S)'!N23+'4 (N)'!N23+'5'!N23+'6'!N23+'8'!N23+'9'!N23+'10'!N23+'11'!N23+'12'!N23+'13'!N23+'14'!N23+'15'!N23+'16'!N26+'17'!N23+'18'!N23+'19'!N23+'20'!N23+'22'!N23+'23'!N23+'21'!N23+'24'!N23+'25'!N23+'26'!N23+'27'!N23+'28'!N23+'29'!N23+'30'!N23+'31'!N23+'32'!N23+'33'!N23+'34'!N23+'35'!N23+'36'!N23+'37'!N23+'7'!N23</f>
        <v>294318</v>
      </c>
      <c r="L32" s="702">
        <f t="shared" si="3"/>
        <v>96.472400681788386</v>
      </c>
      <c r="M32" s="709">
        <f t="shared" si="2"/>
        <v>97.87599142016262</v>
      </c>
    </row>
    <row r="33" spans="2:15" ht="15" customHeight="1">
      <c r="B33" s="10"/>
      <c r="C33" s="263">
        <v>613700</v>
      </c>
      <c r="D33" s="342" t="s">
        <v>557</v>
      </c>
      <c r="E33" s="250" t="s">
        <v>463</v>
      </c>
      <c r="F33" s="251">
        <f>'18'!I24</f>
        <v>200000</v>
      </c>
      <c r="G33" s="251">
        <f>'18'!J24</f>
        <v>193500</v>
      </c>
      <c r="H33" s="251">
        <f>'18'!K24</f>
        <v>180242</v>
      </c>
      <c r="I33" s="324">
        <f>'18'!L24</f>
        <v>0</v>
      </c>
      <c r="J33" s="324">
        <f>'18'!M24</f>
        <v>193275</v>
      </c>
      <c r="K33" s="417">
        <f>'18'!N24</f>
        <v>193275</v>
      </c>
      <c r="L33" s="702">
        <f t="shared" si="3"/>
        <v>99.883720930232556</v>
      </c>
      <c r="M33" s="709">
        <f t="shared" si="2"/>
        <v>107.23083410082002</v>
      </c>
    </row>
    <row r="34" spans="2:15" ht="15" customHeight="1">
      <c r="B34" s="10"/>
      <c r="C34" s="262">
        <v>613800</v>
      </c>
      <c r="D34" s="341"/>
      <c r="E34" s="78" t="s">
        <v>149</v>
      </c>
      <c r="F34" s="85">
        <f>F35+F36</f>
        <v>48900</v>
      </c>
      <c r="G34" s="85">
        <f t="shared" ref="G34:H34" si="11">G35+G36</f>
        <v>44620</v>
      </c>
      <c r="H34" s="85">
        <f t="shared" si="11"/>
        <v>37497</v>
      </c>
      <c r="I34" s="319">
        <f>I35+I36</f>
        <v>42942</v>
      </c>
      <c r="J34" s="319">
        <f>J35+J36</f>
        <v>0</v>
      </c>
      <c r="K34" s="406">
        <f>K35+K36</f>
        <v>42942</v>
      </c>
      <c r="L34" s="700">
        <f t="shared" si="3"/>
        <v>96.239354549529352</v>
      </c>
      <c r="M34" s="707">
        <f t="shared" si="2"/>
        <v>114.52116169293542</v>
      </c>
    </row>
    <row r="35" spans="2:15" ht="15" customHeight="1">
      <c r="B35" s="10"/>
      <c r="C35" s="263">
        <v>613800</v>
      </c>
      <c r="D35" s="342"/>
      <c r="E35" s="250" t="s">
        <v>464</v>
      </c>
      <c r="F35" s="251">
        <f>'1'!I24+'3'!I29+'4 (S)'!I24+'4 (N)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48900</v>
      </c>
      <c r="G35" s="324">
        <f>'1'!J24+'3'!J29+'4 (S)'!J24+'4 (N)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44620</v>
      </c>
      <c r="H35" s="324">
        <f>'1'!K24+'3'!K29+'4 (S)'!K24+'4 (N)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37497</v>
      </c>
      <c r="I35" s="324">
        <f>'1'!L24+'3'!L29+'4 (S)'!L24+'4 (N)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42942</v>
      </c>
      <c r="J35" s="324">
        <f>'1'!M24+'3'!M29+'4 (S)'!M24+'4 (N)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0</v>
      </c>
      <c r="K35" s="417">
        <f>'1'!N24+'3'!N29+'4 (S)'!N24+'4 (N)'!N24+'5'!N24+'6'!N24+'8'!N24+'9'!N24+'10'!N24+'11'!N24+'12'!N24+'13'!N24+'14'!N24+'15'!N24+'16'!N27+'17'!N24+'18'!N25+'19'!N24+'20'!N24+'22'!N24+'23'!N24+'21'!N24+'24'!N24+'25'!N24+'26'!N24+'27'!N24+'28'!N24+'29'!N24+'30'!N24+'31'!N24+'32'!N24+'33'!N24+'34'!N24+'35'!N24+'36'!N24+'37'!N24+'7'!N24</f>
        <v>42942</v>
      </c>
      <c r="L35" s="702">
        <f t="shared" si="3"/>
        <v>96.239354549529352</v>
      </c>
      <c r="M35" s="709">
        <f t="shared" si="2"/>
        <v>114.52116169293542</v>
      </c>
    </row>
    <row r="36" spans="2:15" ht="15" customHeight="1">
      <c r="B36" s="10"/>
      <c r="C36" s="263">
        <v>613800</v>
      </c>
      <c r="D36" s="342"/>
      <c r="E36" s="248" t="s">
        <v>465</v>
      </c>
      <c r="F36" s="249">
        <f>'20'!I25</f>
        <v>0</v>
      </c>
      <c r="G36" s="249">
        <f>'20'!J25</f>
        <v>0</v>
      </c>
      <c r="H36" s="249">
        <f>'20'!K25</f>
        <v>0</v>
      </c>
      <c r="I36" s="323">
        <f>'20'!L25</f>
        <v>0</v>
      </c>
      <c r="J36" s="323">
        <f>'20'!M25</f>
        <v>0</v>
      </c>
      <c r="K36" s="417">
        <f>'20'!N25</f>
        <v>0</v>
      </c>
      <c r="L36" s="702" t="str">
        <f t="shared" si="3"/>
        <v/>
      </c>
      <c r="M36" s="709" t="str">
        <f t="shared" si="2"/>
        <v/>
      </c>
    </row>
    <row r="37" spans="2:15" ht="15" customHeight="1">
      <c r="B37" s="10"/>
      <c r="C37" s="264">
        <v>613900</v>
      </c>
      <c r="D37" s="343"/>
      <c r="E37" s="78" t="s">
        <v>150</v>
      </c>
      <c r="F37" s="86">
        <f t="shared" ref="F37:K37" si="12">SUM(F38:F45)</f>
        <v>1561380</v>
      </c>
      <c r="G37" s="86">
        <f t="shared" si="12"/>
        <v>1558100</v>
      </c>
      <c r="H37" s="86">
        <f t="shared" si="12"/>
        <v>1488865</v>
      </c>
      <c r="I37" s="86">
        <f t="shared" si="12"/>
        <v>1458975</v>
      </c>
      <c r="J37" s="86">
        <f t="shared" si="12"/>
        <v>7523</v>
      </c>
      <c r="K37" s="418">
        <f t="shared" si="12"/>
        <v>1466498</v>
      </c>
      <c r="L37" s="700">
        <f t="shared" si="3"/>
        <v>94.120916500866443</v>
      </c>
      <c r="M37" s="707">
        <f t="shared" si="2"/>
        <v>98.497714702138879</v>
      </c>
    </row>
    <row r="38" spans="2:15" ht="15" customHeight="1">
      <c r="B38" s="10"/>
      <c r="C38" s="265">
        <v>613900</v>
      </c>
      <c r="D38" s="344"/>
      <c r="E38" s="250" t="s">
        <v>466</v>
      </c>
      <c r="F38" s="252">
        <f>'1'!I25+'3'!I30+'4 (S)'!I25+'4 (N)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1249470</v>
      </c>
      <c r="G38" s="325">
        <f>'1'!J25+'3'!J30+'4 (S)'!J25+'4 (N)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1237690</v>
      </c>
      <c r="H38" s="325">
        <f>'1'!K25+'3'!K30+'4 (S)'!K25+'4 (N)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1282375</v>
      </c>
      <c r="I38" s="325">
        <f>'1'!L25+'3'!L30+'4 (S)'!L25+'4 (N)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1198082</v>
      </c>
      <c r="J38" s="325">
        <f>'1'!M25+'3'!M30+'4 (S)'!M25+'4 (N)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0</v>
      </c>
      <c r="K38" s="419">
        <f>'1'!N25+'3'!N30+'4 (S)'!N25+'4 (N)'!N25+'5'!N25+'6'!N25+'8'!N25+'9'!N25+'10'!N25+'11'!N25+'12'!N25+'13'!N25+'14'!N25+'15'!N25+'16'!N28+'17'!N25+'18'!N26+'19'!N25+'20'!N26+'22'!N25+'23'!N25+'21'!N25+'24'!N25+'25'!N25+'26'!N25+'27'!N25+'28'!N25+'29'!N25+'30'!N25+'31'!N25+'32'!N25+'33'!N25+'34'!N25+'35'!N25+'36'!N25+'37'!N25+'7'!N25</f>
        <v>1198082</v>
      </c>
      <c r="L38" s="702">
        <f t="shared" si="3"/>
        <v>96.79984487230243</v>
      </c>
      <c r="M38" s="709">
        <f t="shared" si="2"/>
        <v>93.42680573155279</v>
      </c>
    </row>
    <row r="39" spans="2:15" ht="15" customHeight="1">
      <c r="B39" s="10"/>
      <c r="C39" s="263">
        <v>613900</v>
      </c>
      <c r="D39" s="342" t="s">
        <v>537</v>
      </c>
      <c r="E39" s="248" t="s">
        <v>467</v>
      </c>
      <c r="F39" s="249">
        <f>'3'!I31</f>
        <v>0</v>
      </c>
      <c r="G39" s="249">
        <f>'3'!J31</f>
        <v>0</v>
      </c>
      <c r="H39" s="249">
        <f>'3'!K31</f>
        <v>26216</v>
      </c>
      <c r="I39" s="323">
        <f>'3'!L31</f>
        <v>0</v>
      </c>
      <c r="J39" s="323">
        <f>'3'!M31</f>
        <v>0</v>
      </c>
      <c r="K39" s="417">
        <f>'3'!N31</f>
        <v>0</v>
      </c>
      <c r="L39" s="702" t="str">
        <f t="shared" si="3"/>
        <v/>
      </c>
      <c r="M39" s="709">
        <f t="shared" si="2"/>
        <v>0</v>
      </c>
    </row>
    <row r="40" spans="2:15" s="307" customFormat="1" ht="15" customHeight="1">
      <c r="B40" s="308"/>
      <c r="C40" s="263">
        <v>613900</v>
      </c>
      <c r="D40" s="344" t="s">
        <v>803</v>
      </c>
      <c r="E40" s="250" t="s">
        <v>802</v>
      </c>
      <c r="F40" s="323">
        <f>'10'!I26</f>
        <v>42500</v>
      </c>
      <c r="G40" s="323">
        <f>'10'!J26</f>
        <v>40000</v>
      </c>
      <c r="H40" s="323">
        <f>'10'!K26</f>
        <v>0</v>
      </c>
      <c r="I40" s="323">
        <f>'10'!L26</f>
        <v>36943</v>
      </c>
      <c r="J40" s="323">
        <f>'10'!M26</f>
        <v>0</v>
      </c>
      <c r="K40" s="417">
        <f>'10'!N26</f>
        <v>36943</v>
      </c>
      <c r="L40" s="702">
        <f t="shared" ref="L40" si="13">IF(G40=0,"",K40/G40*100)</f>
        <v>92.357500000000002</v>
      </c>
      <c r="M40" s="709" t="str">
        <f t="shared" si="2"/>
        <v/>
      </c>
    </row>
    <row r="41" spans="2:15" s="307" customFormat="1" ht="15" customHeight="1">
      <c r="B41" s="308"/>
      <c r="C41" s="263">
        <v>613900</v>
      </c>
      <c r="D41" s="344" t="s">
        <v>821</v>
      </c>
      <c r="E41" s="250" t="s">
        <v>823</v>
      </c>
      <c r="F41" s="323">
        <f>'10'!I27</f>
        <v>65000</v>
      </c>
      <c r="G41" s="323">
        <f>'10'!J27</f>
        <v>76000</v>
      </c>
      <c r="H41" s="323">
        <f>'10'!K27</f>
        <v>0</v>
      </c>
      <c r="I41" s="323">
        <f>'10'!L27</f>
        <v>75430</v>
      </c>
      <c r="J41" s="323">
        <f>'10'!M27</f>
        <v>0</v>
      </c>
      <c r="K41" s="417">
        <f>'10'!N27</f>
        <v>75430</v>
      </c>
      <c r="L41" s="702">
        <f t="shared" ref="L41" si="14">IF(G41=0,"",K41/G41*100)</f>
        <v>99.25</v>
      </c>
      <c r="M41" s="709" t="str">
        <f t="shared" ref="M41" si="15">IF(H41=0,"",K41/H41*100)</f>
        <v/>
      </c>
    </row>
    <row r="42" spans="2:15" ht="15" customHeight="1">
      <c r="B42" s="10"/>
      <c r="C42" s="263">
        <v>613900</v>
      </c>
      <c r="D42" s="342" t="s">
        <v>550</v>
      </c>
      <c r="E42" s="248" t="s">
        <v>468</v>
      </c>
      <c r="F42" s="249">
        <f>'16'!I29</f>
        <v>65000</v>
      </c>
      <c r="G42" s="249">
        <f>'16'!J29</f>
        <v>65000</v>
      </c>
      <c r="H42" s="249">
        <f>'16'!K29</f>
        <v>63461</v>
      </c>
      <c r="I42" s="323">
        <f>'16'!L29</f>
        <v>61016</v>
      </c>
      <c r="J42" s="323">
        <f>'16'!M29</f>
        <v>0</v>
      </c>
      <c r="K42" s="417">
        <f>'16'!N29</f>
        <v>61016</v>
      </c>
      <c r="L42" s="702">
        <f t="shared" si="3"/>
        <v>93.870769230769241</v>
      </c>
      <c r="M42" s="709">
        <f t="shared" si="2"/>
        <v>96.147240037188197</v>
      </c>
    </row>
    <row r="43" spans="2:15" ht="15" customHeight="1">
      <c r="B43" s="10"/>
      <c r="C43" s="263">
        <v>613900</v>
      </c>
      <c r="D43" s="342" t="s">
        <v>564</v>
      </c>
      <c r="E43" s="248" t="s">
        <v>469</v>
      </c>
      <c r="F43" s="249">
        <f>'20'!I27</f>
        <v>40000</v>
      </c>
      <c r="G43" s="249">
        <f>'20'!J27</f>
        <v>40000</v>
      </c>
      <c r="H43" s="249">
        <f>'20'!K27</f>
        <v>45932</v>
      </c>
      <c r="I43" s="323">
        <f>'20'!L27</f>
        <v>38797</v>
      </c>
      <c r="J43" s="323">
        <f>'20'!M27</f>
        <v>0</v>
      </c>
      <c r="K43" s="417">
        <f>'20'!N27</f>
        <v>38797</v>
      </c>
      <c r="L43" s="702">
        <f t="shared" si="3"/>
        <v>96.992500000000007</v>
      </c>
      <c r="M43" s="709">
        <f t="shared" si="2"/>
        <v>84.466167377862931</v>
      </c>
    </row>
    <row r="44" spans="2:15" ht="15" customHeight="1">
      <c r="B44" s="10"/>
      <c r="C44" s="263">
        <v>613900</v>
      </c>
      <c r="D44" s="342" t="s">
        <v>536</v>
      </c>
      <c r="E44" s="322" t="s">
        <v>852</v>
      </c>
      <c r="F44" s="249">
        <f>'1'!I26+'3'!I32+'4 (S)'!I26+'4 (N)'!I26+'5'!I26+'6'!I26+'8'!I26+'9'!I26+'10'!I28+'11'!I26+'12'!I26+'13'!I26+'14'!I26+'15'!I26+'16'!I30+'17'!I26+'18'!I27+'19'!I26+'20'!I28+'22'!I26+'23'!I26+'21'!I26+'24'!I26+'25'!I26+'26'!I26+'27'!I26+'28'!I26+'29'!I26+'30'!I26+'31'!I26+'32'!I26+'33'!I26+'34'!I26+'35'!I26+'36'!I26+'37'!I26+'7'!I26</f>
        <v>49410</v>
      </c>
      <c r="G44" s="323">
        <f>'1'!J26+'3'!J32+'4 (S)'!J26+'4 (N)'!J26+'5'!J26+'6'!J26+'8'!J26+'9'!J26+'10'!J28+'11'!J26+'12'!J26+'13'!J26+'14'!J26+'15'!J26+'16'!J30+'17'!J26+'18'!J27+'19'!J26+'20'!J28+'22'!J26+'23'!J26+'21'!J26+'24'!J26+'25'!J26+'26'!J26+'27'!J26+'28'!J26+'29'!J26+'30'!J26+'31'!J26+'32'!J26+'33'!J26+'34'!J26+'35'!J26+'36'!J26+'37'!J26+'7'!J26</f>
        <v>49410</v>
      </c>
      <c r="H44" s="323">
        <f>'1'!K26+'3'!K32+'4 (S)'!K26+'4 (N)'!K26+'5'!K26+'6'!K26+'8'!K26+'9'!K26+'10'!K28+'11'!K26+'12'!K26+'13'!K26+'14'!K26+'15'!K26+'16'!K30+'17'!K26+'18'!K27+'19'!K26+'20'!K28+'22'!K26+'23'!K26+'21'!K26+'24'!K26+'25'!K26+'26'!K26+'27'!K26+'28'!K26+'29'!K26+'30'!K26+'31'!K26+'32'!K26+'33'!K26+'34'!K26+'35'!K26+'36'!K26+'37'!K26+'7'!K26</f>
        <v>70881</v>
      </c>
      <c r="I44" s="323">
        <f>'1'!L26+'3'!L32+'4 (S)'!L26+'4 (N)'!L26+'5'!L26+'6'!L26+'8'!L26+'9'!L26+'10'!L28+'11'!L26+'12'!L26+'13'!L26+'14'!L26+'15'!L26+'16'!L30+'17'!L26+'18'!L27+'19'!L26+'20'!L28+'22'!L26+'23'!L26+'21'!L26+'24'!L26+'25'!L26+'26'!L26+'27'!L26+'28'!L26+'29'!L26+'30'!L26+'31'!L26+'32'!L26+'33'!L26+'34'!L26+'35'!L26+'36'!L26+'37'!L26+'7'!L26</f>
        <v>48707</v>
      </c>
      <c r="J44" s="323">
        <f>'1'!M26+'3'!M32+'4 (S)'!M26+'4 (N)'!M26+'5'!M26+'6'!M26+'8'!M26+'9'!M26+'10'!M28+'11'!M26+'12'!M26+'13'!M26+'14'!M26+'15'!M26+'16'!M30+'17'!M26+'18'!M27+'19'!M26+'20'!M28+'22'!M26+'23'!M26+'21'!M26+'24'!M26+'25'!M26+'26'!M26+'27'!M26+'28'!M26+'29'!M26+'30'!M26+'31'!M26+'32'!M26+'33'!M26+'34'!M26+'35'!M26+'36'!M26+'37'!M26+'7'!M26</f>
        <v>0</v>
      </c>
      <c r="K44" s="417">
        <f>'1'!N26+'3'!N32+'4 (S)'!N26+'4 (N)'!N26+'5'!N26+'6'!N26+'8'!N26+'9'!N26+'10'!N28+'11'!N26+'12'!N26+'13'!N26+'14'!N26+'15'!N26+'16'!N30+'17'!N26+'18'!N27+'19'!N26+'20'!N28+'22'!N26+'23'!N26+'21'!N26+'24'!N26+'25'!N26+'26'!N26+'27'!N26+'28'!N26+'29'!N26+'30'!N26+'31'!N26+'32'!N26+'33'!N26+'34'!N26+'35'!N26+'36'!N26+'37'!N26+'7'!N26</f>
        <v>48707</v>
      </c>
      <c r="L44" s="702">
        <f t="shared" si="3"/>
        <v>98.577211090872296</v>
      </c>
      <c r="M44" s="709">
        <f t="shared" si="2"/>
        <v>68.716581312340395</v>
      </c>
    </row>
    <row r="45" spans="2:15" ht="15" customHeight="1">
      <c r="B45" s="10"/>
      <c r="C45" s="263">
        <v>613900</v>
      </c>
      <c r="D45" s="342" t="s">
        <v>548</v>
      </c>
      <c r="E45" s="248" t="s">
        <v>470</v>
      </c>
      <c r="F45" s="249">
        <f>'15'!I27</f>
        <v>50000</v>
      </c>
      <c r="G45" s="249">
        <f>'15'!J27</f>
        <v>50000</v>
      </c>
      <c r="H45" s="249">
        <f>'15'!K27</f>
        <v>0</v>
      </c>
      <c r="I45" s="323">
        <f>'15'!L27</f>
        <v>0</v>
      </c>
      <c r="J45" s="323">
        <f>'15'!M27</f>
        <v>7523</v>
      </c>
      <c r="K45" s="417">
        <f>'15'!N27</f>
        <v>7523</v>
      </c>
      <c r="L45" s="702">
        <f t="shared" si="3"/>
        <v>15.046000000000001</v>
      </c>
      <c r="M45" s="709" t="str">
        <f t="shared" si="2"/>
        <v/>
      </c>
    </row>
    <row r="46" spans="2:15" ht="11.25" customHeight="1">
      <c r="B46" s="10"/>
      <c r="C46" s="262"/>
      <c r="D46" s="341"/>
      <c r="E46" s="11"/>
      <c r="F46" s="56"/>
      <c r="G46" s="56"/>
      <c r="H46" s="56"/>
      <c r="I46" s="303"/>
      <c r="J46" s="303"/>
      <c r="K46" s="406"/>
      <c r="L46" s="700" t="str">
        <f t="shared" si="3"/>
        <v/>
      </c>
      <c r="M46" s="707" t="str">
        <f t="shared" si="2"/>
        <v/>
      </c>
    </row>
    <row r="47" spans="2:15" ht="15" customHeight="1">
      <c r="B47" s="10"/>
      <c r="C47" s="424">
        <v>614000</v>
      </c>
      <c r="D47" s="425"/>
      <c r="E47" s="426" t="s">
        <v>173</v>
      </c>
      <c r="F47" s="427">
        <f t="shared" ref="F47:K47" si="16">F48+F60+F70+F84+F89</f>
        <v>11854800</v>
      </c>
      <c r="G47" s="427">
        <f t="shared" si="16"/>
        <v>11869800</v>
      </c>
      <c r="H47" s="427">
        <f t="shared" si="16"/>
        <v>11254222</v>
      </c>
      <c r="I47" s="427">
        <f t="shared" si="16"/>
        <v>9835991</v>
      </c>
      <c r="J47" s="427">
        <f t="shared" si="16"/>
        <v>1928510</v>
      </c>
      <c r="K47" s="407">
        <f t="shared" si="16"/>
        <v>11764501</v>
      </c>
      <c r="L47" s="701">
        <f t="shared" si="3"/>
        <v>99.112883115132519</v>
      </c>
      <c r="M47" s="708">
        <f t="shared" si="2"/>
        <v>104.53411173157949</v>
      </c>
      <c r="O47" s="94"/>
    </row>
    <row r="48" spans="2:15" s="55" customFormat="1" ht="15" customHeight="1">
      <c r="B48" s="271"/>
      <c r="C48" s="272">
        <v>614100</v>
      </c>
      <c r="D48" s="341"/>
      <c r="E48" s="20" t="s">
        <v>498</v>
      </c>
      <c r="F48" s="98">
        <f t="shared" ref="F48:K48" si="17">SUM(F49:F59)</f>
        <v>2648800</v>
      </c>
      <c r="G48" s="98">
        <f t="shared" si="17"/>
        <v>2753800</v>
      </c>
      <c r="H48" s="98">
        <f t="shared" si="17"/>
        <v>2627507</v>
      </c>
      <c r="I48" s="300">
        <f t="shared" si="17"/>
        <v>2078587</v>
      </c>
      <c r="J48" s="300">
        <f t="shared" si="17"/>
        <v>669946</v>
      </c>
      <c r="K48" s="406">
        <f t="shared" si="17"/>
        <v>2748533</v>
      </c>
      <c r="L48" s="700">
        <f t="shared" si="3"/>
        <v>99.808737017938853</v>
      </c>
      <c r="M48" s="707">
        <f t="shared" si="2"/>
        <v>104.60611522633431</v>
      </c>
      <c r="O48" s="67"/>
    </row>
    <row r="49" spans="2:13" s="68" customFormat="1" ht="15" customHeight="1">
      <c r="B49" s="69"/>
      <c r="C49" s="263">
        <v>614100</v>
      </c>
      <c r="D49" s="342" t="s">
        <v>538</v>
      </c>
      <c r="E49" s="250" t="s">
        <v>471</v>
      </c>
      <c r="F49" s="251">
        <f>'3'!I35</f>
        <v>250000</v>
      </c>
      <c r="G49" s="251">
        <f>'3'!J35</f>
        <v>250000</v>
      </c>
      <c r="H49" s="251">
        <f>'3'!K35</f>
        <v>200000</v>
      </c>
      <c r="I49" s="324">
        <f>'3'!L35</f>
        <v>250000</v>
      </c>
      <c r="J49" s="324">
        <f>'3'!M35</f>
        <v>0</v>
      </c>
      <c r="K49" s="417">
        <f>'3'!N35</f>
        <v>250000</v>
      </c>
      <c r="L49" s="702">
        <f t="shared" si="3"/>
        <v>100</v>
      </c>
      <c r="M49" s="709">
        <f t="shared" si="2"/>
        <v>125</v>
      </c>
    </row>
    <row r="50" spans="2:13" s="304" customFormat="1" ht="15" customHeight="1">
      <c r="B50" s="310"/>
      <c r="C50" s="263">
        <v>614100</v>
      </c>
      <c r="D50" s="662" t="s">
        <v>688</v>
      </c>
      <c r="E50" s="663" t="s">
        <v>475</v>
      </c>
      <c r="F50" s="323">
        <f>'15'!I30</f>
        <v>0</v>
      </c>
      <c r="G50" s="323">
        <f>'15'!J30</f>
        <v>0</v>
      </c>
      <c r="H50" s="323">
        <f>'15'!K30</f>
        <v>0</v>
      </c>
      <c r="I50" s="323">
        <f>'15'!L30</f>
        <v>0</v>
      </c>
      <c r="J50" s="323">
        <f>'15'!M30</f>
        <v>0</v>
      </c>
      <c r="K50" s="417">
        <f>'15'!N30</f>
        <v>0</v>
      </c>
      <c r="L50" s="702" t="str">
        <f t="shared" ref="L50" si="18">IF(G50=0,"",K50/G50*100)</f>
        <v/>
      </c>
      <c r="M50" s="709" t="str">
        <f t="shared" si="2"/>
        <v/>
      </c>
    </row>
    <row r="51" spans="2:13" s="1" customFormat="1" ht="15" customHeight="1">
      <c r="B51" s="12"/>
      <c r="C51" s="263">
        <v>614100</v>
      </c>
      <c r="D51" s="342" t="s">
        <v>551</v>
      </c>
      <c r="E51" s="253" t="s">
        <v>472</v>
      </c>
      <c r="F51" s="249">
        <f>'16'!I33</f>
        <v>350000</v>
      </c>
      <c r="G51" s="249">
        <f>'16'!J33</f>
        <v>350000</v>
      </c>
      <c r="H51" s="249">
        <f>'16'!K33</f>
        <v>230000</v>
      </c>
      <c r="I51" s="323">
        <f>'16'!L33</f>
        <v>350000</v>
      </c>
      <c r="J51" s="323">
        <f>'16'!M33</f>
        <v>0</v>
      </c>
      <c r="K51" s="417">
        <f>'16'!N33</f>
        <v>350000</v>
      </c>
      <c r="L51" s="702">
        <f t="shared" si="3"/>
        <v>100</v>
      </c>
      <c r="M51" s="709">
        <f t="shared" si="2"/>
        <v>152.17391304347828</v>
      </c>
    </row>
    <row r="52" spans="2:13" s="1" customFormat="1" ht="15" customHeight="1">
      <c r="B52" s="12"/>
      <c r="C52" s="266">
        <v>614100</v>
      </c>
      <c r="D52" s="345" t="s">
        <v>567</v>
      </c>
      <c r="E52" s="248" t="s">
        <v>473</v>
      </c>
      <c r="F52" s="249">
        <f>'17'!I29</f>
        <v>1275000</v>
      </c>
      <c r="G52" s="249">
        <f>'17'!J29</f>
        <v>1380000</v>
      </c>
      <c r="H52" s="249">
        <f>'17'!K29</f>
        <v>1044000</v>
      </c>
      <c r="I52" s="323">
        <f>'17'!L29</f>
        <v>1130000</v>
      </c>
      <c r="J52" s="323">
        <f>'17'!M29</f>
        <v>250000</v>
      </c>
      <c r="K52" s="417">
        <f>'17'!N29</f>
        <v>1380000</v>
      </c>
      <c r="L52" s="702">
        <f t="shared" si="3"/>
        <v>100</v>
      </c>
      <c r="M52" s="709">
        <f t="shared" si="2"/>
        <v>132.18390804597701</v>
      </c>
    </row>
    <row r="53" spans="2:13" s="1" customFormat="1" ht="15" customHeight="1">
      <c r="B53" s="12"/>
      <c r="C53" s="263">
        <v>614100</v>
      </c>
      <c r="D53" s="346" t="s">
        <v>558</v>
      </c>
      <c r="E53" s="254" t="s">
        <v>474</v>
      </c>
      <c r="F53" s="249">
        <f>'18'!I30</f>
        <v>300000</v>
      </c>
      <c r="G53" s="249">
        <f>'18'!J30</f>
        <v>300000</v>
      </c>
      <c r="H53" s="249">
        <f>'18'!K30</f>
        <v>180000</v>
      </c>
      <c r="I53" s="323">
        <f>'18'!L30</f>
        <v>0</v>
      </c>
      <c r="J53" s="323">
        <f>'18'!M30</f>
        <v>300000</v>
      </c>
      <c r="K53" s="417">
        <f>'18'!N30</f>
        <v>300000</v>
      </c>
      <c r="L53" s="702">
        <f t="shared" si="3"/>
        <v>100</v>
      </c>
      <c r="M53" s="709">
        <f t="shared" si="2"/>
        <v>166.66666666666669</v>
      </c>
    </row>
    <row r="54" spans="2:13" s="1" customFormat="1" ht="15" customHeight="1">
      <c r="B54" s="12"/>
      <c r="C54" s="263">
        <v>614100</v>
      </c>
      <c r="D54" s="346" t="s">
        <v>559</v>
      </c>
      <c r="E54" s="254" t="s">
        <v>475</v>
      </c>
      <c r="F54" s="249">
        <f>'18'!I31</f>
        <v>0</v>
      </c>
      <c r="G54" s="249">
        <f>'18'!J31</f>
        <v>0</v>
      </c>
      <c r="H54" s="249">
        <f>'18'!K31</f>
        <v>0</v>
      </c>
      <c r="I54" s="324">
        <f>'18'!L31</f>
        <v>0</v>
      </c>
      <c r="J54" s="324">
        <f>'18'!M31</f>
        <v>0</v>
      </c>
      <c r="K54" s="417">
        <f>'18'!N31</f>
        <v>0</v>
      </c>
      <c r="L54" s="702" t="str">
        <f t="shared" si="3"/>
        <v/>
      </c>
      <c r="M54" s="709" t="str">
        <f t="shared" si="2"/>
        <v/>
      </c>
    </row>
    <row r="55" spans="2:13" s="1" customFormat="1" ht="15" customHeight="1">
      <c r="B55" s="12"/>
      <c r="C55" s="263">
        <v>614100</v>
      </c>
      <c r="D55" s="342" t="s">
        <v>561</v>
      </c>
      <c r="E55" s="250" t="s">
        <v>476</v>
      </c>
      <c r="F55" s="249">
        <f>'19'!I29</f>
        <v>120000</v>
      </c>
      <c r="G55" s="249">
        <f>'19'!J29</f>
        <v>120000</v>
      </c>
      <c r="H55" s="249">
        <f>'19'!K29</f>
        <v>149614</v>
      </c>
      <c r="I55" s="323">
        <f>'19'!L29</f>
        <v>0</v>
      </c>
      <c r="J55" s="323">
        <f>'19'!M29</f>
        <v>119946</v>
      </c>
      <c r="K55" s="417">
        <f>'19'!N29</f>
        <v>119946</v>
      </c>
      <c r="L55" s="702">
        <f t="shared" si="3"/>
        <v>99.954999999999998</v>
      </c>
      <c r="M55" s="709">
        <f t="shared" si="2"/>
        <v>80.170304917988958</v>
      </c>
    </row>
    <row r="56" spans="2:13" s="1" customFormat="1" ht="24.75" customHeight="1">
      <c r="B56" s="12"/>
      <c r="C56" s="266">
        <v>614100</v>
      </c>
      <c r="D56" s="345" t="s">
        <v>565</v>
      </c>
      <c r="E56" s="255" t="s">
        <v>477</v>
      </c>
      <c r="F56" s="249">
        <f>'20'!I31</f>
        <v>125000</v>
      </c>
      <c r="G56" s="249">
        <f>'20'!J31</f>
        <v>125000</v>
      </c>
      <c r="H56" s="249">
        <f>'20'!K31</f>
        <v>128996</v>
      </c>
      <c r="I56" s="323">
        <f>'20'!L31</f>
        <v>124820</v>
      </c>
      <c r="J56" s="323">
        <f>'20'!M31</f>
        <v>0</v>
      </c>
      <c r="K56" s="417">
        <f>'20'!N31</f>
        <v>124820</v>
      </c>
      <c r="L56" s="702">
        <f t="shared" si="3"/>
        <v>99.855999999999995</v>
      </c>
      <c r="M56" s="709">
        <f t="shared" si="2"/>
        <v>96.762690315978801</v>
      </c>
    </row>
    <row r="57" spans="2:13" s="304" customFormat="1" ht="15" customHeight="1">
      <c r="B57" s="310"/>
      <c r="C57" s="267" t="s">
        <v>105</v>
      </c>
      <c r="D57" s="347" t="s">
        <v>662</v>
      </c>
      <c r="E57" s="256" t="s">
        <v>667</v>
      </c>
      <c r="F57" s="324">
        <f>'20'!I32</f>
        <v>0</v>
      </c>
      <c r="G57" s="324">
        <f>'20'!J32</f>
        <v>0</v>
      </c>
      <c r="H57" s="324">
        <f>'20'!K32</f>
        <v>280000</v>
      </c>
      <c r="I57" s="324">
        <f>'20'!L32</f>
        <v>0</v>
      </c>
      <c r="J57" s="324">
        <f>'20'!M32</f>
        <v>0</v>
      </c>
      <c r="K57" s="417">
        <f>'20'!N32</f>
        <v>0</v>
      </c>
      <c r="L57" s="702"/>
      <c r="M57" s="709">
        <f t="shared" si="2"/>
        <v>0</v>
      </c>
    </row>
    <row r="58" spans="2:13" s="304" customFormat="1" ht="15" customHeight="1">
      <c r="B58" s="310"/>
      <c r="C58" s="267" t="s">
        <v>105</v>
      </c>
      <c r="D58" s="347" t="s">
        <v>663</v>
      </c>
      <c r="E58" s="256" t="s">
        <v>579</v>
      </c>
      <c r="F58" s="324">
        <f>'20'!I33</f>
        <v>0</v>
      </c>
      <c r="G58" s="324">
        <f>'20'!J33</f>
        <v>0</v>
      </c>
      <c r="H58" s="324">
        <f>'20'!K33</f>
        <v>70000</v>
      </c>
      <c r="I58" s="324">
        <f>'20'!L33</f>
        <v>0</v>
      </c>
      <c r="J58" s="324">
        <f>'20'!M33</f>
        <v>0</v>
      </c>
      <c r="K58" s="417">
        <f>'20'!N33</f>
        <v>0</v>
      </c>
      <c r="L58" s="702"/>
      <c r="M58" s="709">
        <f t="shared" si="2"/>
        <v>0</v>
      </c>
    </row>
    <row r="59" spans="2:13" s="1" customFormat="1" ht="15" customHeight="1">
      <c r="B59" s="12"/>
      <c r="C59" s="267" t="s">
        <v>105</v>
      </c>
      <c r="D59" s="347" t="s">
        <v>567</v>
      </c>
      <c r="E59" s="256" t="s">
        <v>478</v>
      </c>
      <c r="F59" s="251">
        <f>'20'!I34</f>
        <v>228800</v>
      </c>
      <c r="G59" s="251">
        <f>'20'!J34</f>
        <v>228800</v>
      </c>
      <c r="H59" s="251">
        <f>'20'!K34</f>
        <v>344897</v>
      </c>
      <c r="I59" s="324">
        <f>'20'!L34</f>
        <v>223767</v>
      </c>
      <c r="J59" s="324">
        <f>'20'!M34</f>
        <v>0</v>
      </c>
      <c r="K59" s="417">
        <f>'20'!N34</f>
        <v>223767</v>
      </c>
      <c r="L59" s="702">
        <f t="shared" si="3"/>
        <v>97.80026223776224</v>
      </c>
      <c r="M59" s="709">
        <f t="shared" si="2"/>
        <v>64.87936978286271</v>
      </c>
    </row>
    <row r="60" spans="2:13" s="55" customFormat="1" ht="15" customHeight="1">
      <c r="B60" s="271"/>
      <c r="C60" s="273" t="s">
        <v>103</v>
      </c>
      <c r="D60" s="348"/>
      <c r="E60" s="274" t="s">
        <v>499</v>
      </c>
      <c r="F60" s="98">
        <f>SUM(F61:F69)</f>
        <v>4970000</v>
      </c>
      <c r="G60" s="98">
        <f t="shared" ref="G60:K60" si="19">SUM(G61:G69)</f>
        <v>4880000</v>
      </c>
      <c r="H60" s="98">
        <f t="shared" si="19"/>
        <v>4991306</v>
      </c>
      <c r="I60" s="300">
        <f t="shared" si="19"/>
        <v>4495467</v>
      </c>
      <c r="J60" s="300">
        <f t="shared" si="19"/>
        <v>304187</v>
      </c>
      <c r="K60" s="406">
        <f t="shared" si="19"/>
        <v>4799654</v>
      </c>
      <c r="L60" s="700">
        <f t="shared" si="3"/>
        <v>98.353565573770496</v>
      </c>
      <c r="M60" s="707">
        <f t="shared" si="2"/>
        <v>96.160283500951451</v>
      </c>
    </row>
    <row r="61" spans="2:13" s="1" customFormat="1" ht="15" customHeight="1">
      <c r="B61" s="12"/>
      <c r="C61" s="267" t="s">
        <v>103</v>
      </c>
      <c r="D61" s="347" t="s">
        <v>539</v>
      </c>
      <c r="E61" s="257" t="s">
        <v>479</v>
      </c>
      <c r="F61" s="251">
        <f>'3'!I36</f>
        <v>150000</v>
      </c>
      <c r="G61" s="251">
        <f>'3'!J36</f>
        <v>150000</v>
      </c>
      <c r="H61" s="251">
        <f>'3'!K36</f>
        <v>185400</v>
      </c>
      <c r="I61" s="324">
        <f>'3'!L36</f>
        <v>149800</v>
      </c>
      <c r="J61" s="324">
        <f>'3'!M36</f>
        <v>0</v>
      </c>
      <c r="K61" s="417">
        <f>'3'!N36</f>
        <v>149800</v>
      </c>
      <c r="L61" s="702">
        <f t="shared" si="3"/>
        <v>99.866666666666674</v>
      </c>
      <c r="M61" s="709">
        <f t="shared" si="2"/>
        <v>80.798274002157498</v>
      </c>
    </row>
    <row r="62" spans="2:13" s="1" customFormat="1" ht="15" customHeight="1">
      <c r="B62" s="12"/>
      <c r="C62" s="266">
        <v>614200</v>
      </c>
      <c r="D62" s="347" t="s">
        <v>547</v>
      </c>
      <c r="E62" s="253" t="s">
        <v>480</v>
      </c>
      <c r="F62" s="249">
        <f>'4 (S)'!I29</f>
        <v>0</v>
      </c>
      <c r="G62" s="249">
        <f>'4 (S)'!J29</f>
        <v>0</v>
      </c>
      <c r="H62" s="249">
        <f>'4 (S)'!K29</f>
        <v>20000</v>
      </c>
      <c r="I62" s="323">
        <f>'4 (S)'!L29</f>
        <v>0</v>
      </c>
      <c r="J62" s="323">
        <f>'4 (S)'!M29</f>
        <v>0</v>
      </c>
      <c r="K62" s="417">
        <f>'4 (S)'!N29</f>
        <v>0</v>
      </c>
      <c r="L62" s="702" t="str">
        <f t="shared" si="3"/>
        <v/>
      </c>
      <c r="M62" s="709">
        <f t="shared" si="2"/>
        <v>0</v>
      </c>
    </row>
    <row r="63" spans="2:13" s="304" customFormat="1" ht="27" customHeight="1">
      <c r="B63" s="310"/>
      <c r="C63" s="266">
        <v>614200</v>
      </c>
      <c r="D63" s="347" t="s">
        <v>695</v>
      </c>
      <c r="E63" s="255" t="s">
        <v>806</v>
      </c>
      <c r="F63" s="323">
        <f>'4 (N)'!I29</f>
        <v>50000</v>
      </c>
      <c r="G63" s="323">
        <f>'4 (N)'!J29</f>
        <v>0</v>
      </c>
      <c r="H63" s="323">
        <f>'4 (N)'!K29</f>
        <v>0</v>
      </c>
      <c r="I63" s="323">
        <f>'4 (N)'!L29</f>
        <v>0</v>
      </c>
      <c r="J63" s="323">
        <f>'4 (N)'!M29</f>
        <v>0</v>
      </c>
      <c r="K63" s="417">
        <f>'4 (N)'!N29</f>
        <v>0</v>
      </c>
      <c r="L63" s="702" t="str">
        <f t="shared" ref="L63:L65" si="20">IF(G63=0,"",K63/G63*100)</f>
        <v/>
      </c>
      <c r="M63" s="709" t="str">
        <f t="shared" si="2"/>
        <v/>
      </c>
    </row>
    <row r="64" spans="2:13" s="304" customFormat="1" ht="15" customHeight="1">
      <c r="B64" s="310"/>
      <c r="C64" s="266" t="s">
        <v>103</v>
      </c>
      <c r="D64" s="347" t="s">
        <v>664</v>
      </c>
      <c r="E64" s="322" t="s">
        <v>577</v>
      </c>
      <c r="F64" s="323">
        <f>'17'!I30</f>
        <v>60000</v>
      </c>
      <c r="G64" s="323">
        <f>'17'!J30</f>
        <v>60000</v>
      </c>
      <c r="H64" s="323">
        <f>'17'!K30</f>
        <v>60000</v>
      </c>
      <c r="I64" s="323">
        <f>'17'!L30</f>
        <v>60000</v>
      </c>
      <c r="J64" s="323">
        <f>'17'!M30</f>
        <v>0</v>
      </c>
      <c r="K64" s="417">
        <f>'17'!N30</f>
        <v>60000</v>
      </c>
      <c r="L64" s="702">
        <f t="shared" si="20"/>
        <v>100</v>
      </c>
      <c r="M64" s="709">
        <f t="shared" si="2"/>
        <v>100</v>
      </c>
    </row>
    <row r="65" spans="2:13" s="304" customFormat="1" ht="15" customHeight="1">
      <c r="B65" s="310"/>
      <c r="C65" s="266" t="s">
        <v>103</v>
      </c>
      <c r="D65" s="347" t="s">
        <v>665</v>
      </c>
      <c r="E65" s="322" t="s">
        <v>578</v>
      </c>
      <c r="F65" s="323">
        <f>'17'!I31</f>
        <v>3345000</v>
      </c>
      <c r="G65" s="323">
        <f>'17'!J31</f>
        <v>3305000</v>
      </c>
      <c r="H65" s="323">
        <f>'17'!K31</f>
        <v>3445027</v>
      </c>
      <c r="I65" s="323">
        <f>'17'!L31</f>
        <v>3059265</v>
      </c>
      <c r="J65" s="323">
        <f>'17'!M31</f>
        <v>242319</v>
      </c>
      <c r="K65" s="417">
        <f>'17'!N31</f>
        <v>3301584</v>
      </c>
      <c r="L65" s="702">
        <f t="shared" si="20"/>
        <v>99.896641452344937</v>
      </c>
      <c r="M65" s="709">
        <f t="shared" si="2"/>
        <v>95.836230020838727</v>
      </c>
    </row>
    <row r="66" spans="2:13" s="1" customFormat="1" ht="15" customHeight="1">
      <c r="B66" s="12"/>
      <c r="C66" s="266" t="s">
        <v>103</v>
      </c>
      <c r="D66" s="345" t="s">
        <v>568</v>
      </c>
      <c r="E66" s="253" t="s">
        <v>481</v>
      </c>
      <c r="F66" s="249">
        <f>'20'!I35</f>
        <v>150000</v>
      </c>
      <c r="G66" s="249">
        <f>'20'!J35</f>
        <v>150000</v>
      </c>
      <c r="H66" s="249">
        <f>'20'!K35</f>
        <v>143700</v>
      </c>
      <c r="I66" s="323">
        <f>'20'!L35</f>
        <v>148800</v>
      </c>
      <c r="J66" s="323">
        <f>'20'!M35</f>
        <v>0</v>
      </c>
      <c r="K66" s="417">
        <f>'20'!N35</f>
        <v>148800</v>
      </c>
      <c r="L66" s="702">
        <f t="shared" si="3"/>
        <v>99.2</v>
      </c>
      <c r="M66" s="709">
        <f t="shared" si="2"/>
        <v>103.54906054279749</v>
      </c>
    </row>
    <row r="67" spans="2:13" s="1" customFormat="1" ht="24.75" customHeight="1">
      <c r="B67" s="12"/>
      <c r="C67" s="266" t="s">
        <v>103</v>
      </c>
      <c r="D67" s="345" t="s">
        <v>569</v>
      </c>
      <c r="E67" s="258" t="s">
        <v>482</v>
      </c>
      <c r="F67" s="249">
        <f>'20'!I36</f>
        <v>15000</v>
      </c>
      <c r="G67" s="249">
        <f>'20'!J36</f>
        <v>15000</v>
      </c>
      <c r="H67" s="249">
        <f>'20'!K36</f>
        <v>15000</v>
      </c>
      <c r="I67" s="323">
        <f>'20'!L36</f>
        <v>15000</v>
      </c>
      <c r="J67" s="323">
        <f>'20'!M36</f>
        <v>0</v>
      </c>
      <c r="K67" s="417">
        <f>'20'!N36</f>
        <v>15000</v>
      </c>
      <c r="L67" s="702">
        <f t="shared" si="3"/>
        <v>100</v>
      </c>
      <c r="M67" s="709">
        <f t="shared" si="2"/>
        <v>100</v>
      </c>
    </row>
    <row r="68" spans="2:13" s="1" customFormat="1" ht="15" customHeight="1">
      <c r="B68" s="12"/>
      <c r="C68" s="266">
        <v>614200</v>
      </c>
      <c r="D68" s="345" t="s">
        <v>572</v>
      </c>
      <c r="E68" s="253" t="s">
        <v>483</v>
      </c>
      <c r="F68" s="249">
        <f>'31'!I29</f>
        <v>1100000</v>
      </c>
      <c r="G68" s="249">
        <f>'31'!J28</f>
        <v>1100000</v>
      </c>
      <c r="H68" s="249">
        <f>'31'!K28</f>
        <v>1099835</v>
      </c>
      <c r="I68" s="323">
        <f>'31'!L28</f>
        <v>1062602</v>
      </c>
      <c r="J68" s="323">
        <f>'31'!M28</f>
        <v>0</v>
      </c>
      <c r="K68" s="417">
        <f>'31'!N28</f>
        <v>1062602</v>
      </c>
      <c r="L68" s="702">
        <f t="shared" si="3"/>
        <v>96.600181818181824</v>
      </c>
      <c r="M68" s="709">
        <f t="shared" si="2"/>
        <v>96.614674019284706</v>
      </c>
    </row>
    <row r="69" spans="2:13" s="1" customFormat="1" ht="15" customHeight="1">
      <c r="B69" s="12"/>
      <c r="C69" s="266" t="s">
        <v>103</v>
      </c>
      <c r="D69" s="345" t="s">
        <v>573</v>
      </c>
      <c r="E69" s="248" t="s">
        <v>484</v>
      </c>
      <c r="F69" s="249">
        <f>'33'!I29</f>
        <v>100000</v>
      </c>
      <c r="G69" s="249">
        <f>'33'!J29</f>
        <v>100000</v>
      </c>
      <c r="H69" s="249">
        <f>'33'!K29</f>
        <v>22344</v>
      </c>
      <c r="I69" s="323">
        <f>'33'!L29</f>
        <v>0</v>
      </c>
      <c r="J69" s="323">
        <f>'33'!M29</f>
        <v>61868</v>
      </c>
      <c r="K69" s="417">
        <f>'33'!N29</f>
        <v>61868</v>
      </c>
      <c r="L69" s="702">
        <f t="shared" si="3"/>
        <v>61.868000000000002</v>
      </c>
      <c r="M69" s="709">
        <f t="shared" si="2"/>
        <v>276.88865019692088</v>
      </c>
    </row>
    <row r="70" spans="2:13" s="55" customFormat="1" ht="15" customHeight="1">
      <c r="B70" s="271"/>
      <c r="C70" s="275" t="s">
        <v>104</v>
      </c>
      <c r="D70" s="349"/>
      <c r="E70" s="259" t="s">
        <v>500</v>
      </c>
      <c r="F70" s="276">
        <f>SUM(F71:F83)</f>
        <v>1007000</v>
      </c>
      <c r="G70" s="299">
        <f t="shared" ref="G70:K70" si="21">SUM(G71:G83)</f>
        <v>1007000</v>
      </c>
      <c r="H70" s="299">
        <f t="shared" si="21"/>
        <v>665000</v>
      </c>
      <c r="I70" s="299">
        <f t="shared" si="21"/>
        <v>1006120</v>
      </c>
      <c r="J70" s="299">
        <f t="shared" si="21"/>
        <v>0</v>
      </c>
      <c r="K70" s="406">
        <f t="shared" si="21"/>
        <v>1006120</v>
      </c>
      <c r="L70" s="700">
        <f t="shared" si="3"/>
        <v>99.912611717974173</v>
      </c>
      <c r="M70" s="707">
        <f t="shared" si="2"/>
        <v>151.29624060150374</v>
      </c>
    </row>
    <row r="71" spans="2:13" s="1" customFormat="1" ht="15" customHeight="1">
      <c r="B71" s="12"/>
      <c r="C71" s="266" t="s">
        <v>104</v>
      </c>
      <c r="D71" s="345" t="s">
        <v>920</v>
      </c>
      <c r="E71" s="253" t="s">
        <v>485</v>
      </c>
      <c r="F71" s="249">
        <f>'3'!I44</f>
        <v>130000</v>
      </c>
      <c r="G71" s="249">
        <f>'3'!J44</f>
        <v>130000</v>
      </c>
      <c r="H71" s="249">
        <f>'3'!K44</f>
        <v>160000</v>
      </c>
      <c r="I71" s="323">
        <f>'3'!L44</f>
        <v>130000</v>
      </c>
      <c r="J71" s="323">
        <f>'3'!M44</f>
        <v>0</v>
      </c>
      <c r="K71" s="417">
        <f>'3'!N44</f>
        <v>130000</v>
      </c>
      <c r="L71" s="702">
        <f t="shared" si="3"/>
        <v>100</v>
      </c>
      <c r="M71" s="709">
        <f t="shared" si="2"/>
        <v>81.25</v>
      </c>
    </row>
    <row r="72" spans="2:13" s="1" customFormat="1" ht="15" customHeight="1">
      <c r="B72" s="12"/>
      <c r="C72" s="266" t="s">
        <v>104</v>
      </c>
      <c r="D72" s="345" t="s">
        <v>540</v>
      </c>
      <c r="E72" s="250" t="s">
        <v>486</v>
      </c>
      <c r="F72" s="249">
        <f>'3'!I37</f>
        <v>50000</v>
      </c>
      <c r="G72" s="249">
        <f>'3'!J37</f>
        <v>50000</v>
      </c>
      <c r="H72" s="249">
        <f>'3'!K37</f>
        <v>70000</v>
      </c>
      <c r="I72" s="323">
        <f>'3'!L37</f>
        <v>50000</v>
      </c>
      <c r="J72" s="323">
        <f>'3'!M37</f>
        <v>0</v>
      </c>
      <c r="K72" s="417">
        <f>'3'!N37</f>
        <v>50000</v>
      </c>
      <c r="L72" s="702">
        <f t="shared" si="3"/>
        <v>100</v>
      </c>
      <c r="M72" s="709">
        <f t="shared" si="2"/>
        <v>71.428571428571431</v>
      </c>
    </row>
    <row r="73" spans="2:13" ht="15" customHeight="1">
      <c r="B73" s="10"/>
      <c r="C73" s="266" t="s">
        <v>104</v>
      </c>
      <c r="D73" s="345" t="s">
        <v>541</v>
      </c>
      <c r="E73" s="250" t="s">
        <v>487</v>
      </c>
      <c r="F73" s="251">
        <f>'3'!I38</f>
        <v>35000</v>
      </c>
      <c r="G73" s="251">
        <f>'3'!J38</f>
        <v>35000</v>
      </c>
      <c r="H73" s="251">
        <f>'3'!K38</f>
        <v>35000</v>
      </c>
      <c r="I73" s="324">
        <f>'3'!L38</f>
        <v>35000</v>
      </c>
      <c r="J73" s="324">
        <f>'3'!M38</f>
        <v>0</v>
      </c>
      <c r="K73" s="417">
        <f>'3'!N38</f>
        <v>35000</v>
      </c>
      <c r="L73" s="702">
        <f t="shared" si="3"/>
        <v>100</v>
      </c>
      <c r="M73" s="709">
        <f t="shared" si="2"/>
        <v>100</v>
      </c>
    </row>
    <row r="74" spans="2:13" s="1" customFormat="1" ht="15" customHeight="1">
      <c r="B74" s="12"/>
      <c r="C74" s="267" t="s">
        <v>104</v>
      </c>
      <c r="D74" s="347" t="s">
        <v>542</v>
      </c>
      <c r="E74" s="250" t="s">
        <v>488</v>
      </c>
      <c r="F74" s="251">
        <f>'3'!I39</f>
        <v>45000</v>
      </c>
      <c r="G74" s="251">
        <f>'3'!J39</f>
        <v>45000</v>
      </c>
      <c r="H74" s="251">
        <f>'3'!K39</f>
        <v>40000</v>
      </c>
      <c r="I74" s="324">
        <f>'3'!L39</f>
        <v>45000</v>
      </c>
      <c r="J74" s="324">
        <f>'3'!M39</f>
        <v>0</v>
      </c>
      <c r="K74" s="417">
        <f>'3'!N39</f>
        <v>45000</v>
      </c>
      <c r="L74" s="702">
        <f t="shared" si="3"/>
        <v>100</v>
      </c>
      <c r="M74" s="709">
        <f t="shared" ref="M74:M122" si="22">IF(H74=0,"",K74/H74*100)</f>
        <v>112.5</v>
      </c>
    </row>
    <row r="75" spans="2:13" s="1" customFormat="1" ht="25.5" customHeight="1">
      <c r="B75" s="22"/>
      <c r="C75" s="267" t="s">
        <v>104</v>
      </c>
      <c r="D75" s="347" t="s">
        <v>543</v>
      </c>
      <c r="E75" s="257" t="s">
        <v>523</v>
      </c>
      <c r="F75" s="251">
        <f>'3'!I40</f>
        <v>45000</v>
      </c>
      <c r="G75" s="251">
        <f>'3'!J40</f>
        <v>45000</v>
      </c>
      <c r="H75" s="251">
        <f>'3'!K40</f>
        <v>40000</v>
      </c>
      <c r="I75" s="324">
        <f>'3'!L40</f>
        <v>45000</v>
      </c>
      <c r="J75" s="324">
        <f>'3'!M40</f>
        <v>0</v>
      </c>
      <c r="K75" s="417">
        <f>'3'!N40</f>
        <v>45000</v>
      </c>
      <c r="L75" s="702">
        <f t="shared" si="3"/>
        <v>100</v>
      </c>
      <c r="M75" s="709">
        <f t="shared" si="22"/>
        <v>112.5</v>
      </c>
    </row>
    <row r="76" spans="2:13" s="1" customFormat="1" ht="26.25" customHeight="1">
      <c r="B76" s="22"/>
      <c r="C76" s="267" t="s">
        <v>104</v>
      </c>
      <c r="D76" s="347" t="s">
        <v>544</v>
      </c>
      <c r="E76" s="257" t="s">
        <v>489</v>
      </c>
      <c r="F76" s="251">
        <f>'3'!I41</f>
        <v>17000</v>
      </c>
      <c r="G76" s="251">
        <f>'3'!J41</f>
        <v>17000</v>
      </c>
      <c r="H76" s="251">
        <f>'3'!K41</f>
        <v>15000</v>
      </c>
      <c r="I76" s="324">
        <f>'3'!L41</f>
        <v>17000</v>
      </c>
      <c r="J76" s="324">
        <f>'3'!M41</f>
        <v>0</v>
      </c>
      <c r="K76" s="417">
        <f>'3'!N41</f>
        <v>17000</v>
      </c>
      <c r="L76" s="702">
        <f t="shared" si="3"/>
        <v>100</v>
      </c>
      <c r="M76" s="709">
        <f t="shared" si="22"/>
        <v>113.33333333333333</v>
      </c>
    </row>
    <row r="77" spans="2:13" s="1" customFormat="1" ht="15" customHeight="1">
      <c r="B77" s="22"/>
      <c r="C77" s="267" t="s">
        <v>104</v>
      </c>
      <c r="D77" s="347" t="s">
        <v>545</v>
      </c>
      <c r="E77" s="250" t="s">
        <v>490</v>
      </c>
      <c r="F77" s="251">
        <f>'3'!I42</f>
        <v>30000</v>
      </c>
      <c r="G77" s="251">
        <f>'3'!J42</f>
        <v>30000</v>
      </c>
      <c r="H77" s="251">
        <f>'3'!K42</f>
        <v>30000</v>
      </c>
      <c r="I77" s="324">
        <f>'3'!L42</f>
        <v>30000</v>
      </c>
      <c r="J77" s="324">
        <f>'3'!M42</f>
        <v>0</v>
      </c>
      <c r="K77" s="417">
        <f>'3'!N42</f>
        <v>30000</v>
      </c>
      <c r="L77" s="702">
        <f t="shared" si="3"/>
        <v>100</v>
      </c>
      <c r="M77" s="709">
        <f t="shared" si="22"/>
        <v>100</v>
      </c>
    </row>
    <row r="78" spans="2:13" s="1" customFormat="1" ht="15" customHeight="1">
      <c r="B78" s="22"/>
      <c r="C78" s="267" t="s">
        <v>104</v>
      </c>
      <c r="D78" s="347" t="s">
        <v>546</v>
      </c>
      <c r="E78" s="250" t="s">
        <v>521</v>
      </c>
      <c r="F78" s="251">
        <f>'3'!I43</f>
        <v>15000</v>
      </c>
      <c r="G78" s="251">
        <f>'3'!J43</f>
        <v>15000</v>
      </c>
      <c r="H78" s="251">
        <f>'3'!K43</f>
        <v>15000</v>
      </c>
      <c r="I78" s="324">
        <f>'3'!L43</f>
        <v>15000</v>
      </c>
      <c r="J78" s="324">
        <f>'3'!M43</f>
        <v>0</v>
      </c>
      <c r="K78" s="417">
        <f>'3'!N43</f>
        <v>15000</v>
      </c>
      <c r="L78" s="702">
        <f t="shared" ref="L78" si="23">IF(G78=0,"",K78/G78*100)</f>
        <v>100</v>
      </c>
      <c r="M78" s="709">
        <f t="shared" si="22"/>
        <v>100</v>
      </c>
    </row>
    <row r="79" spans="2:13" ht="15" customHeight="1" thickBot="1">
      <c r="B79" s="16"/>
      <c r="C79" s="267" t="s">
        <v>104</v>
      </c>
      <c r="D79" s="347" t="s">
        <v>570</v>
      </c>
      <c r="E79" s="256" t="s">
        <v>491</v>
      </c>
      <c r="F79" s="251">
        <f>'20'!I37</f>
        <v>100000</v>
      </c>
      <c r="G79" s="251">
        <f>'20'!J37</f>
        <v>100000</v>
      </c>
      <c r="H79" s="251">
        <f>'20'!K37</f>
        <v>40000</v>
      </c>
      <c r="I79" s="324">
        <f>'20'!L37</f>
        <v>100000</v>
      </c>
      <c r="J79" s="324">
        <f>'20'!M37</f>
        <v>0</v>
      </c>
      <c r="K79" s="417">
        <f>'20'!N37</f>
        <v>100000</v>
      </c>
      <c r="L79" s="702">
        <f t="shared" ref="L79:L122" si="24">IF(G79=0,"",K79/G79*100)</f>
        <v>100</v>
      </c>
      <c r="M79" s="709">
        <f t="shared" si="22"/>
        <v>250</v>
      </c>
    </row>
    <row r="80" spans="2:13" ht="15" customHeight="1">
      <c r="C80" s="267" t="s">
        <v>104</v>
      </c>
      <c r="D80" s="347" t="s">
        <v>571</v>
      </c>
      <c r="E80" s="256" t="s">
        <v>492</v>
      </c>
      <c r="F80" s="251">
        <f>'20'!I38</f>
        <v>220000</v>
      </c>
      <c r="G80" s="251">
        <f>'20'!J38</f>
        <v>220000</v>
      </c>
      <c r="H80" s="251">
        <f>'20'!K38</f>
        <v>220000</v>
      </c>
      <c r="I80" s="324">
        <f>'20'!L38</f>
        <v>219820</v>
      </c>
      <c r="J80" s="324">
        <f>'20'!M38</f>
        <v>0</v>
      </c>
      <c r="K80" s="417">
        <f>'20'!N38</f>
        <v>219820</v>
      </c>
      <c r="L80" s="702">
        <f t="shared" si="24"/>
        <v>99.918181818181822</v>
      </c>
      <c r="M80" s="709">
        <f t="shared" si="22"/>
        <v>99.918181818181822</v>
      </c>
    </row>
    <row r="81" spans="3:13" ht="15" customHeight="1">
      <c r="C81" s="267" t="s">
        <v>104</v>
      </c>
      <c r="D81" s="347" t="s">
        <v>574</v>
      </c>
      <c r="E81" s="256" t="s">
        <v>508</v>
      </c>
      <c r="F81" s="251">
        <f>'33'!I30</f>
        <v>0</v>
      </c>
      <c r="G81" s="251">
        <f>'33'!J30</f>
        <v>0</v>
      </c>
      <c r="H81" s="251">
        <f>'33'!K30</f>
        <v>0</v>
      </c>
      <c r="I81" s="324">
        <f>'33'!L30</f>
        <v>0</v>
      </c>
      <c r="J81" s="324">
        <f>'33'!M30</f>
        <v>0</v>
      </c>
      <c r="K81" s="417">
        <f>'33'!N30</f>
        <v>0</v>
      </c>
      <c r="L81" s="702" t="str">
        <f t="shared" si="24"/>
        <v/>
      </c>
      <c r="M81" s="709" t="str">
        <f t="shared" si="22"/>
        <v/>
      </c>
    </row>
    <row r="82" spans="3:13" s="307" customFormat="1" ht="15" customHeight="1">
      <c r="C82" s="267" t="s">
        <v>104</v>
      </c>
      <c r="D82" s="347" t="s">
        <v>685</v>
      </c>
      <c r="E82" s="256" t="s">
        <v>667</v>
      </c>
      <c r="F82" s="324">
        <f>'20'!I39</f>
        <v>240000</v>
      </c>
      <c r="G82" s="324">
        <f>'20'!J39</f>
        <v>240000</v>
      </c>
      <c r="H82" s="324">
        <f>'20'!K39</f>
        <v>0</v>
      </c>
      <c r="I82" s="324">
        <f>'20'!L39</f>
        <v>240000</v>
      </c>
      <c r="J82" s="324">
        <f>'20'!M39</f>
        <v>0</v>
      </c>
      <c r="K82" s="417">
        <f>'20'!N39</f>
        <v>240000</v>
      </c>
      <c r="L82" s="702">
        <f t="shared" si="24"/>
        <v>100</v>
      </c>
      <c r="M82" s="709" t="str">
        <f t="shared" si="22"/>
        <v/>
      </c>
    </row>
    <row r="83" spans="3:13" s="307" customFormat="1" ht="15" customHeight="1">
      <c r="C83" s="267" t="s">
        <v>104</v>
      </c>
      <c r="D83" s="347" t="s">
        <v>686</v>
      </c>
      <c r="E83" s="256" t="s">
        <v>579</v>
      </c>
      <c r="F83" s="324">
        <f>'20'!I40</f>
        <v>80000</v>
      </c>
      <c r="G83" s="324">
        <f>'20'!J40</f>
        <v>80000</v>
      </c>
      <c r="H83" s="324">
        <f>'20'!K40</f>
        <v>0</v>
      </c>
      <c r="I83" s="324">
        <f>'20'!L40</f>
        <v>79300</v>
      </c>
      <c r="J83" s="324">
        <f>'20'!M40</f>
        <v>0</v>
      </c>
      <c r="K83" s="417">
        <f>'20'!N40</f>
        <v>79300</v>
      </c>
      <c r="L83" s="702">
        <f t="shared" si="24"/>
        <v>99.125</v>
      </c>
      <c r="M83" s="709" t="str">
        <f t="shared" si="22"/>
        <v/>
      </c>
    </row>
    <row r="84" spans="3:13" s="55" customFormat="1" ht="15" customHeight="1">
      <c r="C84" s="273" t="s">
        <v>177</v>
      </c>
      <c r="D84" s="348"/>
      <c r="E84" s="260" t="s">
        <v>501</v>
      </c>
      <c r="F84" s="98">
        <f>SUM(F85:F88)</f>
        <v>3090000</v>
      </c>
      <c r="G84" s="98">
        <f t="shared" ref="G84:K84" si="25">SUM(G85:G88)</f>
        <v>3090000</v>
      </c>
      <c r="H84" s="98">
        <f t="shared" si="25"/>
        <v>2863515</v>
      </c>
      <c r="I84" s="300">
        <f t="shared" si="25"/>
        <v>2121263</v>
      </c>
      <c r="J84" s="300">
        <f t="shared" si="25"/>
        <v>954377</v>
      </c>
      <c r="K84" s="406">
        <f t="shared" si="25"/>
        <v>3075640</v>
      </c>
      <c r="L84" s="700">
        <f t="shared" si="24"/>
        <v>99.535275080906146</v>
      </c>
      <c r="M84" s="707">
        <f t="shared" si="22"/>
        <v>107.40785363443182</v>
      </c>
    </row>
    <row r="85" spans="3:13" ht="15" customHeight="1">
      <c r="C85" s="267" t="s">
        <v>177</v>
      </c>
      <c r="D85" s="347" t="s">
        <v>549</v>
      </c>
      <c r="E85" s="256" t="s">
        <v>526</v>
      </c>
      <c r="F85" s="251">
        <f>'15'!I31</f>
        <v>1670000</v>
      </c>
      <c r="G85" s="251">
        <f>'15'!J31</f>
        <v>1670000</v>
      </c>
      <c r="H85" s="251">
        <f>'15'!K31</f>
        <v>1148185</v>
      </c>
      <c r="I85" s="324">
        <f>'15'!L31</f>
        <v>1002625</v>
      </c>
      <c r="J85" s="324">
        <f>'15'!M31</f>
        <v>654823</v>
      </c>
      <c r="K85" s="417">
        <f>'15'!N31</f>
        <v>1657448</v>
      </c>
      <c r="L85" s="702">
        <f t="shared" si="24"/>
        <v>99.248383233532934</v>
      </c>
      <c r="M85" s="709">
        <f t="shared" si="22"/>
        <v>144.35374090412259</v>
      </c>
    </row>
    <row r="86" spans="3:13" ht="15" customHeight="1">
      <c r="C86" s="266" t="s">
        <v>177</v>
      </c>
      <c r="D86" s="345" t="s">
        <v>560</v>
      </c>
      <c r="E86" s="253" t="s">
        <v>493</v>
      </c>
      <c r="F86" s="249">
        <f>'19'!I30</f>
        <v>1120000</v>
      </c>
      <c r="G86" s="249">
        <f>'19'!J30</f>
        <v>1120000</v>
      </c>
      <c r="H86" s="249">
        <f>'19'!K30</f>
        <v>1099800</v>
      </c>
      <c r="I86" s="323">
        <f>'19'!L30</f>
        <v>1118638</v>
      </c>
      <c r="J86" s="323">
        <f>'19'!M30</f>
        <v>0</v>
      </c>
      <c r="K86" s="417">
        <f>'19'!N30</f>
        <v>1118638</v>
      </c>
      <c r="L86" s="702">
        <f t="shared" si="24"/>
        <v>99.878392857142856</v>
      </c>
      <c r="M86" s="709">
        <f t="shared" si="22"/>
        <v>101.71285688306966</v>
      </c>
    </row>
    <row r="87" spans="3:13" ht="15" customHeight="1">
      <c r="C87" s="266" t="s">
        <v>177</v>
      </c>
      <c r="D87" s="345" t="s">
        <v>562</v>
      </c>
      <c r="E87" s="253" t="s">
        <v>494</v>
      </c>
      <c r="F87" s="249">
        <f>'19'!I31</f>
        <v>150000</v>
      </c>
      <c r="G87" s="249">
        <f>'19'!J31</f>
        <v>150000</v>
      </c>
      <c r="H87" s="249">
        <f>'19'!K31</f>
        <v>397482</v>
      </c>
      <c r="I87" s="323">
        <f>'19'!L31</f>
        <v>0</v>
      </c>
      <c r="J87" s="323">
        <f>'19'!M31</f>
        <v>149554</v>
      </c>
      <c r="K87" s="417">
        <f>'19'!N31</f>
        <v>149554</v>
      </c>
      <c r="L87" s="702">
        <f t="shared" si="24"/>
        <v>99.702666666666659</v>
      </c>
      <c r="M87" s="709">
        <f t="shared" si="22"/>
        <v>37.625351588248023</v>
      </c>
    </row>
    <row r="88" spans="3:13" ht="15" customHeight="1">
      <c r="C88" s="266" t="s">
        <v>177</v>
      </c>
      <c r="D88" s="345" t="s">
        <v>563</v>
      </c>
      <c r="E88" s="253" t="s">
        <v>495</v>
      </c>
      <c r="F88" s="249">
        <f>'19'!I32</f>
        <v>150000</v>
      </c>
      <c r="G88" s="249">
        <f>'19'!J32</f>
        <v>150000</v>
      </c>
      <c r="H88" s="249">
        <f>'19'!K32</f>
        <v>218048</v>
      </c>
      <c r="I88" s="323">
        <f>'19'!L32</f>
        <v>0</v>
      </c>
      <c r="J88" s="323">
        <f>'19'!M32</f>
        <v>150000</v>
      </c>
      <c r="K88" s="417">
        <f>'19'!N32</f>
        <v>150000</v>
      </c>
      <c r="L88" s="702">
        <f t="shared" si="24"/>
        <v>100</v>
      </c>
      <c r="M88" s="709">
        <f t="shared" si="22"/>
        <v>68.792192544760795</v>
      </c>
    </row>
    <row r="89" spans="3:13" s="55" customFormat="1" ht="15" customHeight="1">
      <c r="C89" s="275">
        <v>614800</v>
      </c>
      <c r="D89" s="349"/>
      <c r="E89" s="259" t="s">
        <v>502</v>
      </c>
      <c r="F89" s="276">
        <f>SUM(F90:F91)</f>
        <v>139000</v>
      </c>
      <c r="G89" s="276">
        <f t="shared" ref="G89:K89" si="26">SUM(G90:G91)</f>
        <v>139000</v>
      </c>
      <c r="H89" s="276">
        <f t="shared" si="26"/>
        <v>106894</v>
      </c>
      <c r="I89" s="299">
        <f t="shared" si="26"/>
        <v>134554</v>
      </c>
      <c r="J89" s="299">
        <f t="shared" si="26"/>
        <v>0</v>
      </c>
      <c r="K89" s="406">
        <f t="shared" si="26"/>
        <v>134554</v>
      </c>
      <c r="L89" s="700">
        <f t="shared" si="24"/>
        <v>96.801438848920867</v>
      </c>
      <c r="M89" s="707">
        <f t="shared" si="22"/>
        <v>125.87610155855333</v>
      </c>
    </row>
    <row r="90" spans="3:13" ht="15" customHeight="1">
      <c r="C90" s="266">
        <v>614800</v>
      </c>
      <c r="D90" s="345" t="s">
        <v>552</v>
      </c>
      <c r="E90" s="253" t="s">
        <v>496</v>
      </c>
      <c r="F90" s="249">
        <f>'16'!I34</f>
        <v>94000</v>
      </c>
      <c r="G90" s="249">
        <f>'16'!J34</f>
        <v>94000</v>
      </c>
      <c r="H90" s="249">
        <f>'16'!K34</f>
        <v>66603</v>
      </c>
      <c r="I90" s="323">
        <f>'16'!L34</f>
        <v>92156</v>
      </c>
      <c r="J90" s="323">
        <f>'16'!M34</f>
        <v>0</v>
      </c>
      <c r="K90" s="417">
        <f>'16'!N34</f>
        <v>92156</v>
      </c>
      <c r="L90" s="702">
        <f t="shared" si="24"/>
        <v>98.038297872340436</v>
      </c>
      <c r="M90" s="709">
        <f t="shared" si="22"/>
        <v>138.3661396633785</v>
      </c>
    </row>
    <row r="91" spans="3:13" ht="27" customHeight="1">
      <c r="C91" s="266">
        <v>614800</v>
      </c>
      <c r="D91" s="345" t="s">
        <v>553</v>
      </c>
      <c r="E91" s="258" t="s">
        <v>497</v>
      </c>
      <c r="F91" s="249">
        <f>'16'!I35</f>
        <v>45000</v>
      </c>
      <c r="G91" s="249">
        <f>'16'!J35</f>
        <v>45000</v>
      </c>
      <c r="H91" s="249">
        <f>'16'!K35</f>
        <v>40291</v>
      </c>
      <c r="I91" s="323">
        <f>'16'!L35</f>
        <v>42398</v>
      </c>
      <c r="J91" s="323">
        <f>'16'!M35</f>
        <v>0</v>
      </c>
      <c r="K91" s="417">
        <f>'16'!N35</f>
        <v>42398</v>
      </c>
      <c r="L91" s="702">
        <f t="shared" si="24"/>
        <v>94.217777777777783</v>
      </c>
      <c r="M91" s="709">
        <f t="shared" si="22"/>
        <v>105.22945570971186</v>
      </c>
    </row>
    <row r="92" spans="3:13" ht="13.5" customHeight="1">
      <c r="C92" s="268"/>
      <c r="D92" s="340"/>
      <c r="E92" s="8"/>
      <c r="F92" s="15"/>
      <c r="G92" s="15"/>
      <c r="H92" s="15"/>
      <c r="I92" s="311"/>
      <c r="J92" s="311"/>
      <c r="K92" s="407"/>
      <c r="L92" s="700" t="str">
        <f t="shared" si="24"/>
        <v/>
      </c>
      <c r="M92" s="707" t="str">
        <f t="shared" si="22"/>
        <v/>
      </c>
    </row>
    <row r="93" spans="3:13" ht="15" customHeight="1">
      <c r="C93" s="428">
        <v>615000</v>
      </c>
      <c r="D93" s="429"/>
      <c r="E93" s="430" t="s">
        <v>88</v>
      </c>
      <c r="F93" s="427">
        <f>SUM(F94:F97)</f>
        <v>645000</v>
      </c>
      <c r="G93" s="427">
        <f t="shared" ref="G93:K93" si="27">SUM(G94:G97)</f>
        <v>935000</v>
      </c>
      <c r="H93" s="427">
        <f t="shared" si="27"/>
        <v>400000</v>
      </c>
      <c r="I93" s="427">
        <f t="shared" si="27"/>
        <v>854715</v>
      </c>
      <c r="J93" s="427">
        <f t="shared" si="27"/>
        <v>72980</v>
      </c>
      <c r="K93" s="407">
        <f t="shared" si="27"/>
        <v>927695</v>
      </c>
      <c r="L93" s="701">
        <f t="shared" si="24"/>
        <v>99.218716577540107</v>
      </c>
      <c r="M93" s="708">
        <f t="shared" si="22"/>
        <v>231.92374999999998</v>
      </c>
    </row>
    <row r="94" spans="3:13" ht="15" customHeight="1">
      <c r="C94" s="269" t="s">
        <v>179</v>
      </c>
      <c r="D94" s="349"/>
      <c r="E94" s="44" t="s">
        <v>88</v>
      </c>
      <c r="F94" s="31">
        <f>'3'!I47</f>
        <v>147000</v>
      </c>
      <c r="G94" s="314">
        <f>'3'!J47</f>
        <v>437000</v>
      </c>
      <c r="H94" s="314">
        <f>'3'!K47</f>
        <v>400000</v>
      </c>
      <c r="I94" s="314">
        <f>'3'!L47</f>
        <v>437000</v>
      </c>
      <c r="J94" s="314">
        <f>'3'!M47</f>
        <v>0</v>
      </c>
      <c r="K94" s="406">
        <f>'3'!N47</f>
        <v>437000</v>
      </c>
      <c r="L94" s="700">
        <f t="shared" si="24"/>
        <v>100</v>
      </c>
      <c r="M94" s="707">
        <f t="shared" si="22"/>
        <v>109.25</v>
      </c>
    </row>
    <row r="95" spans="3:13" s="307" customFormat="1" ht="15" customHeight="1">
      <c r="C95" s="664" t="s">
        <v>179</v>
      </c>
      <c r="D95" s="348" t="s">
        <v>804</v>
      </c>
      <c r="E95" s="665" t="s">
        <v>750</v>
      </c>
      <c r="F95" s="314">
        <f>'19'!I35</f>
        <v>30000</v>
      </c>
      <c r="G95" s="314">
        <f>'19'!J35</f>
        <v>30000</v>
      </c>
      <c r="H95" s="314">
        <f>'19'!K35</f>
        <v>0</v>
      </c>
      <c r="I95" s="314">
        <f>'19'!L35</f>
        <v>0</v>
      </c>
      <c r="J95" s="314">
        <f>'19'!M35</f>
        <v>30000</v>
      </c>
      <c r="K95" s="406">
        <f>'19'!N35</f>
        <v>30000</v>
      </c>
      <c r="L95" s="700">
        <f t="shared" ref="L95" si="28">IF(G95=0,"",K95/G95*100)</f>
        <v>100</v>
      </c>
      <c r="M95" s="707" t="str">
        <f t="shared" si="22"/>
        <v/>
      </c>
    </row>
    <row r="96" spans="3:13" s="307" customFormat="1" ht="15" customHeight="1">
      <c r="C96" s="664" t="s">
        <v>179</v>
      </c>
      <c r="D96" s="348" t="s">
        <v>805</v>
      </c>
      <c r="E96" s="665" t="s">
        <v>745</v>
      </c>
      <c r="F96" s="314">
        <f>'19'!I36</f>
        <v>50000</v>
      </c>
      <c r="G96" s="314">
        <f>'19'!J36</f>
        <v>50000</v>
      </c>
      <c r="H96" s="314">
        <f>'19'!K36</f>
        <v>0</v>
      </c>
      <c r="I96" s="314">
        <f>'19'!L36</f>
        <v>0</v>
      </c>
      <c r="J96" s="314">
        <f>'19'!M36</f>
        <v>42980</v>
      </c>
      <c r="K96" s="406">
        <f>'19'!N36</f>
        <v>42980</v>
      </c>
      <c r="L96" s="700">
        <f t="shared" si="24"/>
        <v>85.960000000000008</v>
      </c>
      <c r="M96" s="707" t="str">
        <f t="shared" si="22"/>
        <v/>
      </c>
    </row>
    <row r="97" spans="3:13" s="307" customFormat="1" ht="15" customHeight="1">
      <c r="C97" s="664" t="s">
        <v>690</v>
      </c>
      <c r="D97" s="348" t="s">
        <v>689</v>
      </c>
      <c r="E97" s="665" t="s">
        <v>744</v>
      </c>
      <c r="F97" s="314">
        <f>'15'!I34</f>
        <v>418000</v>
      </c>
      <c r="G97" s="314">
        <f>'15'!J34</f>
        <v>418000</v>
      </c>
      <c r="H97" s="314">
        <f>'15'!K34</f>
        <v>0</v>
      </c>
      <c r="I97" s="314">
        <f>'15'!L34</f>
        <v>417715</v>
      </c>
      <c r="J97" s="314">
        <f>'15'!M34</f>
        <v>0</v>
      </c>
      <c r="K97" s="406">
        <f>'15'!N34</f>
        <v>417715</v>
      </c>
      <c r="L97" s="700">
        <f t="shared" ref="L97" si="29">IF(G97=0,"",K97/G97*100)</f>
        <v>99.931818181818173</v>
      </c>
      <c r="M97" s="707" t="str">
        <f t="shared" si="22"/>
        <v/>
      </c>
    </row>
    <row r="98" spans="3:13" ht="12.75" customHeight="1">
      <c r="C98" s="270"/>
      <c r="D98" s="350"/>
      <c r="E98" s="23"/>
      <c r="F98" s="31"/>
      <c r="G98" s="31"/>
      <c r="H98" s="31"/>
      <c r="I98" s="314"/>
      <c r="J98" s="314"/>
      <c r="K98" s="406"/>
      <c r="L98" s="700" t="str">
        <f t="shared" si="24"/>
        <v/>
      </c>
      <c r="M98" s="707" t="str">
        <f t="shared" si="22"/>
        <v/>
      </c>
    </row>
    <row r="99" spans="3:13" ht="15" customHeight="1">
      <c r="C99" s="431" t="s">
        <v>101</v>
      </c>
      <c r="D99" s="432"/>
      <c r="E99" s="430" t="s">
        <v>174</v>
      </c>
      <c r="F99" s="427">
        <f>SUM(F100:F104)</f>
        <v>41720</v>
      </c>
      <c r="G99" s="427">
        <f t="shared" ref="G99:K99" si="30">SUM(G100:G104)</f>
        <v>41720</v>
      </c>
      <c r="H99" s="427">
        <f t="shared" si="30"/>
        <v>51620</v>
      </c>
      <c r="I99" s="427">
        <f t="shared" si="30"/>
        <v>41694</v>
      </c>
      <c r="J99" s="427">
        <f t="shared" si="30"/>
        <v>0</v>
      </c>
      <c r="K99" s="407">
        <f t="shared" si="30"/>
        <v>41694</v>
      </c>
      <c r="L99" s="701">
        <f t="shared" si="24"/>
        <v>99.937679769894544</v>
      </c>
      <c r="M99" s="708">
        <f t="shared" si="22"/>
        <v>80.771018984889579</v>
      </c>
    </row>
    <row r="100" spans="3:13" s="307" customFormat="1" ht="15" customHeight="1">
      <c r="C100" s="262">
        <v>616200</v>
      </c>
      <c r="D100" s="341" t="s">
        <v>554</v>
      </c>
      <c r="E100" s="44" t="s">
        <v>824</v>
      </c>
      <c r="F100" s="314">
        <f>'16'!I38</f>
        <v>18810</v>
      </c>
      <c r="G100" s="314">
        <f>'16'!J38</f>
        <v>18810</v>
      </c>
      <c r="H100" s="314">
        <f>'16'!K38</f>
        <v>0</v>
      </c>
      <c r="I100" s="314">
        <f>'16'!L38</f>
        <v>18801</v>
      </c>
      <c r="J100" s="314">
        <f>'16'!M38</f>
        <v>0</v>
      </c>
      <c r="K100" s="406">
        <f>'16'!N38</f>
        <v>18801</v>
      </c>
      <c r="L100" s="700">
        <f t="shared" ref="L100:L101" si="31">IF(G100=0,"",K100/G100*100)</f>
        <v>99.952153110047846</v>
      </c>
      <c r="M100" s="707" t="str">
        <f t="shared" ref="M100:M101" si="32">IF(H100=0,"",K100/H100*100)</f>
        <v/>
      </c>
    </row>
    <row r="101" spans="3:13" s="307" customFormat="1" ht="15" customHeight="1">
      <c r="C101" s="262">
        <v>616200</v>
      </c>
      <c r="D101" s="341" t="s">
        <v>555</v>
      </c>
      <c r="E101" s="44" t="s">
        <v>825</v>
      </c>
      <c r="F101" s="314">
        <f>'16'!I39</f>
        <v>22910</v>
      </c>
      <c r="G101" s="314">
        <f>'16'!J39</f>
        <v>22910</v>
      </c>
      <c r="H101" s="314">
        <f>'16'!K39</f>
        <v>0</v>
      </c>
      <c r="I101" s="314">
        <f>'16'!L39</f>
        <v>22893</v>
      </c>
      <c r="J101" s="314">
        <f>'16'!M39</f>
        <v>0</v>
      </c>
      <c r="K101" s="406">
        <f>'16'!N39</f>
        <v>22893</v>
      </c>
      <c r="L101" s="700">
        <f t="shared" si="31"/>
        <v>99.9257965953732</v>
      </c>
      <c r="M101" s="707" t="str">
        <f t="shared" si="32"/>
        <v/>
      </c>
    </row>
    <row r="102" spans="3:13" ht="15" customHeight="1">
      <c r="C102" s="262">
        <v>616300</v>
      </c>
      <c r="D102" s="341"/>
      <c r="E102" s="44" t="s">
        <v>167</v>
      </c>
      <c r="F102" s="31">
        <f>'20'!I43</f>
        <v>0</v>
      </c>
      <c r="G102" s="31">
        <f>'20'!J43</f>
        <v>0</v>
      </c>
      <c r="H102" s="31">
        <f>'20'!K43</f>
        <v>2415</v>
      </c>
      <c r="I102" s="314">
        <f>'20'!L43</f>
        <v>0</v>
      </c>
      <c r="J102" s="314">
        <f>'20'!M43</f>
        <v>0</v>
      </c>
      <c r="K102" s="406">
        <f>'20'!N43</f>
        <v>0</v>
      </c>
      <c r="L102" s="700" t="str">
        <f t="shared" si="24"/>
        <v/>
      </c>
      <c r="M102" s="707">
        <f t="shared" si="22"/>
        <v>0</v>
      </c>
    </row>
    <row r="103" spans="3:13" ht="15" customHeight="1">
      <c r="C103" s="262">
        <v>616300</v>
      </c>
      <c r="D103" s="341" t="s">
        <v>554</v>
      </c>
      <c r="E103" s="44" t="s">
        <v>181</v>
      </c>
      <c r="F103" s="31">
        <f>'16'!I40</f>
        <v>0</v>
      </c>
      <c r="G103" s="31">
        <f>'16'!J40</f>
        <v>0</v>
      </c>
      <c r="H103" s="31">
        <f>'16'!K40</f>
        <v>21130</v>
      </c>
      <c r="I103" s="314">
        <f>'16'!L40</f>
        <v>0</v>
      </c>
      <c r="J103" s="314">
        <f>'16'!M40</f>
        <v>0</v>
      </c>
      <c r="K103" s="406">
        <f>'16'!N40</f>
        <v>0</v>
      </c>
      <c r="L103" s="700" t="str">
        <f t="shared" si="24"/>
        <v/>
      </c>
      <c r="M103" s="707">
        <f t="shared" si="22"/>
        <v>0</v>
      </c>
    </row>
    <row r="104" spans="3:13" ht="15" customHeight="1">
      <c r="C104" s="262">
        <v>616300</v>
      </c>
      <c r="D104" s="341" t="s">
        <v>555</v>
      </c>
      <c r="E104" s="44" t="s">
        <v>185</v>
      </c>
      <c r="F104" s="31">
        <f>'16'!I41</f>
        <v>0</v>
      </c>
      <c r="G104" s="31">
        <f>'16'!J41</f>
        <v>0</v>
      </c>
      <c r="H104" s="31">
        <f>'16'!K41</f>
        <v>28075</v>
      </c>
      <c r="I104" s="314">
        <f>'16'!L41</f>
        <v>0</v>
      </c>
      <c r="J104" s="314">
        <f>'16'!M41</f>
        <v>0</v>
      </c>
      <c r="K104" s="406">
        <f>'16'!N41</f>
        <v>0</v>
      </c>
      <c r="L104" s="700" t="str">
        <f t="shared" si="24"/>
        <v/>
      </c>
      <c r="M104" s="707">
        <f t="shared" si="22"/>
        <v>0</v>
      </c>
    </row>
    <row r="105" spans="3:13" ht="12" customHeight="1">
      <c r="C105" s="262"/>
      <c r="D105" s="341"/>
      <c r="E105" s="44"/>
      <c r="F105" s="31"/>
      <c r="G105" s="31"/>
      <c r="H105" s="31"/>
      <c r="I105" s="314"/>
      <c r="J105" s="314"/>
      <c r="K105" s="406"/>
      <c r="L105" s="700" t="str">
        <f t="shared" si="24"/>
        <v/>
      </c>
      <c r="M105" s="707" t="str">
        <f t="shared" si="22"/>
        <v/>
      </c>
    </row>
    <row r="106" spans="3:13" ht="15" customHeight="1">
      <c r="C106" s="424">
        <v>821000</v>
      </c>
      <c r="D106" s="425"/>
      <c r="E106" s="426" t="s">
        <v>89</v>
      </c>
      <c r="F106" s="427">
        <f t="shared" ref="F106:K106" si="33">SUM(F107:F112)</f>
        <v>2087010</v>
      </c>
      <c r="G106" s="427">
        <f t="shared" si="33"/>
        <v>2087010</v>
      </c>
      <c r="H106" s="427">
        <f t="shared" si="33"/>
        <v>1108166</v>
      </c>
      <c r="I106" s="427">
        <f t="shared" si="33"/>
        <v>458074</v>
      </c>
      <c r="J106" s="427">
        <f t="shared" si="33"/>
        <v>1431296</v>
      </c>
      <c r="K106" s="407">
        <f t="shared" si="33"/>
        <v>1889370</v>
      </c>
      <c r="L106" s="701">
        <f t="shared" si="24"/>
        <v>90.529992668937851</v>
      </c>
      <c r="M106" s="708">
        <f t="shared" si="22"/>
        <v>170.49521461586079</v>
      </c>
    </row>
    <row r="107" spans="3:13" ht="15" customHeight="1">
      <c r="C107" s="264">
        <v>821200</v>
      </c>
      <c r="D107" s="343"/>
      <c r="E107" s="14" t="s">
        <v>90</v>
      </c>
      <c r="F107" s="85">
        <f>'1'!I29+'3'!I50+'4 (S)'!I32+'4 (N)'!I32+'5'!I29+'6'!I29+'7'!I29+'8'!I29+'9'!I29+'10'!I31+'11'!I30+'12'!I29+'13'!I29+'14'!I29+'15'!I37+'16'!I44+'17'!I34+'18'!I34+'19'!I39+'20'!I46+'21'!I29+'22'!I29+'23'!I29+'24'!I29+'25'!I29+'26'!I29+'27'!I29+'28'!I29+'29'!I29+'30'!I29+'31'!I32+'32'!I29+'33'!I33+'34'!I29+'35'!I29+'36'!I29+'37'!I29</f>
        <v>514870</v>
      </c>
      <c r="G107" s="319">
        <f>'1'!J29+'3'!J50+'4 (S)'!J32+'4 (N)'!J32+'5'!J29+'6'!J29+'7'!J29+'8'!J29+'9'!J29+'10'!J31+'11'!J30+'12'!J29+'13'!J29+'14'!J29+'15'!J37+'16'!J44+'17'!J34+'18'!J34+'19'!J39+'20'!J46+'21'!J29+'22'!J29+'23'!J29+'24'!J29+'25'!J29+'26'!J29+'27'!J29+'28'!J29+'29'!J29+'30'!J29+'31'!J32+'32'!J29+'33'!J33+'34'!J29+'35'!J29+'36'!J29+'37'!J29</f>
        <v>514860</v>
      </c>
      <c r="H107" s="319">
        <f>'1'!K29+'3'!K50+'4 (S)'!K32+'4 (N)'!K32+'5'!K29+'6'!K29+'7'!K29+'8'!K29+'9'!K29+'10'!K31+'11'!K30+'12'!K29+'13'!K29+'14'!K29+'15'!K37+'16'!K44+'17'!K34+'18'!K34+'19'!K39+'20'!K46+'21'!K29+'22'!K29+'23'!K29+'24'!K29+'25'!K29+'26'!K29+'27'!K29+'28'!K29+'29'!K29+'30'!K29+'31'!K32+'32'!K29+'33'!K33+'34'!K29+'35'!K29+'36'!K29+'37'!K29</f>
        <v>123122</v>
      </c>
      <c r="I107" s="319">
        <f>'1'!L29+'3'!L50+'4 (S)'!L32+'4 (N)'!L32+'5'!L29+'6'!L29+'7'!L29+'8'!L29+'9'!L29+'10'!L31+'11'!L30+'12'!L29+'13'!L29+'14'!L29+'15'!L37+'16'!L44+'17'!L34+'18'!L34+'19'!L39+'20'!L46+'21'!L29+'22'!L29+'23'!L29+'24'!L29+'25'!L29+'26'!L29+'27'!L29+'28'!L29+'29'!L29+'30'!L29+'31'!L32+'32'!L29+'33'!L33+'34'!L29+'35'!L29+'36'!L29+'37'!L29</f>
        <v>178331</v>
      </c>
      <c r="J107" s="319">
        <f>'1'!M29+'3'!M50+'4 (S)'!M32+'4 (N)'!M32+'5'!M29+'6'!M29+'7'!M29+'8'!M29+'9'!M29+'10'!M31+'11'!M30+'12'!M29+'13'!M29+'14'!M29+'15'!M37+'16'!M44+'17'!M34+'18'!M34+'19'!M39+'20'!M46+'21'!M29+'22'!M29+'23'!M29+'24'!M29+'25'!M29+'26'!M29+'27'!M29+'28'!M29+'29'!M29+'30'!M29+'31'!M32+'32'!M29+'33'!M33+'34'!M29+'35'!M29+'36'!M29+'37'!M29</f>
        <v>332942</v>
      </c>
      <c r="K107" s="406">
        <f>'1'!N29+'3'!N50+'4 (S)'!N32+'4 (N)'!N32+'5'!N29+'6'!N29+'7'!N29+'8'!N29+'9'!N29+'10'!N31+'11'!N30+'12'!N29+'13'!N29+'14'!N29+'15'!N37+'16'!N44+'17'!N34+'18'!N34+'19'!N39+'20'!N46+'21'!N29+'22'!N29+'23'!N29+'24'!N29+'25'!N29+'26'!N29+'27'!N29+'28'!N29+'29'!N29+'30'!N29+'31'!N32+'32'!N29+'33'!N33+'34'!N29+'35'!N29+'36'!N29+'37'!N29</f>
        <v>511273</v>
      </c>
      <c r="L107" s="700">
        <f t="shared" si="24"/>
        <v>99.30330575302024</v>
      </c>
      <c r="M107" s="707">
        <f t="shared" si="22"/>
        <v>415.25722454151168</v>
      </c>
    </row>
    <row r="108" spans="3:13" ht="15" customHeight="1">
      <c r="C108" s="264">
        <v>821300</v>
      </c>
      <c r="D108" s="343"/>
      <c r="E108" s="14" t="s">
        <v>91</v>
      </c>
      <c r="F108" s="85">
        <f>'1'!I30+'3'!I51+'4 (S)'!I33+'4 (N)'!I33+'5'!I30+'6'!I30+'7'!I30+'8'!I30+'9'!I30+'10'!I32+'11'!I31+'12'!I30+'13'!I30+'14'!I30+'15'!I38+'16'!I45+'17'!I35+'18'!I35+'19'!I40+'20'!I47+'21'!I30+'22'!I30+'23'!I30+'24'!I30+'25'!I30+'26'!I30+'27'!I30+'28'!I30+'29'!I30+'30'!I30+'31'!I33+'32'!I30+'33'!I34+'34'!I30+'35'!I30+'36'!I30+'37'!I30</f>
        <v>310180</v>
      </c>
      <c r="G108" s="319">
        <f>'1'!J30+'3'!J51+'4 (S)'!J33+'4 (N)'!J33+'5'!J30+'6'!J30+'7'!J30+'8'!J30+'9'!J30+'10'!J32+'11'!J31+'12'!J30+'13'!J30+'14'!J30+'15'!J38+'16'!J45+'17'!J35+'18'!J35+'19'!J40+'20'!J47+'21'!J30+'22'!J30+'23'!J30+'24'!J30+'25'!J30+'26'!J30+'27'!J30+'28'!J30+'29'!J30+'30'!J30+'31'!J33+'32'!J30+'33'!J34+'34'!J30+'35'!J30+'36'!J30+'37'!J30</f>
        <v>310190</v>
      </c>
      <c r="H108" s="319">
        <f>'1'!K30+'3'!K51+'4 (S)'!K33+'4 (N)'!K33+'5'!K30+'6'!K30+'7'!K30+'8'!K30+'9'!K30+'10'!K32+'11'!K31+'12'!K30+'13'!K30+'14'!K30+'15'!K38+'16'!K45+'17'!K35+'18'!K35+'19'!K40+'20'!K47+'21'!K30+'22'!K30+'23'!K30+'24'!K30+'25'!K30+'26'!K30+'27'!K30+'28'!K30+'29'!K30+'30'!K30+'31'!K33+'32'!K30+'33'!K34+'34'!K30+'35'!K30+'36'!K30+'37'!K30</f>
        <v>430949</v>
      </c>
      <c r="I108" s="319">
        <f>'1'!L30+'3'!L51+'4 (S)'!L33+'4 (N)'!L33+'5'!L30+'6'!L30+'7'!L30+'8'!L30+'9'!L30+'10'!L32+'11'!L31+'12'!L30+'13'!L30+'14'!L30+'15'!L38+'16'!L45+'17'!L35+'18'!L35+'19'!L40+'20'!L47+'21'!L30+'22'!L30+'23'!L30+'24'!L30+'25'!L30+'26'!L30+'27'!L30+'28'!L30+'29'!L30+'30'!L30+'31'!L33+'32'!L30+'33'!L34+'34'!L30+'35'!L30+'36'!L30+'37'!L30</f>
        <v>229911</v>
      </c>
      <c r="J108" s="319">
        <f>'1'!M30+'3'!M51+'4 (S)'!M33+'4 (N)'!M33+'5'!M30+'6'!M30+'7'!M30+'8'!M30+'9'!M30+'10'!M32+'11'!M31+'12'!M30+'13'!M30+'14'!M30+'15'!M38+'16'!M45+'17'!M35+'18'!M35+'19'!M40+'20'!M47+'21'!M30+'22'!M30+'23'!M30+'24'!M30+'25'!M30+'26'!M30+'27'!M30+'28'!M30+'29'!M30+'30'!M30+'31'!M33+'32'!M30+'33'!M34+'34'!M30+'35'!M30+'36'!M30+'37'!M30</f>
        <v>69646</v>
      </c>
      <c r="K108" s="406">
        <f>'1'!N30+'3'!N51+'4 (S)'!N33+'4 (N)'!N33+'5'!N30+'6'!N30+'7'!N30+'8'!N30+'9'!N30+'10'!N32+'11'!N31+'12'!N30+'13'!N30+'14'!N30+'15'!N38+'16'!N45+'17'!N35+'18'!N35+'19'!N40+'20'!N47+'21'!N30+'22'!N30+'23'!N30+'24'!N30+'25'!N30+'26'!N30+'27'!N30+'28'!N30+'29'!N30+'30'!N30+'31'!N33+'32'!N30+'33'!N34+'34'!N30+'35'!N30+'36'!N30+'37'!N30</f>
        <v>299557</v>
      </c>
      <c r="L108" s="700">
        <f t="shared" si="24"/>
        <v>96.572100970373</v>
      </c>
      <c r="M108" s="707">
        <f t="shared" si="22"/>
        <v>69.511009423388842</v>
      </c>
    </row>
    <row r="109" spans="3:13" ht="15" customHeight="1">
      <c r="C109" s="264">
        <v>821500</v>
      </c>
      <c r="D109" s="343"/>
      <c r="E109" s="183" t="s">
        <v>443</v>
      </c>
      <c r="F109" s="85">
        <f>'3'!I52</f>
        <v>50000</v>
      </c>
      <c r="G109" s="85">
        <f>'3'!J52</f>
        <v>50000</v>
      </c>
      <c r="H109" s="85">
        <f>'3'!K52</f>
        <v>0</v>
      </c>
      <c r="I109" s="319">
        <f>'3'!L52</f>
        <v>49832</v>
      </c>
      <c r="J109" s="319">
        <f>'3'!M52</f>
        <v>0</v>
      </c>
      <c r="K109" s="406">
        <f>'3'!N52</f>
        <v>49832</v>
      </c>
      <c r="L109" s="700">
        <f t="shared" si="24"/>
        <v>99.664000000000001</v>
      </c>
      <c r="M109" s="707" t="str">
        <f t="shared" si="22"/>
        <v/>
      </c>
    </row>
    <row r="110" spans="3:13" s="307" customFormat="1" ht="15" customHeight="1">
      <c r="C110" s="264">
        <v>821500</v>
      </c>
      <c r="D110" s="343" t="s">
        <v>693</v>
      </c>
      <c r="E110" s="661" t="s">
        <v>692</v>
      </c>
      <c r="F110" s="319">
        <f>'18'!I36</f>
        <v>811960</v>
      </c>
      <c r="G110" s="319">
        <f>'18'!J36</f>
        <v>811960</v>
      </c>
      <c r="H110" s="319">
        <f>'18'!K36</f>
        <v>0</v>
      </c>
      <c r="I110" s="319">
        <f>'18'!L36</f>
        <v>0</v>
      </c>
      <c r="J110" s="319">
        <f>'18'!M36</f>
        <v>806673</v>
      </c>
      <c r="K110" s="406">
        <f>'18'!N36</f>
        <v>806673</v>
      </c>
      <c r="L110" s="700">
        <f t="shared" ref="L110" si="34">IF(G110=0,"",K110/G110*100)</f>
        <v>99.348859549731515</v>
      </c>
      <c r="M110" s="707" t="str">
        <f t="shared" si="22"/>
        <v/>
      </c>
    </row>
    <row r="111" spans="3:13" ht="15" customHeight="1">
      <c r="C111" s="264">
        <v>821600</v>
      </c>
      <c r="D111" s="343"/>
      <c r="E111" s="78" t="s">
        <v>102</v>
      </c>
      <c r="F111" s="85">
        <f>'18'!I37</f>
        <v>0</v>
      </c>
      <c r="G111" s="85">
        <f>'18'!J37</f>
        <v>0</v>
      </c>
      <c r="H111" s="85">
        <f>'18'!K37</f>
        <v>554095</v>
      </c>
      <c r="I111" s="319">
        <f>'18'!L37</f>
        <v>0</v>
      </c>
      <c r="J111" s="319">
        <f>'18'!M37</f>
        <v>0</v>
      </c>
      <c r="K111" s="406">
        <f>'18'!N37</f>
        <v>0</v>
      </c>
      <c r="L111" s="700" t="str">
        <f t="shared" si="24"/>
        <v/>
      </c>
      <c r="M111" s="707">
        <f t="shared" si="22"/>
        <v>0</v>
      </c>
    </row>
    <row r="112" spans="3:13" s="307" customFormat="1" ht="15" customHeight="1">
      <c r="C112" s="264">
        <v>821600</v>
      </c>
      <c r="D112" s="343" t="s">
        <v>694</v>
      </c>
      <c r="E112" s="661" t="s">
        <v>691</v>
      </c>
      <c r="F112" s="319">
        <f>'18'!I38</f>
        <v>400000</v>
      </c>
      <c r="G112" s="319">
        <f>'18'!J38</f>
        <v>400000</v>
      </c>
      <c r="H112" s="319">
        <f>'18'!K38</f>
        <v>0</v>
      </c>
      <c r="I112" s="319">
        <f>'18'!L38</f>
        <v>0</v>
      </c>
      <c r="J112" s="319">
        <f>'18'!M38</f>
        <v>222035</v>
      </c>
      <c r="K112" s="406">
        <f>'18'!N38</f>
        <v>222035</v>
      </c>
      <c r="L112" s="700">
        <f t="shared" ref="L112" si="35">IF(G112=0,"",K112/G112*100)</f>
        <v>55.508749999999992</v>
      </c>
      <c r="M112" s="707" t="str">
        <f t="shared" si="22"/>
        <v/>
      </c>
    </row>
    <row r="113" spans="3:13" ht="11.25" customHeight="1">
      <c r="C113" s="262"/>
      <c r="D113" s="341"/>
      <c r="E113" s="11"/>
      <c r="F113" s="30"/>
      <c r="G113" s="30"/>
      <c r="H113" s="30"/>
      <c r="I113" s="302"/>
      <c r="J113" s="302"/>
      <c r="K113" s="406"/>
      <c r="L113" s="700" t="str">
        <f t="shared" si="24"/>
        <v/>
      </c>
      <c r="M113" s="707" t="str">
        <f t="shared" si="22"/>
        <v/>
      </c>
    </row>
    <row r="114" spans="3:13" ht="15" customHeight="1">
      <c r="C114" s="424">
        <v>823000</v>
      </c>
      <c r="D114" s="425"/>
      <c r="E114" s="426" t="s">
        <v>175</v>
      </c>
      <c r="F114" s="427">
        <f>SUM(F115:F119)</f>
        <v>515000</v>
      </c>
      <c r="G114" s="427">
        <f t="shared" ref="G114:K114" si="36">SUM(G115:G119)</f>
        <v>515000</v>
      </c>
      <c r="H114" s="427">
        <f t="shared" si="36"/>
        <v>591016</v>
      </c>
      <c r="I114" s="427">
        <f t="shared" si="36"/>
        <v>514991</v>
      </c>
      <c r="J114" s="427">
        <f t="shared" si="36"/>
        <v>0</v>
      </c>
      <c r="K114" s="407">
        <f t="shared" si="36"/>
        <v>514991</v>
      </c>
      <c r="L114" s="701">
        <f t="shared" si="24"/>
        <v>99.998252427184468</v>
      </c>
      <c r="M114" s="708">
        <f t="shared" si="22"/>
        <v>87.136558062725882</v>
      </c>
    </row>
    <row r="115" spans="3:13" s="307" customFormat="1" ht="15" customHeight="1">
      <c r="C115" s="262">
        <v>823200</v>
      </c>
      <c r="D115" s="341" t="s">
        <v>554</v>
      </c>
      <c r="E115" s="378" t="s">
        <v>831</v>
      </c>
      <c r="F115" s="314">
        <f>'16'!I48</f>
        <v>84710</v>
      </c>
      <c r="G115" s="314">
        <f>'16'!J48</f>
        <v>84710</v>
      </c>
      <c r="H115" s="314">
        <f>'16'!K48</f>
        <v>0</v>
      </c>
      <c r="I115" s="314">
        <f>'16'!L48</f>
        <v>84708</v>
      </c>
      <c r="J115" s="314">
        <f>'16'!M48</f>
        <v>0</v>
      </c>
      <c r="K115" s="406">
        <f>'16'!N48</f>
        <v>84708</v>
      </c>
      <c r="L115" s="700">
        <f t="shared" ref="L115:L116" si="37">IF(G115=0,"",K115/G115*100)</f>
        <v>99.997639003659543</v>
      </c>
      <c r="M115" s="707" t="str">
        <f t="shared" ref="M115:M116" si="38">IF(H115=0,"",K115/H115*100)</f>
        <v/>
      </c>
    </row>
    <row r="116" spans="3:13" s="307" customFormat="1" ht="15" customHeight="1">
      <c r="C116" s="262">
        <v>823200</v>
      </c>
      <c r="D116" s="341" t="s">
        <v>555</v>
      </c>
      <c r="E116" s="378" t="s">
        <v>832</v>
      </c>
      <c r="F116" s="314">
        <f>'16'!I49</f>
        <v>430290</v>
      </c>
      <c r="G116" s="314">
        <f>'16'!J49</f>
        <v>430290</v>
      </c>
      <c r="H116" s="314">
        <f>'16'!K49</f>
        <v>0</v>
      </c>
      <c r="I116" s="314">
        <f>'16'!L49</f>
        <v>430283</v>
      </c>
      <c r="J116" s="314">
        <f>'16'!M49</f>
        <v>0</v>
      </c>
      <c r="K116" s="406">
        <f>'16'!N49</f>
        <v>430283</v>
      </c>
      <c r="L116" s="700">
        <f t="shared" si="37"/>
        <v>99.998373190174078</v>
      </c>
      <c r="M116" s="707" t="str">
        <f t="shared" si="38"/>
        <v/>
      </c>
    </row>
    <row r="117" spans="3:13" ht="15" customHeight="1">
      <c r="C117" s="262">
        <v>823300</v>
      </c>
      <c r="D117" s="341"/>
      <c r="E117" s="20" t="s">
        <v>184</v>
      </c>
      <c r="F117" s="30">
        <f>'20'!I50</f>
        <v>0</v>
      </c>
      <c r="G117" s="30">
        <f>'20'!J50</f>
        <v>0</v>
      </c>
      <c r="H117" s="30">
        <f>'20'!K50</f>
        <v>71318</v>
      </c>
      <c r="I117" s="302">
        <f>'20'!L50</f>
        <v>0</v>
      </c>
      <c r="J117" s="302">
        <f>'20'!M50</f>
        <v>0</v>
      </c>
      <c r="K117" s="406">
        <f>'20'!N50</f>
        <v>0</v>
      </c>
      <c r="L117" s="700" t="str">
        <f t="shared" si="24"/>
        <v/>
      </c>
      <c r="M117" s="707">
        <f t="shared" si="22"/>
        <v>0</v>
      </c>
    </row>
    <row r="118" spans="3:13" ht="15" customHeight="1">
      <c r="C118" s="262">
        <v>823300</v>
      </c>
      <c r="D118" s="341" t="s">
        <v>554</v>
      </c>
      <c r="E118" s="20" t="s">
        <v>506</v>
      </c>
      <c r="F118" s="31">
        <f>'16'!I50</f>
        <v>0</v>
      </c>
      <c r="G118" s="31">
        <f>'16'!J50</f>
        <v>0</v>
      </c>
      <c r="H118" s="31">
        <f>'16'!K50</f>
        <v>89415</v>
      </c>
      <c r="I118" s="314">
        <f>'16'!L50</f>
        <v>0</v>
      </c>
      <c r="J118" s="314">
        <f>'16'!M50</f>
        <v>0</v>
      </c>
      <c r="K118" s="406">
        <f>'16'!N50</f>
        <v>0</v>
      </c>
      <c r="L118" s="700" t="str">
        <f t="shared" si="24"/>
        <v/>
      </c>
      <c r="M118" s="707">
        <f t="shared" si="22"/>
        <v>0</v>
      </c>
    </row>
    <row r="119" spans="3:13" ht="15" customHeight="1">
      <c r="C119" s="262">
        <v>823300</v>
      </c>
      <c r="D119" s="341" t="s">
        <v>555</v>
      </c>
      <c r="E119" s="20" t="s">
        <v>505</v>
      </c>
      <c r="F119" s="31">
        <f>'16'!I51</f>
        <v>0</v>
      </c>
      <c r="G119" s="31">
        <f>'16'!J51</f>
        <v>0</v>
      </c>
      <c r="H119" s="31">
        <f>'16'!K51</f>
        <v>430283</v>
      </c>
      <c r="I119" s="314">
        <f>'16'!L51</f>
        <v>0</v>
      </c>
      <c r="J119" s="314">
        <f>'16'!M51</f>
        <v>0</v>
      </c>
      <c r="K119" s="406">
        <f>'16'!N51</f>
        <v>0</v>
      </c>
      <c r="L119" s="700" t="str">
        <f t="shared" si="24"/>
        <v/>
      </c>
      <c r="M119" s="707">
        <f t="shared" si="22"/>
        <v>0</v>
      </c>
    </row>
    <row r="120" spans="3:13" ht="15" customHeight="1">
      <c r="C120" s="28"/>
      <c r="D120" s="351"/>
      <c r="E120" s="11"/>
      <c r="F120" s="30"/>
      <c r="G120" s="30"/>
      <c r="H120" s="30"/>
      <c r="I120" s="302"/>
      <c r="J120" s="302"/>
      <c r="K120" s="406"/>
      <c r="L120" s="700" t="str">
        <f t="shared" si="24"/>
        <v/>
      </c>
      <c r="M120" s="707" t="str">
        <f t="shared" si="22"/>
        <v/>
      </c>
    </row>
    <row r="121" spans="3:13" ht="15" customHeight="1">
      <c r="C121" s="4"/>
      <c r="D121" s="339"/>
      <c r="E121" s="8" t="s">
        <v>92</v>
      </c>
      <c r="F121" s="320" t="s">
        <v>904</v>
      </c>
      <c r="G121" s="320" t="s">
        <v>904</v>
      </c>
      <c r="H121" s="320" t="s">
        <v>903</v>
      </c>
      <c r="I121" s="320" t="s">
        <v>915</v>
      </c>
      <c r="J121" s="320"/>
      <c r="K121" s="423" t="s">
        <v>915</v>
      </c>
      <c r="L121" s="700"/>
      <c r="M121" s="707"/>
    </row>
    <row r="122" spans="3:13" ht="15" customHeight="1">
      <c r="C122" s="4"/>
      <c r="D122" s="339"/>
      <c r="E122" s="8" t="s">
        <v>110</v>
      </c>
      <c r="F122" s="15">
        <f>'1'!I33+'3'!I55+'4 (S)'!I36+'4 (N)'!I36+'5'!I33+'6'!I33+'7'!I33+'8'!I33+'9'!I33+'10'!I35+'11'!I34+'12'!I33+'13'!I33+'14'!I33+'15'!I41+'16'!I54+'17'!I38+'18'!I41+'19'!I43+'20'!I53+'21'!I33+'22'!I33+'23'!I33+'24'!I33+'25'!I33+'26'!I33+'27'!I33+'28'!I33+'29'!I33+'30'!I33+'31'!I36+'32'!I33+'33'!I37+'34'!I33+'35'!I33+'36'!I33+'37'!I33</f>
        <v>43714860</v>
      </c>
      <c r="G122" s="311">
        <f>'1'!J33+'3'!J55+'4 (S)'!J36+'4 (N)'!J36+'5'!J33+'6'!J33+'7'!J33+'8'!J33+'9'!J33+'10'!J35+'11'!J34+'12'!J33+'13'!J33+'14'!J33+'15'!J41+'16'!J54+'17'!J38+'18'!J41+'19'!J43+'20'!J53+'21'!J33+'22'!J33+'23'!J33+'24'!J33+'25'!J33+'26'!J33+'27'!J33+'28'!J33+'29'!J33+'30'!J33+'31'!J36+'32'!J33+'33'!J37+'34'!J33+'35'!J33+'36'!J33+'37'!J33</f>
        <v>43714860</v>
      </c>
      <c r="H122" s="311">
        <f>'1'!K33+'3'!K55+'4 (S)'!K36+'4 (N)'!K36+'5'!K33+'6'!K33+'7'!K33+'8'!K33+'9'!K33+'10'!K35+'11'!K34+'12'!K33+'13'!K33+'14'!K33+'15'!K41+'16'!K54+'17'!K38+'18'!K41+'19'!K43+'20'!K53+'21'!K33+'22'!K33+'23'!K33+'24'!K33+'25'!K33+'26'!K33+'27'!K33+'28'!K33+'29'!K33+'30'!K33+'31'!K36+'32'!K33+'33'!K37+'34'!K33+'35'!K33+'36'!K33+'37'!K33</f>
        <v>41068593</v>
      </c>
      <c r="I122" s="311">
        <f>'1'!L33+'3'!L55+'4 (S)'!L36+'4 (N)'!L36+'5'!L33+'6'!L33+'7'!L33+'8'!L33+'9'!L33+'10'!L35+'11'!L34+'12'!L33+'13'!L33+'14'!L33+'15'!L41+'16'!L54+'17'!L38+'18'!L41+'19'!L43+'20'!L53+'21'!L33+'22'!L33+'23'!L33+'24'!L33+'25'!L33+'26'!L33+'27'!L33+'28'!L33+'29'!L33+'30'!L33+'31'!L36+'32'!L33+'33'!L37+'34'!L33+'35'!L33+'36'!L33+'37'!L33</f>
        <v>39556769</v>
      </c>
      <c r="J122" s="311">
        <f>'1'!M33+'3'!M55+'4 (S)'!M36+'4 (N)'!M36+'5'!M33+'6'!M33+'7'!M33+'8'!M33+'9'!M33+'10'!M35+'11'!M34+'12'!M33+'13'!M33+'14'!M33+'15'!M41+'16'!M54+'17'!M38+'18'!M41+'19'!M43+'20'!M53+'21'!M33+'22'!M33+'23'!M33+'24'!M33+'25'!M33+'26'!M33+'27'!M33+'28'!M33+'29'!M33+'30'!M33+'31'!M36+'32'!M33+'33'!M37+'34'!M33+'35'!M33+'36'!M33+'37'!M33</f>
        <v>3642213</v>
      </c>
      <c r="K122" s="407">
        <f>'1'!N33+'3'!N55+'4 (S)'!N36+'4 (N)'!N36+'5'!N33+'6'!N33+'7'!N33+'8'!N33+'9'!N33+'10'!N35+'11'!N34+'12'!N33+'13'!N33+'14'!N33+'15'!N41+'16'!N54+'17'!N38+'18'!N41+'19'!N43+'20'!N53+'21'!N33+'22'!N33+'23'!N33+'24'!N33+'25'!N33+'26'!N33+'27'!N33+'28'!N33+'29'!N33+'30'!N33+'31'!N36+'32'!N33+'33'!N37+'34'!N33+'35'!N33+'36'!N33+'37'!N33</f>
        <v>43198982</v>
      </c>
      <c r="L122" s="703">
        <f t="shared" si="24"/>
        <v>98.819902431347145</v>
      </c>
      <c r="M122" s="710">
        <f t="shared" si="22"/>
        <v>105.18739222451569</v>
      </c>
    </row>
    <row r="123" spans="3:13" ht="15" customHeight="1" thickBot="1">
      <c r="C123" s="29"/>
      <c r="D123" s="352"/>
      <c r="E123" s="17"/>
      <c r="F123" s="27"/>
      <c r="G123" s="27"/>
      <c r="H123" s="27"/>
      <c r="I123" s="17"/>
      <c r="J123" s="17"/>
      <c r="K123" s="411"/>
      <c r="L123" s="704"/>
      <c r="M123" s="711"/>
    </row>
    <row r="124" spans="3:13" ht="15" customHeight="1" thickBot="1">
      <c r="C124" s="53"/>
      <c r="D124" s="326"/>
      <c r="E124" s="54"/>
      <c r="F124" s="54"/>
      <c r="G124" s="54"/>
      <c r="H124" s="54"/>
      <c r="I124" s="54"/>
      <c r="J124" s="54"/>
      <c r="K124" s="54"/>
      <c r="L124" s="705"/>
      <c r="M124" s="712"/>
    </row>
    <row r="125" spans="3:13" ht="7.5" customHeight="1"/>
    <row r="126" spans="3:13" ht="8.25" customHeight="1">
      <c r="C126" s="33"/>
      <c r="D126" s="315"/>
    </row>
    <row r="127" spans="3:13" ht="12" customHeight="1">
      <c r="C127" s="75"/>
      <c r="D127" s="317"/>
      <c r="K127" s="63"/>
    </row>
    <row r="128" spans="3:13" ht="6.75" customHeight="1">
      <c r="C128" s="76"/>
      <c r="D128" s="76"/>
      <c r="K128" s="63"/>
    </row>
    <row r="129" spans="3:13" ht="12" customHeight="1">
      <c r="C129" s="890"/>
      <c r="D129" s="890"/>
      <c r="E129" s="890"/>
      <c r="F129" s="34"/>
      <c r="G129" s="34"/>
      <c r="H129" s="34"/>
      <c r="I129" s="397"/>
      <c r="J129" s="397"/>
      <c r="K129" s="34"/>
      <c r="L129" s="95"/>
      <c r="M129" s="95"/>
    </row>
    <row r="130" spans="3:13" ht="18" customHeight="1">
      <c r="C130" s="891"/>
      <c r="D130" s="891"/>
      <c r="E130" s="891"/>
      <c r="F130" s="891"/>
      <c r="G130" s="891"/>
      <c r="H130" s="891"/>
      <c r="I130" s="891"/>
      <c r="J130" s="891"/>
      <c r="K130" s="891"/>
      <c r="L130" s="891"/>
      <c r="M130" s="674"/>
    </row>
  </sheetData>
  <mergeCells count="13">
    <mergeCell ref="M4:M5"/>
    <mergeCell ref="K3:L3"/>
    <mergeCell ref="C3:E3"/>
    <mergeCell ref="C129:E129"/>
    <mergeCell ref="C130:L130"/>
    <mergeCell ref="I4:K4"/>
    <mergeCell ref="C4:C5"/>
    <mergeCell ref="D4:D5"/>
    <mergeCell ref="E4:E5"/>
    <mergeCell ref="F4:F5"/>
    <mergeCell ref="G4:G5"/>
    <mergeCell ref="H4:H5"/>
    <mergeCell ref="L4:L5"/>
  </mergeCells>
  <phoneticPr fontId="2" type="noConversion"/>
  <pageMargins left="0.61" right="0.31496062992125984" top="0.35433070866141736" bottom="0.51181102362204722" header="0.39370078740157483" footer="0.31496062992125984"/>
  <pageSetup paperSize="9" scale="84" firstPageNumber="7" orientation="landscape" r:id="rId1"/>
  <headerFooter alignWithMargins="0">
    <oddFooter>&amp;R&amp;P</oddFooter>
  </headerFooter>
  <rowBreaks count="2" manualBreakCount="2">
    <brk id="41" min="2" max="12" man="1"/>
    <brk id="130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T96"/>
  <sheetViews>
    <sheetView zoomScaleNormal="100" workbookViewId="0">
      <selection activeCell="R20" sqref="R20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7" width="9.140625" style="9"/>
    <col min="18" max="18" width="9.5703125" style="9" bestFit="1" customWidth="1"/>
    <col min="19" max="16384" width="9.140625" style="9"/>
  </cols>
  <sheetData>
    <row r="1" spans="1:20" ht="13.5" thickBot="1"/>
    <row r="2" spans="1:20" s="109" customFormat="1" ht="20.100000000000001" customHeight="1" thickTop="1" thickBot="1">
      <c r="A2" s="403"/>
      <c r="B2" s="906" t="s">
        <v>112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8"/>
    </row>
    <row r="3" spans="1:20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20" s="1" customFormat="1" ht="39" customHeight="1">
      <c r="A4" s="304"/>
      <c r="B4" s="913" t="s">
        <v>77</v>
      </c>
      <c r="C4" s="915" t="s">
        <v>78</v>
      </c>
      <c r="D4" s="917" t="s">
        <v>107</v>
      </c>
      <c r="E4" s="917" t="s">
        <v>779</v>
      </c>
      <c r="F4" s="919" t="s">
        <v>503</v>
      </c>
      <c r="G4" s="918" t="s">
        <v>535</v>
      </c>
      <c r="H4" s="919" t="s">
        <v>79</v>
      </c>
      <c r="I4" s="921" t="s">
        <v>854</v>
      </c>
      <c r="J4" s="922" t="s">
        <v>855</v>
      </c>
      <c r="K4" s="923" t="s">
        <v>869</v>
      </c>
      <c r="L4" s="910" t="s">
        <v>868</v>
      </c>
      <c r="M4" s="911"/>
      <c r="N4" s="912"/>
      <c r="O4" s="925" t="s">
        <v>871</v>
      </c>
      <c r="P4" s="904" t="s">
        <v>870</v>
      </c>
      <c r="R4" s="81"/>
    </row>
    <row r="5" spans="1:20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63" t="s">
        <v>580</v>
      </c>
      <c r="M5" s="398" t="s">
        <v>581</v>
      </c>
      <c r="N5" s="724" t="s">
        <v>336</v>
      </c>
      <c r="O5" s="926"/>
      <c r="P5" s="905"/>
    </row>
    <row r="6" spans="1:20" s="2" customFormat="1" ht="12.7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20" s="2" customFormat="1" ht="12.95" customHeight="1">
      <c r="A7" s="305"/>
      <c r="B7" s="6">
        <v>10</v>
      </c>
      <c r="C7" s="7" t="s">
        <v>80</v>
      </c>
      <c r="D7" s="7" t="s">
        <v>81</v>
      </c>
      <c r="E7" s="653" t="s">
        <v>780</v>
      </c>
      <c r="F7" s="5"/>
      <c r="G7" s="306"/>
      <c r="H7" s="5"/>
      <c r="I7" s="5"/>
      <c r="J7" s="5"/>
      <c r="K7" s="560"/>
      <c r="L7" s="4"/>
      <c r="M7" s="306"/>
      <c r="N7" s="740"/>
      <c r="O7" s="713"/>
      <c r="P7" s="718"/>
    </row>
    <row r="8" spans="1:20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381">
        <f t="shared" ref="I8:J8" si="0">SUM(I9:I11)</f>
        <v>546030</v>
      </c>
      <c r="J8" s="381">
        <f t="shared" si="0"/>
        <v>545030</v>
      </c>
      <c r="K8" s="537">
        <f>SUM(K9:K11)</f>
        <v>568087</v>
      </c>
      <c r="L8" s="564">
        <f>SUM(L9:L11)</f>
        <v>543601</v>
      </c>
      <c r="M8" s="233">
        <f>SUM(M9:M11)</f>
        <v>0</v>
      </c>
      <c r="N8" s="741">
        <f>SUM(N9:N11)</f>
        <v>543601</v>
      </c>
      <c r="O8" s="714">
        <f>IF(J8=0,"",N8/J8*100)</f>
        <v>99.737812597471702</v>
      </c>
      <c r="P8" s="719">
        <f>IF(K8=0,"",N8/K8*100)</f>
        <v>95.689744704596308</v>
      </c>
      <c r="R8" s="62"/>
    </row>
    <row r="9" spans="1:20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384">
        <v>450340</v>
      </c>
      <c r="J9" s="384">
        <v>449340</v>
      </c>
      <c r="K9" s="538">
        <v>485200</v>
      </c>
      <c r="L9" s="565">
        <v>448912</v>
      </c>
      <c r="M9" s="232">
        <v>0</v>
      </c>
      <c r="N9" s="742">
        <f>SUM(L9:M9)</f>
        <v>448912</v>
      </c>
      <c r="O9" s="715">
        <f>IF(J9=0,"",N9/J9*100)</f>
        <v>99.904749187697519</v>
      </c>
      <c r="P9" s="720">
        <f t="shared" ref="P9:P35" si="1">IF(K9=0,"",N9/K9*100)</f>
        <v>92.521022258862331</v>
      </c>
      <c r="Q9" s="55"/>
      <c r="R9" s="62"/>
      <c r="S9" s="63"/>
      <c r="T9" s="63"/>
    </row>
    <row r="10" spans="1:20" ht="12.95" customHeight="1">
      <c r="B10" s="10"/>
      <c r="C10" s="11"/>
      <c r="D10" s="11"/>
      <c r="E10" s="309"/>
      <c r="F10" s="328">
        <v>611200</v>
      </c>
      <c r="G10" s="354"/>
      <c r="H10" s="20" t="s">
        <v>170</v>
      </c>
      <c r="I10" s="384">
        <v>95690</v>
      </c>
      <c r="J10" s="384">
        <v>95690</v>
      </c>
      <c r="K10" s="538">
        <v>82887</v>
      </c>
      <c r="L10" s="565">
        <v>94689</v>
      </c>
      <c r="M10" s="232">
        <v>0</v>
      </c>
      <c r="N10" s="742">
        <f t="shared" ref="N10:N11" si="2">SUM(L10:M10)</f>
        <v>94689</v>
      </c>
      <c r="O10" s="715">
        <f t="shared" ref="O10:O35" si="3">IF(J10=0,"",N10/J10*100)</f>
        <v>98.953913679590343</v>
      </c>
      <c r="P10" s="720">
        <f t="shared" si="1"/>
        <v>114.23866227514567</v>
      </c>
      <c r="R10" s="62"/>
    </row>
    <row r="11" spans="1:20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384">
        <f t="shared" ref="I11:J11" si="4">SUM(G11:H11)</f>
        <v>0</v>
      </c>
      <c r="J11" s="384">
        <f t="shared" si="4"/>
        <v>0</v>
      </c>
      <c r="K11" s="538">
        <v>0</v>
      </c>
      <c r="L11" s="565">
        <v>0</v>
      </c>
      <c r="M11" s="232">
        <v>0</v>
      </c>
      <c r="N11" s="742">
        <f t="shared" si="2"/>
        <v>0</v>
      </c>
      <c r="O11" s="715" t="str">
        <f t="shared" si="3"/>
        <v/>
      </c>
      <c r="P11" s="720" t="str">
        <f t="shared" si="1"/>
        <v/>
      </c>
      <c r="R11" s="62"/>
    </row>
    <row r="12" spans="1:20" ht="8.1" customHeight="1">
      <c r="B12" s="10"/>
      <c r="C12" s="11"/>
      <c r="D12" s="11"/>
      <c r="E12" s="309"/>
      <c r="F12" s="328"/>
      <c r="G12" s="354"/>
      <c r="H12" s="211"/>
      <c r="I12" s="384"/>
      <c r="J12" s="384"/>
      <c r="K12" s="538"/>
      <c r="L12" s="565"/>
      <c r="M12" s="232"/>
      <c r="N12" s="742"/>
      <c r="O12" s="715" t="str">
        <f t="shared" si="3"/>
        <v/>
      </c>
      <c r="P12" s="720" t="str">
        <f t="shared" si="1"/>
        <v/>
      </c>
      <c r="R12" s="62"/>
    </row>
    <row r="13" spans="1:20" ht="12.95" customHeight="1">
      <c r="B13" s="12"/>
      <c r="C13" s="8"/>
      <c r="D13" s="8"/>
      <c r="E13" s="8"/>
      <c r="F13" s="327">
        <v>612000</v>
      </c>
      <c r="G13" s="353"/>
      <c r="H13" s="8" t="s">
        <v>145</v>
      </c>
      <c r="I13" s="381">
        <f t="shared" ref="I13:J13" si="5">I14+I15</f>
        <v>47600</v>
      </c>
      <c r="J13" s="381">
        <f t="shared" si="5"/>
        <v>47600</v>
      </c>
      <c r="K13" s="537">
        <f>K14</f>
        <v>51433</v>
      </c>
      <c r="L13" s="564">
        <f>L14+L15</f>
        <v>47381</v>
      </c>
      <c r="M13" s="233">
        <f>M14+M15</f>
        <v>0</v>
      </c>
      <c r="N13" s="741">
        <f>N14+N15</f>
        <v>47381</v>
      </c>
      <c r="O13" s="714">
        <f t="shared" si="3"/>
        <v>99.539915966386545</v>
      </c>
      <c r="P13" s="719">
        <f t="shared" si="1"/>
        <v>92.121789512569748</v>
      </c>
      <c r="R13" s="62"/>
    </row>
    <row r="14" spans="1:20" s="1" customFormat="1" ht="12.95" customHeight="1">
      <c r="A14" s="304"/>
      <c r="B14" s="10"/>
      <c r="C14" s="11"/>
      <c r="D14" s="11"/>
      <c r="E14" s="309"/>
      <c r="F14" s="328">
        <v>612100</v>
      </c>
      <c r="G14" s="354"/>
      <c r="H14" s="13" t="s">
        <v>82</v>
      </c>
      <c r="I14" s="384">
        <v>47600</v>
      </c>
      <c r="J14" s="384">
        <v>47600</v>
      </c>
      <c r="K14" s="538">
        <v>51433</v>
      </c>
      <c r="L14" s="565">
        <v>47381</v>
      </c>
      <c r="M14" s="232">
        <v>0</v>
      </c>
      <c r="N14" s="742">
        <f>SUM(L14:M14)</f>
        <v>47381</v>
      </c>
      <c r="O14" s="715">
        <f t="shared" si="3"/>
        <v>99.539915966386545</v>
      </c>
      <c r="P14" s="720">
        <f t="shared" si="1"/>
        <v>92.121789512569748</v>
      </c>
      <c r="R14" s="62"/>
    </row>
    <row r="15" spans="1:20" ht="8.1" customHeight="1">
      <c r="B15" s="10"/>
      <c r="C15" s="11"/>
      <c r="D15" s="11"/>
      <c r="E15" s="309"/>
      <c r="F15" s="328"/>
      <c r="G15" s="354"/>
      <c r="H15" s="11"/>
      <c r="I15" s="384"/>
      <c r="J15" s="384"/>
      <c r="K15" s="538"/>
      <c r="L15" s="566"/>
      <c r="M15" s="302"/>
      <c r="N15" s="743"/>
      <c r="O15" s="715" t="str">
        <f t="shared" si="3"/>
        <v/>
      </c>
      <c r="P15" s="720" t="str">
        <f t="shared" si="1"/>
        <v/>
      </c>
      <c r="R15" s="62"/>
    </row>
    <row r="16" spans="1:20" ht="12.95" customHeight="1">
      <c r="B16" s="12"/>
      <c r="C16" s="8"/>
      <c r="D16" s="8"/>
      <c r="E16" s="8"/>
      <c r="F16" s="327">
        <v>613000</v>
      </c>
      <c r="G16" s="353"/>
      <c r="H16" s="8" t="s">
        <v>147</v>
      </c>
      <c r="I16" s="381">
        <f t="shared" ref="I16:J16" si="6">SUM(I17:I26)</f>
        <v>248820</v>
      </c>
      <c r="J16" s="381">
        <f t="shared" si="6"/>
        <v>248820</v>
      </c>
      <c r="K16" s="537">
        <f>SUM(K17:K26)</f>
        <v>241977</v>
      </c>
      <c r="L16" s="567">
        <f>SUM(L17:L26)</f>
        <v>230861</v>
      </c>
      <c r="M16" s="316">
        <f>SUM(M17:M26)</f>
        <v>0</v>
      </c>
      <c r="N16" s="732">
        <f>SUM(N17:N26)</f>
        <v>230861</v>
      </c>
      <c r="O16" s="714">
        <f t="shared" si="3"/>
        <v>92.782332609918811</v>
      </c>
      <c r="P16" s="719">
        <f t="shared" si="1"/>
        <v>95.406174967042318</v>
      </c>
      <c r="R16" s="62"/>
    </row>
    <row r="17" spans="1:19" s="1" customFormat="1" ht="12.95" customHeight="1">
      <c r="A17" s="304"/>
      <c r="B17" s="10"/>
      <c r="C17" s="11"/>
      <c r="D17" s="11"/>
      <c r="E17" s="309"/>
      <c r="F17" s="328">
        <v>613100</v>
      </c>
      <c r="G17" s="354"/>
      <c r="H17" s="11" t="s">
        <v>83</v>
      </c>
      <c r="I17" s="384">
        <v>5200</v>
      </c>
      <c r="J17" s="384">
        <v>5200</v>
      </c>
      <c r="K17" s="538">
        <v>5949</v>
      </c>
      <c r="L17" s="550">
        <v>4315</v>
      </c>
      <c r="M17" s="385">
        <v>0</v>
      </c>
      <c r="N17" s="742">
        <f t="shared" ref="N17:N26" si="7">SUM(L17:M17)</f>
        <v>4315</v>
      </c>
      <c r="O17" s="715">
        <f t="shared" si="3"/>
        <v>82.980769230769241</v>
      </c>
      <c r="P17" s="720">
        <f t="shared" si="1"/>
        <v>72.533198856950747</v>
      </c>
      <c r="R17" s="62"/>
    </row>
    <row r="18" spans="1:19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384">
        <v>5800</v>
      </c>
      <c r="J18" s="384">
        <v>5800</v>
      </c>
      <c r="K18" s="538">
        <v>8213</v>
      </c>
      <c r="L18" s="550">
        <v>5684</v>
      </c>
      <c r="M18" s="385">
        <v>0</v>
      </c>
      <c r="N18" s="742">
        <f t="shared" si="7"/>
        <v>5684</v>
      </c>
      <c r="O18" s="715">
        <f t="shared" si="3"/>
        <v>98</v>
      </c>
      <c r="P18" s="720">
        <f t="shared" si="1"/>
        <v>69.207354194569575</v>
      </c>
      <c r="R18" s="62"/>
    </row>
    <row r="19" spans="1:19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384">
        <v>7000</v>
      </c>
      <c r="J19" s="384">
        <v>7100</v>
      </c>
      <c r="K19" s="538">
        <v>6905</v>
      </c>
      <c r="L19" s="550">
        <v>7076</v>
      </c>
      <c r="M19" s="385">
        <v>0</v>
      </c>
      <c r="N19" s="742">
        <f t="shared" si="7"/>
        <v>7076</v>
      </c>
      <c r="O19" s="715">
        <f t="shared" si="3"/>
        <v>99.661971830985919</v>
      </c>
      <c r="P19" s="720">
        <f t="shared" si="1"/>
        <v>102.47646632874729</v>
      </c>
      <c r="R19" s="62"/>
    </row>
    <row r="20" spans="1:19" ht="12.95" customHeight="1">
      <c r="B20" s="10"/>
      <c r="C20" s="11"/>
      <c r="D20" s="11"/>
      <c r="E20" s="309"/>
      <c r="F20" s="328">
        <v>613400</v>
      </c>
      <c r="G20" s="354"/>
      <c r="H20" s="20" t="s">
        <v>148</v>
      </c>
      <c r="I20" s="384">
        <v>4000</v>
      </c>
      <c r="J20" s="384">
        <v>4000</v>
      </c>
      <c r="K20" s="538">
        <v>5478</v>
      </c>
      <c r="L20" s="549">
        <v>2191</v>
      </c>
      <c r="M20" s="387">
        <v>0</v>
      </c>
      <c r="N20" s="742">
        <f t="shared" si="7"/>
        <v>2191</v>
      </c>
      <c r="O20" s="715">
        <f t="shared" si="3"/>
        <v>54.774999999999999</v>
      </c>
      <c r="P20" s="720">
        <f t="shared" si="1"/>
        <v>39.996349032493612</v>
      </c>
      <c r="R20" s="62"/>
    </row>
    <row r="21" spans="1:19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384">
        <v>6500</v>
      </c>
      <c r="J21" s="384">
        <v>6500</v>
      </c>
      <c r="K21" s="538">
        <v>6814</v>
      </c>
      <c r="L21" s="549">
        <v>4294</v>
      </c>
      <c r="M21" s="387">
        <v>0</v>
      </c>
      <c r="N21" s="742">
        <f t="shared" si="7"/>
        <v>4294</v>
      </c>
      <c r="O21" s="715">
        <f t="shared" si="3"/>
        <v>66.061538461538461</v>
      </c>
      <c r="P21" s="720">
        <f t="shared" si="1"/>
        <v>63.017317287936606</v>
      </c>
      <c r="R21" s="62"/>
    </row>
    <row r="22" spans="1:19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384">
        <v>0</v>
      </c>
      <c r="J22" s="384">
        <v>0</v>
      </c>
      <c r="K22" s="538">
        <v>0</v>
      </c>
      <c r="L22" s="550">
        <v>0</v>
      </c>
      <c r="M22" s="385">
        <v>0</v>
      </c>
      <c r="N22" s="742">
        <f t="shared" si="7"/>
        <v>0</v>
      </c>
      <c r="O22" s="715" t="str">
        <f t="shared" si="3"/>
        <v/>
      </c>
      <c r="P22" s="720" t="str">
        <f t="shared" si="1"/>
        <v/>
      </c>
      <c r="R22" s="62"/>
    </row>
    <row r="23" spans="1:19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384">
        <v>5000</v>
      </c>
      <c r="J23" s="384">
        <v>5000</v>
      </c>
      <c r="K23" s="538">
        <v>5779</v>
      </c>
      <c r="L23" s="550">
        <v>4715</v>
      </c>
      <c r="M23" s="385">
        <v>0</v>
      </c>
      <c r="N23" s="742">
        <f t="shared" si="7"/>
        <v>4715</v>
      </c>
      <c r="O23" s="715">
        <f t="shared" si="3"/>
        <v>94.3</v>
      </c>
      <c r="P23" s="720">
        <f t="shared" si="1"/>
        <v>81.588510122858622</v>
      </c>
      <c r="R23" s="62"/>
    </row>
    <row r="24" spans="1:19" ht="12.95" customHeight="1">
      <c r="B24" s="10"/>
      <c r="C24" s="11"/>
      <c r="D24" s="11"/>
      <c r="E24" s="309"/>
      <c r="F24" s="328">
        <v>613800</v>
      </c>
      <c r="G24" s="354"/>
      <c r="H24" s="20" t="s">
        <v>149</v>
      </c>
      <c r="I24" s="384">
        <v>2320</v>
      </c>
      <c r="J24" s="384">
        <v>2320</v>
      </c>
      <c r="K24" s="538">
        <v>2279</v>
      </c>
      <c r="L24" s="550">
        <v>2231</v>
      </c>
      <c r="M24" s="385">
        <v>0</v>
      </c>
      <c r="N24" s="742">
        <f t="shared" si="7"/>
        <v>2231</v>
      </c>
      <c r="O24" s="715">
        <f t="shared" si="3"/>
        <v>96.163793103448285</v>
      </c>
      <c r="P24" s="720">
        <f t="shared" si="1"/>
        <v>97.893813075910487</v>
      </c>
      <c r="R24" s="62"/>
    </row>
    <row r="25" spans="1:19" ht="12.95" customHeight="1">
      <c r="B25" s="10"/>
      <c r="C25" s="11"/>
      <c r="D25" s="11"/>
      <c r="E25" s="309"/>
      <c r="F25" s="328">
        <v>613900</v>
      </c>
      <c r="G25" s="354"/>
      <c r="H25" s="20" t="s">
        <v>150</v>
      </c>
      <c r="I25" s="384">
        <v>213000</v>
      </c>
      <c r="J25" s="384">
        <v>212900</v>
      </c>
      <c r="K25" s="538">
        <v>200560</v>
      </c>
      <c r="L25" s="549">
        <v>200355</v>
      </c>
      <c r="M25" s="387">
        <v>0</v>
      </c>
      <c r="N25" s="742">
        <f t="shared" si="7"/>
        <v>200355</v>
      </c>
      <c r="O25" s="715">
        <f t="shared" si="3"/>
        <v>94.107562235791448</v>
      </c>
      <c r="P25" s="720">
        <f t="shared" si="1"/>
        <v>99.8977861986438</v>
      </c>
      <c r="Q25" s="77"/>
      <c r="R25" s="62"/>
    </row>
    <row r="26" spans="1:19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384">
        <f t="shared" ref="I26:J26" si="8">SUM(G26:H26)</f>
        <v>0</v>
      </c>
      <c r="J26" s="384">
        <f t="shared" si="8"/>
        <v>0</v>
      </c>
      <c r="K26" s="538">
        <v>0</v>
      </c>
      <c r="L26" s="550">
        <v>0</v>
      </c>
      <c r="M26" s="385">
        <v>0</v>
      </c>
      <c r="N26" s="742">
        <f t="shared" si="7"/>
        <v>0</v>
      </c>
      <c r="O26" s="715" t="str">
        <f t="shared" si="3"/>
        <v/>
      </c>
      <c r="P26" s="720" t="str">
        <f t="shared" si="1"/>
        <v/>
      </c>
      <c r="R26" s="62"/>
      <c r="S26" s="55"/>
    </row>
    <row r="27" spans="1:19" ht="8.1" customHeight="1">
      <c r="B27" s="10"/>
      <c r="C27" s="11"/>
      <c r="D27" s="11"/>
      <c r="E27" s="309"/>
      <c r="F27" s="328"/>
      <c r="G27" s="354"/>
      <c r="H27" s="11"/>
      <c r="I27" s="384"/>
      <c r="J27" s="384"/>
      <c r="K27" s="538"/>
      <c r="L27" s="566"/>
      <c r="M27" s="302"/>
      <c r="N27" s="743"/>
      <c r="O27" s="715" t="str">
        <f t="shared" si="3"/>
        <v/>
      </c>
      <c r="P27" s="720" t="str">
        <f t="shared" si="1"/>
        <v/>
      </c>
      <c r="R27" s="62"/>
    </row>
    <row r="28" spans="1:19" ht="12.95" customHeight="1">
      <c r="B28" s="12"/>
      <c r="C28" s="8"/>
      <c r="D28" s="8"/>
      <c r="E28" s="8"/>
      <c r="F28" s="327">
        <v>821000</v>
      </c>
      <c r="G28" s="353"/>
      <c r="H28" s="8" t="s">
        <v>89</v>
      </c>
      <c r="I28" s="381">
        <f t="shared" ref="I28:J28" si="9">SUM(I29:I30)</f>
        <v>3000</v>
      </c>
      <c r="J28" s="381">
        <f t="shared" si="9"/>
        <v>3000</v>
      </c>
      <c r="K28" s="537">
        <f>SUM(K29:K30)</f>
        <v>5973</v>
      </c>
      <c r="L28" s="568">
        <f>SUM(L29:L30)</f>
        <v>2982</v>
      </c>
      <c r="M28" s="311">
        <f>SUM(M29:M30)</f>
        <v>0</v>
      </c>
      <c r="N28" s="732">
        <f>SUM(N29:N30)</f>
        <v>2982</v>
      </c>
      <c r="O28" s="714">
        <f t="shared" si="3"/>
        <v>99.4</v>
      </c>
      <c r="P28" s="719">
        <f t="shared" si="1"/>
        <v>49.924660974384736</v>
      </c>
      <c r="R28" s="62"/>
    </row>
    <row r="29" spans="1:19" s="1" customFormat="1" ht="12.95" customHeight="1">
      <c r="A29" s="304"/>
      <c r="B29" s="10"/>
      <c r="C29" s="11"/>
      <c r="D29" s="11"/>
      <c r="E29" s="309"/>
      <c r="F29" s="328">
        <v>821200</v>
      </c>
      <c r="G29" s="354"/>
      <c r="H29" s="11" t="s">
        <v>90</v>
      </c>
      <c r="I29" s="384">
        <v>1000</v>
      </c>
      <c r="J29" s="384">
        <v>1000</v>
      </c>
      <c r="K29" s="538">
        <v>977</v>
      </c>
      <c r="L29" s="569">
        <v>996</v>
      </c>
      <c r="M29" s="303">
        <v>0</v>
      </c>
      <c r="N29" s="742">
        <f t="shared" ref="N29:N30" si="10">SUM(L29:M29)</f>
        <v>996</v>
      </c>
      <c r="O29" s="715">
        <f t="shared" si="3"/>
        <v>99.6</v>
      </c>
      <c r="P29" s="720">
        <f t="shared" si="1"/>
        <v>101.94472876151484</v>
      </c>
      <c r="R29" s="62"/>
    </row>
    <row r="30" spans="1:19" ht="12.95" customHeight="1">
      <c r="B30" s="10"/>
      <c r="C30" s="11"/>
      <c r="D30" s="11"/>
      <c r="E30" s="309"/>
      <c r="F30" s="328">
        <v>821300</v>
      </c>
      <c r="G30" s="354"/>
      <c r="H30" s="11" t="s">
        <v>91</v>
      </c>
      <c r="I30" s="384">
        <v>2000</v>
      </c>
      <c r="J30" s="384">
        <v>2000</v>
      </c>
      <c r="K30" s="538">
        <v>4996</v>
      </c>
      <c r="L30" s="569">
        <v>1986</v>
      </c>
      <c r="M30" s="303">
        <v>0</v>
      </c>
      <c r="N30" s="742">
        <f t="shared" si="10"/>
        <v>1986</v>
      </c>
      <c r="O30" s="715">
        <f t="shared" si="3"/>
        <v>99.3</v>
      </c>
      <c r="P30" s="720">
        <f t="shared" si="1"/>
        <v>39.751801441152921</v>
      </c>
      <c r="Q30" s="55"/>
      <c r="R30" s="62"/>
    </row>
    <row r="31" spans="1:19" ht="8.1" customHeight="1">
      <c r="B31" s="10"/>
      <c r="C31" s="11"/>
      <c r="D31" s="11"/>
      <c r="E31" s="309"/>
      <c r="F31" s="328"/>
      <c r="G31" s="354"/>
      <c r="H31" s="11"/>
      <c r="I31" s="384"/>
      <c r="J31" s="384"/>
      <c r="K31" s="538"/>
      <c r="L31" s="566"/>
      <c r="M31" s="302"/>
      <c r="N31" s="743"/>
      <c r="O31" s="715" t="str">
        <f t="shared" si="3"/>
        <v/>
      </c>
      <c r="P31" s="720" t="str">
        <f t="shared" si="1"/>
        <v/>
      </c>
      <c r="R31" s="62"/>
    </row>
    <row r="32" spans="1:19" ht="12.95" customHeight="1">
      <c r="B32" s="12"/>
      <c r="C32" s="8"/>
      <c r="D32" s="8"/>
      <c r="E32" s="8"/>
      <c r="F32" s="327"/>
      <c r="G32" s="353"/>
      <c r="H32" s="8" t="s">
        <v>92</v>
      </c>
      <c r="I32" s="536">
        <v>22</v>
      </c>
      <c r="J32" s="536"/>
      <c r="K32" s="539">
        <v>21</v>
      </c>
      <c r="L32" s="570">
        <v>22</v>
      </c>
      <c r="M32" s="320"/>
      <c r="N32" s="744">
        <v>22</v>
      </c>
      <c r="O32" s="715"/>
      <c r="P32" s="720"/>
      <c r="R32" s="62"/>
    </row>
    <row r="33" spans="1:18" s="1" customFormat="1" ht="12.95" customHeight="1">
      <c r="A33" s="304"/>
      <c r="B33" s="12"/>
      <c r="C33" s="8"/>
      <c r="D33" s="8"/>
      <c r="E33" s="8"/>
      <c r="F33" s="327"/>
      <c r="G33" s="353"/>
      <c r="H33" s="8" t="s">
        <v>110</v>
      </c>
      <c r="I33" s="15">
        <f t="shared" ref="I33:N33" si="11">I8+I13+I16+I28</f>
        <v>845450</v>
      </c>
      <c r="J33" s="15">
        <f t="shared" si="11"/>
        <v>844450</v>
      </c>
      <c r="K33" s="561">
        <f t="shared" si="11"/>
        <v>867470</v>
      </c>
      <c r="L33" s="568">
        <f t="shared" si="11"/>
        <v>824825</v>
      </c>
      <c r="M33" s="311">
        <f t="shared" si="11"/>
        <v>0</v>
      </c>
      <c r="N33" s="732">
        <f t="shared" si="11"/>
        <v>824825</v>
      </c>
      <c r="O33" s="714">
        <f t="shared" si="3"/>
        <v>97.676002131564914</v>
      </c>
      <c r="P33" s="719">
        <f t="shared" si="1"/>
        <v>95.083979849447246</v>
      </c>
      <c r="R33" s="62"/>
    </row>
    <row r="34" spans="1:18" s="1" customFormat="1" ht="12.95" customHeight="1">
      <c r="A34" s="304"/>
      <c r="B34" s="12"/>
      <c r="C34" s="8"/>
      <c r="D34" s="8"/>
      <c r="E34" s="8"/>
      <c r="F34" s="327"/>
      <c r="G34" s="353"/>
      <c r="H34" s="8" t="s">
        <v>93</v>
      </c>
      <c r="I34" s="15">
        <f>I33</f>
        <v>845450</v>
      </c>
      <c r="J34" s="311">
        <f t="shared" ref="J34:L35" si="12">J33</f>
        <v>844450</v>
      </c>
      <c r="K34" s="561">
        <f t="shared" si="12"/>
        <v>867470</v>
      </c>
      <c r="L34" s="568">
        <f t="shared" si="12"/>
        <v>824825</v>
      </c>
      <c r="M34" s="311">
        <f>M33</f>
        <v>0</v>
      </c>
      <c r="N34" s="732">
        <f>N33</f>
        <v>824825</v>
      </c>
      <c r="O34" s="715">
        <f>IF(J34=0,"",N34/J34*100)</f>
        <v>97.676002131564914</v>
      </c>
      <c r="P34" s="720">
        <f t="shared" si="1"/>
        <v>95.083979849447246</v>
      </c>
    </row>
    <row r="35" spans="1:18" s="1" customFormat="1" ht="12.95" customHeight="1">
      <c r="A35" s="304"/>
      <c r="B35" s="12"/>
      <c r="C35" s="8"/>
      <c r="D35" s="8"/>
      <c r="E35" s="8"/>
      <c r="F35" s="327"/>
      <c r="G35" s="353"/>
      <c r="H35" s="8" t="s">
        <v>94</v>
      </c>
      <c r="I35" s="15">
        <f>I34</f>
        <v>845450</v>
      </c>
      <c r="J35" s="311">
        <f t="shared" si="12"/>
        <v>844450</v>
      </c>
      <c r="K35" s="561">
        <f t="shared" si="12"/>
        <v>867470</v>
      </c>
      <c r="L35" s="568">
        <f t="shared" si="12"/>
        <v>824825</v>
      </c>
      <c r="M35" s="311">
        <f>M34</f>
        <v>0</v>
      </c>
      <c r="N35" s="732">
        <f>N34</f>
        <v>824825</v>
      </c>
      <c r="O35" s="715">
        <f t="shared" si="3"/>
        <v>97.676002131564914</v>
      </c>
      <c r="P35" s="720">
        <f t="shared" si="1"/>
        <v>95.083979849447246</v>
      </c>
    </row>
    <row r="36" spans="1:18" s="1" customFormat="1" ht="8.1" customHeight="1" thickBot="1">
      <c r="A36" s="304"/>
      <c r="B36" s="16"/>
      <c r="C36" s="17"/>
      <c r="D36" s="17"/>
      <c r="E36" s="17"/>
      <c r="F36" s="329"/>
      <c r="G36" s="355"/>
      <c r="H36" s="17"/>
      <c r="I36" s="32"/>
      <c r="J36" s="32"/>
      <c r="K36" s="562"/>
      <c r="L36" s="571"/>
      <c r="M36" s="32"/>
      <c r="N36" s="745"/>
      <c r="O36" s="716"/>
      <c r="P36" s="721"/>
    </row>
    <row r="37" spans="1:18" ht="12.95" customHeight="1">
      <c r="F37" s="330"/>
      <c r="G37" s="356"/>
      <c r="N37" s="409"/>
    </row>
    <row r="38" spans="1:18" ht="12.95" customHeight="1">
      <c r="B38" s="55"/>
      <c r="F38" s="330"/>
      <c r="G38" s="356"/>
      <c r="N38" s="409"/>
    </row>
    <row r="39" spans="1:18" ht="12.95" customHeight="1">
      <c r="F39" s="330"/>
      <c r="G39" s="356"/>
      <c r="N39" s="409"/>
    </row>
    <row r="40" spans="1:18" ht="12.95" customHeight="1">
      <c r="F40" s="330"/>
      <c r="G40" s="356"/>
      <c r="N40" s="409"/>
    </row>
    <row r="41" spans="1:18" ht="12.95" customHeight="1">
      <c r="F41" s="330"/>
      <c r="G41" s="356"/>
      <c r="N41" s="409"/>
    </row>
    <row r="42" spans="1:18" ht="12.95" customHeight="1">
      <c r="F42" s="330"/>
      <c r="G42" s="356"/>
      <c r="N42" s="409"/>
    </row>
    <row r="43" spans="1:18" ht="12.95" customHeight="1">
      <c r="F43" s="330"/>
      <c r="G43" s="356"/>
      <c r="N43" s="409"/>
    </row>
    <row r="44" spans="1:18" ht="12.95" customHeight="1">
      <c r="F44" s="330"/>
      <c r="G44" s="356"/>
      <c r="N44" s="409"/>
    </row>
    <row r="45" spans="1:18" ht="12.95" customHeight="1">
      <c r="F45" s="330"/>
      <c r="G45" s="356"/>
      <c r="N45" s="409"/>
    </row>
    <row r="46" spans="1:18" ht="12.95" customHeight="1">
      <c r="F46" s="330"/>
      <c r="G46" s="356"/>
      <c r="N46" s="409"/>
    </row>
    <row r="47" spans="1:18" ht="12.95" customHeight="1">
      <c r="F47" s="330"/>
      <c r="G47" s="356"/>
      <c r="N47" s="409"/>
    </row>
    <row r="48" spans="1:18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O4:O5"/>
    <mergeCell ref="H4:H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95"/>
  <sheetViews>
    <sheetView topLeftCell="A7" zoomScaleNormal="100" workbookViewId="0">
      <selection activeCell="P52" sqref="P52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8" ht="13.5" thickBot="1"/>
    <row r="2" spans="1:18" s="109" customFormat="1" ht="20.100000000000001" customHeight="1" thickTop="1" thickBot="1">
      <c r="A2" s="403"/>
      <c r="B2" s="906" t="s">
        <v>114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  <c r="R2" s="403"/>
    </row>
    <row r="3" spans="1:18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8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3" t="s">
        <v>869</v>
      </c>
      <c r="L4" s="910" t="s">
        <v>868</v>
      </c>
      <c r="M4" s="911"/>
      <c r="N4" s="912"/>
      <c r="O4" s="925" t="s">
        <v>871</v>
      </c>
      <c r="P4" s="904" t="s">
        <v>870</v>
      </c>
    </row>
    <row r="5" spans="1:18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05"/>
      <c r="L5" s="573" t="s">
        <v>580</v>
      </c>
      <c r="M5" s="399" t="s">
        <v>581</v>
      </c>
      <c r="N5" s="724" t="s">
        <v>336</v>
      </c>
      <c r="O5" s="926"/>
      <c r="P5" s="905"/>
    </row>
    <row r="6" spans="1:18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43">
        <v>10</v>
      </c>
      <c r="L6" s="506">
        <v>11</v>
      </c>
      <c r="M6" s="353">
        <v>12</v>
      </c>
      <c r="N6" s="725" t="s">
        <v>781</v>
      </c>
      <c r="O6" s="698">
        <v>14</v>
      </c>
      <c r="P6" s="543">
        <v>15</v>
      </c>
    </row>
    <row r="7" spans="1:18" s="2" customFormat="1" ht="12.95" customHeight="1">
      <c r="A7" s="305"/>
      <c r="B7" s="6" t="s">
        <v>115</v>
      </c>
      <c r="C7" s="7" t="s">
        <v>80</v>
      </c>
      <c r="D7" s="7" t="s">
        <v>81</v>
      </c>
      <c r="E7" s="653" t="s">
        <v>780</v>
      </c>
      <c r="F7" s="5"/>
      <c r="G7" s="306"/>
      <c r="H7" s="5"/>
      <c r="I7" s="96"/>
      <c r="J7" s="96"/>
      <c r="K7" s="544"/>
      <c r="L7" s="4"/>
      <c r="M7" s="321"/>
      <c r="N7" s="726"/>
      <c r="O7" s="713"/>
      <c r="P7" s="718"/>
    </row>
    <row r="8" spans="1:18" s="2" customFormat="1" ht="12.95" customHeight="1">
      <c r="A8" s="305"/>
      <c r="B8" s="6"/>
      <c r="C8" s="7"/>
      <c r="D8" s="7"/>
      <c r="E8" s="7"/>
      <c r="F8" s="327">
        <v>600000</v>
      </c>
      <c r="G8" s="353"/>
      <c r="H8" s="21" t="s">
        <v>116</v>
      </c>
      <c r="I8" s="294">
        <f>I9+I10+I11</f>
        <v>536000</v>
      </c>
      <c r="J8" s="294">
        <f>J9+J10+J11</f>
        <v>536000</v>
      </c>
      <c r="K8" s="545">
        <f>SUM(K9:K11)</f>
        <v>594613</v>
      </c>
      <c r="L8" s="570">
        <f t="shared" ref="L8" si="0">L9+L10+L11</f>
        <v>534291</v>
      </c>
      <c r="M8" s="294">
        <f>M9+M10+M11</f>
        <v>0</v>
      </c>
      <c r="N8" s="727">
        <f>N9+N10+N11</f>
        <v>534291</v>
      </c>
      <c r="O8" s="714">
        <f>IF(J8=0,"",N8/J8*100)</f>
        <v>99.681156716417902</v>
      </c>
      <c r="P8" s="719">
        <f>IF(K8=0,"",N8/K8*100)</f>
        <v>89.855250389749301</v>
      </c>
    </row>
    <row r="9" spans="1:18" s="2" customFormat="1" ht="12.95" customHeight="1">
      <c r="A9" s="305"/>
      <c r="B9" s="6"/>
      <c r="C9" s="7"/>
      <c r="D9" s="7"/>
      <c r="E9" s="7"/>
      <c r="F9" s="328">
        <v>600000</v>
      </c>
      <c r="G9" s="354"/>
      <c r="H9" s="40" t="s">
        <v>96</v>
      </c>
      <c r="I9" s="293">
        <v>500000</v>
      </c>
      <c r="J9" s="293">
        <v>500000</v>
      </c>
      <c r="K9" s="540">
        <v>549813</v>
      </c>
      <c r="L9" s="569">
        <v>498391</v>
      </c>
      <c r="M9" s="293">
        <v>0</v>
      </c>
      <c r="N9" s="728">
        <f t="shared" ref="N9:N11" si="1">SUM(L9:M9)</f>
        <v>498391</v>
      </c>
      <c r="O9" s="715">
        <f>IF(J9=0,"",N9/J9*100)</f>
        <v>99.67819999999999</v>
      </c>
      <c r="P9" s="720">
        <f t="shared" ref="P9:P55" si="2">IF(K9=0,"",N9/K9*100)</f>
        <v>90.64736555883546</v>
      </c>
    </row>
    <row r="10" spans="1:18" s="2" customFormat="1" ht="12.95" customHeight="1">
      <c r="A10" s="305"/>
      <c r="B10" s="6"/>
      <c r="C10" s="7"/>
      <c r="D10" s="7"/>
      <c r="E10" s="7"/>
      <c r="F10" s="328">
        <v>600000</v>
      </c>
      <c r="G10" s="354"/>
      <c r="H10" s="40" t="s">
        <v>97</v>
      </c>
      <c r="I10" s="293">
        <v>24000</v>
      </c>
      <c r="J10" s="293">
        <v>24000</v>
      </c>
      <c r="K10" s="540">
        <v>29900</v>
      </c>
      <c r="L10" s="569">
        <v>24000</v>
      </c>
      <c r="M10" s="293">
        <v>0</v>
      </c>
      <c r="N10" s="728">
        <f t="shared" si="1"/>
        <v>24000</v>
      </c>
      <c r="O10" s="715">
        <f t="shared" ref="O10:O33" si="3">IF(J10=0,"",N10/J10*100)</f>
        <v>100</v>
      </c>
      <c r="P10" s="720">
        <f t="shared" si="2"/>
        <v>80.267558528428097</v>
      </c>
    </row>
    <row r="11" spans="1:18" s="2" customFormat="1" ht="12.95" customHeight="1">
      <c r="A11" s="305"/>
      <c r="B11" s="6"/>
      <c r="C11" s="7"/>
      <c r="D11" s="7"/>
      <c r="E11" s="7"/>
      <c r="F11" s="328">
        <v>600000</v>
      </c>
      <c r="G11" s="354"/>
      <c r="H11" s="40" t="s">
        <v>117</v>
      </c>
      <c r="I11" s="293">
        <v>12000</v>
      </c>
      <c r="J11" s="293">
        <v>12000</v>
      </c>
      <c r="K11" s="540">
        <v>14900</v>
      </c>
      <c r="L11" s="569">
        <v>11900</v>
      </c>
      <c r="M11" s="293">
        <v>0</v>
      </c>
      <c r="N11" s="728">
        <f t="shared" si="1"/>
        <v>11900</v>
      </c>
      <c r="O11" s="715">
        <f t="shared" si="3"/>
        <v>99.166666666666671</v>
      </c>
      <c r="P11" s="720">
        <f t="shared" si="2"/>
        <v>79.865771812080538</v>
      </c>
    </row>
    <row r="12" spans="1:18" s="2" customFormat="1" ht="8.1" customHeight="1">
      <c r="A12" s="305"/>
      <c r="B12" s="6"/>
      <c r="C12" s="7"/>
      <c r="D12" s="7"/>
      <c r="E12" s="7"/>
      <c r="F12" s="327"/>
      <c r="G12" s="354"/>
      <c r="H12" s="5"/>
      <c r="I12" s="295"/>
      <c r="J12" s="295"/>
      <c r="K12" s="541"/>
      <c r="L12" s="568"/>
      <c r="M12" s="295"/>
      <c r="N12" s="729"/>
      <c r="O12" s="715" t="str">
        <f t="shared" si="3"/>
        <v/>
      </c>
      <c r="P12" s="720" t="str">
        <f t="shared" si="2"/>
        <v/>
      </c>
    </row>
    <row r="13" spans="1:18" s="1" customFormat="1" ht="12.95" customHeight="1">
      <c r="A13" s="304"/>
      <c r="B13" s="12"/>
      <c r="C13" s="8"/>
      <c r="D13" s="8"/>
      <c r="E13" s="8"/>
      <c r="F13" s="327">
        <v>611000</v>
      </c>
      <c r="G13" s="353"/>
      <c r="H13" s="8" t="s">
        <v>146</v>
      </c>
      <c r="I13" s="237">
        <f>SUM(I14:I17)</f>
        <v>203540</v>
      </c>
      <c r="J13" s="237">
        <f>SUM(J14:J17)</f>
        <v>203190</v>
      </c>
      <c r="K13" s="541">
        <f>SUM(K14:K16)</f>
        <v>217108</v>
      </c>
      <c r="L13" s="564">
        <f t="shared" ref="L13" si="4">SUM(L14:L17)</f>
        <v>201336</v>
      </c>
      <c r="M13" s="237">
        <f>SUM(M14:M17)</f>
        <v>0</v>
      </c>
      <c r="N13" s="730">
        <f>SUM(N14:N17)</f>
        <v>201336</v>
      </c>
      <c r="O13" s="714">
        <f t="shared" si="3"/>
        <v>99.087553521334712</v>
      </c>
      <c r="P13" s="719">
        <f t="shared" si="2"/>
        <v>92.735412789947858</v>
      </c>
    </row>
    <row r="14" spans="1:18" ht="12.95" customHeight="1">
      <c r="B14" s="10"/>
      <c r="C14" s="11"/>
      <c r="D14" s="11"/>
      <c r="E14" s="309"/>
      <c r="F14" s="328">
        <v>611100</v>
      </c>
      <c r="G14" s="354"/>
      <c r="H14" s="20" t="s">
        <v>169</v>
      </c>
      <c r="I14" s="234">
        <v>137510</v>
      </c>
      <c r="J14" s="234">
        <v>137640</v>
      </c>
      <c r="K14" s="540">
        <v>127711</v>
      </c>
      <c r="L14" s="565">
        <v>137637</v>
      </c>
      <c r="M14" s="234">
        <v>0</v>
      </c>
      <c r="N14" s="728">
        <f t="shared" ref="N14:N16" si="5">SUM(L14:M14)</f>
        <v>137637</v>
      </c>
      <c r="O14" s="715">
        <f t="shared" si="3"/>
        <v>99.997820401046212</v>
      </c>
      <c r="P14" s="720">
        <f t="shared" si="2"/>
        <v>107.77223575103163</v>
      </c>
    </row>
    <row r="15" spans="1:18" ht="12.95" customHeight="1">
      <c r="B15" s="10"/>
      <c r="C15" s="11"/>
      <c r="D15" s="11"/>
      <c r="E15" s="309"/>
      <c r="F15" s="328">
        <v>611200</v>
      </c>
      <c r="G15" s="354"/>
      <c r="H15" s="11" t="s">
        <v>170</v>
      </c>
      <c r="I15" s="234">
        <v>22730</v>
      </c>
      <c r="J15" s="234">
        <v>22250</v>
      </c>
      <c r="K15" s="540">
        <v>27021</v>
      </c>
      <c r="L15" s="565">
        <v>21270</v>
      </c>
      <c r="M15" s="234">
        <v>0</v>
      </c>
      <c r="N15" s="728">
        <f t="shared" si="5"/>
        <v>21270</v>
      </c>
      <c r="O15" s="715">
        <f t="shared" si="3"/>
        <v>95.595505617977523</v>
      </c>
      <c r="P15" s="720">
        <f t="shared" si="2"/>
        <v>78.7165537914955</v>
      </c>
    </row>
    <row r="16" spans="1:18" ht="12.95" customHeight="1">
      <c r="B16" s="10"/>
      <c r="C16" s="11"/>
      <c r="D16" s="11"/>
      <c r="E16" s="309"/>
      <c r="F16" s="328">
        <v>611200</v>
      </c>
      <c r="G16" s="354" t="s">
        <v>536</v>
      </c>
      <c r="H16" s="378" t="s">
        <v>889</v>
      </c>
      <c r="I16" s="234">
        <v>43300</v>
      </c>
      <c r="J16" s="234">
        <v>43300</v>
      </c>
      <c r="K16" s="540">
        <v>62376</v>
      </c>
      <c r="L16" s="565">
        <v>42429</v>
      </c>
      <c r="M16" s="234">
        <v>0</v>
      </c>
      <c r="N16" s="728">
        <f t="shared" si="5"/>
        <v>42429</v>
      </c>
      <c r="O16" s="715">
        <f t="shared" si="3"/>
        <v>97.988452655889148</v>
      </c>
      <c r="P16" s="720">
        <f t="shared" si="2"/>
        <v>68.021354367064262</v>
      </c>
      <c r="R16" s="62"/>
    </row>
    <row r="17" spans="1:17" ht="8.1" customHeight="1">
      <c r="B17" s="10"/>
      <c r="C17" s="11"/>
      <c r="D17" s="11"/>
      <c r="E17" s="309"/>
      <c r="F17" s="328"/>
      <c r="G17" s="354"/>
      <c r="H17" s="20"/>
      <c r="I17" s="237"/>
      <c r="J17" s="237"/>
      <c r="K17" s="541"/>
      <c r="L17" s="564"/>
      <c r="M17" s="237"/>
      <c r="N17" s="730"/>
      <c r="O17" s="715" t="str">
        <f t="shared" si="3"/>
        <v/>
      </c>
      <c r="P17" s="720" t="str">
        <f t="shared" si="2"/>
        <v/>
      </c>
    </row>
    <row r="18" spans="1:17" s="1" customFormat="1" ht="12.95" customHeight="1">
      <c r="A18" s="304"/>
      <c r="B18" s="12"/>
      <c r="C18" s="8"/>
      <c r="D18" s="8"/>
      <c r="E18" s="8"/>
      <c r="F18" s="327">
        <v>612000</v>
      </c>
      <c r="G18" s="354"/>
      <c r="H18" s="8" t="s">
        <v>145</v>
      </c>
      <c r="I18" s="237">
        <f>I19+I20</f>
        <v>14980</v>
      </c>
      <c r="J18" s="237">
        <f>J19+J20</f>
        <v>14980</v>
      </c>
      <c r="K18" s="541">
        <f>K19</f>
        <v>13514</v>
      </c>
      <c r="L18" s="564">
        <f t="shared" ref="L18" si="6">L19+L20</f>
        <v>14940</v>
      </c>
      <c r="M18" s="237">
        <f>M19+M20</f>
        <v>0</v>
      </c>
      <c r="N18" s="730">
        <f>N19+N20</f>
        <v>14940</v>
      </c>
      <c r="O18" s="714">
        <f t="shared" si="3"/>
        <v>99.732977303070754</v>
      </c>
      <c r="P18" s="719">
        <f t="shared" si="2"/>
        <v>110.55202012727541</v>
      </c>
    </row>
    <row r="19" spans="1:17" ht="12.95" customHeight="1">
      <c r="B19" s="10"/>
      <c r="C19" s="11"/>
      <c r="D19" s="11"/>
      <c r="E19" s="309"/>
      <c r="F19" s="328">
        <v>612100</v>
      </c>
      <c r="G19" s="354"/>
      <c r="H19" s="13" t="s">
        <v>82</v>
      </c>
      <c r="I19" s="234">
        <v>14980</v>
      </c>
      <c r="J19" s="234">
        <v>14980</v>
      </c>
      <c r="K19" s="540">
        <v>13514</v>
      </c>
      <c r="L19" s="565">
        <v>14940</v>
      </c>
      <c r="M19" s="234">
        <v>0</v>
      </c>
      <c r="N19" s="728">
        <f>SUM(L19:M19)</f>
        <v>14940</v>
      </c>
      <c r="O19" s="715">
        <f t="shared" si="3"/>
        <v>99.732977303070754</v>
      </c>
      <c r="P19" s="720">
        <f t="shared" si="2"/>
        <v>110.55202012727541</v>
      </c>
    </row>
    <row r="20" spans="1:17" ht="8.1" customHeight="1">
      <c r="B20" s="10"/>
      <c r="C20" s="11"/>
      <c r="D20" s="11"/>
      <c r="E20" s="309"/>
      <c r="F20" s="328"/>
      <c r="G20" s="354"/>
      <c r="H20" s="11"/>
      <c r="I20" s="290"/>
      <c r="J20" s="290"/>
      <c r="K20" s="540"/>
      <c r="L20" s="566"/>
      <c r="M20" s="290"/>
      <c r="N20" s="728"/>
      <c r="O20" s="715" t="str">
        <f t="shared" si="3"/>
        <v/>
      </c>
      <c r="P20" s="720" t="str">
        <f t="shared" si="2"/>
        <v/>
      </c>
    </row>
    <row r="21" spans="1:17" s="1" customFormat="1" ht="12.95" customHeight="1">
      <c r="A21" s="304"/>
      <c r="B21" s="12"/>
      <c r="C21" s="8"/>
      <c r="D21" s="8"/>
      <c r="E21" s="8"/>
      <c r="F21" s="327">
        <v>613000</v>
      </c>
      <c r="G21" s="354"/>
      <c r="H21" s="8" t="s">
        <v>147</v>
      </c>
      <c r="I21" s="291">
        <f>SUM(I22:I32)</f>
        <v>196010</v>
      </c>
      <c r="J21" s="291">
        <f>SUM(J22:J32)</f>
        <v>177160</v>
      </c>
      <c r="K21" s="541">
        <f>SUM(K22:K32)</f>
        <v>277748</v>
      </c>
      <c r="L21" s="567">
        <f t="shared" ref="L21" si="7">SUM(L22:L32)</f>
        <v>166722</v>
      </c>
      <c r="M21" s="291">
        <f>SUM(M22:M32)</f>
        <v>0</v>
      </c>
      <c r="N21" s="729">
        <f>SUM(N22:N32)</f>
        <v>166722</v>
      </c>
      <c r="O21" s="714">
        <f t="shared" si="3"/>
        <v>94.108150824113807</v>
      </c>
      <c r="P21" s="719">
        <f t="shared" si="2"/>
        <v>60.026354825237263</v>
      </c>
    </row>
    <row r="22" spans="1:17" ht="12.95" customHeight="1">
      <c r="B22" s="10"/>
      <c r="C22" s="11"/>
      <c r="D22" s="11"/>
      <c r="E22" s="309"/>
      <c r="F22" s="328">
        <v>613100</v>
      </c>
      <c r="G22" s="354"/>
      <c r="H22" s="11" t="s">
        <v>83</v>
      </c>
      <c r="I22" s="290">
        <v>6000</v>
      </c>
      <c r="J22" s="290">
        <v>6000</v>
      </c>
      <c r="K22" s="540">
        <v>11520</v>
      </c>
      <c r="L22" s="566">
        <v>4469</v>
      </c>
      <c r="M22" s="290">
        <v>0</v>
      </c>
      <c r="N22" s="728">
        <f t="shared" ref="N22:N32" si="8">SUM(L22:M22)</f>
        <v>4469</v>
      </c>
      <c r="O22" s="715">
        <f t="shared" si="3"/>
        <v>74.483333333333334</v>
      </c>
      <c r="P22" s="720">
        <f t="shared" si="2"/>
        <v>38.793402777777779</v>
      </c>
    </row>
    <row r="23" spans="1:17" ht="12.95" customHeight="1">
      <c r="B23" s="10"/>
      <c r="C23" s="11"/>
      <c r="D23" s="11"/>
      <c r="E23" s="309"/>
      <c r="F23" s="328">
        <v>613200</v>
      </c>
      <c r="G23" s="354"/>
      <c r="H23" s="11" t="s">
        <v>84</v>
      </c>
      <c r="I23" s="290">
        <v>0</v>
      </c>
      <c r="J23" s="290">
        <v>0</v>
      </c>
      <c r="K23" s="540">
        <v>0</v>
      </c>
      <c r="L23" s="566">
        <v>0</v>
      </c>
      <c r="M23" s="290">
        <v>0</v>
      </c>
      <c r="N23" s="728">
        <f t="shared" si="8"/>
        <v>0</v>
      </c>
      <c r="O23" s="715" t="str">
        <f t="shared" si="3"/>
        <v/>
      </c>
      <c r="P23" s="720" t="str">
        <f t="shared" si="2"/>
        <v/>
      </c>
    </row>
    <row r="24" spans="1:17" ht="12.95" customHeight="1">
      <c r="B24" s="10"/>
      <c r="C24" s="11"/>
      <c r="D24" s="11"/>
      <c r="E24" s="309"/>
      <c r="F24" s="328">
        <v>613300</v>
      </c>
      <c r="G24" s="354"/>
      <c r="H24" s="20" t="s">
        <v>171</v>
      </c>
      <c r="I24" s="290">
        <v>5200</v>
      </c>
      <c r="J24" s="290">
        <v>5200</v>
      </c>
      <c r="K24" s="540">
        <v>3915</v>
      </c>
      <c r="L24" s="566">
        <v>3515</v>
      </c>
      <c r="M24" s="290">
        <v>0</v>
      </c>
      <c r="N24" s="728">
        <f t="shared" si="8"/>
        <v>3515</v>
      </c>
      <c r="O24" s="715">
        <f t="shared" si="3"/>
        <v>67.596153846153854</v>
      </c>
      <c r="P24" s="720">
        <f t="shared" si="2"/>
        <v>89.782886334610467</v>
      </c>
    </row>
    <row r="25" spans="1:17" ht="12.95" customHeight="1">
      <c r="B25" s="10"/>
      <c r="C25" s="11"/>
      <c r="D25" s="11"/>
      <c r="E25" s="309"/>
      <c r="F25" s="328">
        <v>613400</v>
      </c>
      <c r="G25" s="354"/>
      <c r="H25" s="11" t="s">
        <v>148</v>
      </c>
      <c r="I25" s="290">
        <v>1200</v>
      </c>
      <c r="J25" s="290">
        <v>1200</v>
      </c>
      <c r="K25" s="540">
        <v>275</v>
      </c>
      <c r="L25" s="566">
        <v>18</v>
      </c>
      <c r="M25" s="290">
        <v>0</v>
      </c>
      <c r="N25" s="728">
        <f t="shared" si="8"/>
        <v>18</v>
      </c>
      <c r="O25" s="715">
        <f t="shared" si="3"/>
        <v>1.5</v>
      </c>
      <c r="P25" s="720">
        <f t="shared" si="2"/>
        <v>6.5454545454545459</v>
      </c>
    </row>
    <row r="26" spans="1:17" ht="12.95" customHeight="1">
      <c r="B26" s="10"/>
      <c r="C26" s="11"/>
      <c r="D26" s="11"/>
      <c r="E26" s="309"/>
      <c r="F26" s="328">
        <v>613500</v>
      </c>
      <c r="G26" s="354"/>
      <c r="H26" s="11" t="s">
        <v>85</v>
      </c>
      <c r="I26" s="292">
        <v>1500</v>
      </c>
      <c r="J26" s="292">
        <v>1500</v>
      </c>
      <c r="K26" s="540">
        <v>346</v>
      </c>
      <c r="L26" s="607">
        <v>413</v>
      </c>
      <c r="M26" s="292">
        <v>0</v>
      </c>
      <c r="N26" s="728">
        <f t="shared" si="8"/>
        <v>413</v>
      </c>
      <c r="O26" s="715">
        <f t="shared" si="3"/>
        <v>27.533333333333331</v>
      </c>
      <c r="P26" s="720">
        <f t="shared" si="2"/>
        <v>119.364161849711</v>
      </c>
    </row>
    <row r="27" spans="1:17" ht="12.95" customHeight="1">
      <c r="B27" s="10"/>
      <c r="C27" s="11"/>
      <c r="D27" s="11"/>
      <c r="E27" s="309"/>
      <c r="F27" s="328">
        <v>613600</v>
      </c>
      <c r="G27" s="354"/>
      <c r="H27" s="20" t="s">
        <v>172</v>
      </c>
      <c r="I27" s="290">
        <v>1200</v>
      </c>
      <c r="J27" s="290">
        <v>1200</v>
      </c>
      <c r="K27" s="540">
        <v>0</v>
      </c>
      <c r="L27" s="566">
        <v>250</v>
      </c>
      <c r="M27" s="290">
        <v>0</v>
      </c>
      <c r="N27" s="728">
        <f t="shared" si="8"/>
        <v>250</v>
      </c>
      <c r="O27" s="715">
        <f t="shared" si="3"/>
        <v>20.833333333333336</v>
      </c>
      <c r="P27" s="720" t="str">
        <f t="shared" si="2"/>
        <v/>
      </c>
    </row>
    <row r="28" spans="1:17" ht="12.95" customHeight="1">
      <c r="B28" s="10"/>
      <c r="C28" s="11"/>
      <c r="D28" s="11"/>
      <c r="E28" s="309"/>
      <c r="F28" s="328">
        <v>613700</v>
      </c>
      <c r="G28" s="354"/>
      <c r="H28" s="11" t="s">
        <v>86</v>
      </c>
      <c r="I28" s="290">
        <v>4000</v>
      </c>
      <c r="J28" s="290">
        <v>4000</v>
      </c>
      <c r="K28" s="540">
        <v>1428</v>
      </c>
      <c r="L28" s="566">
        <v>2218</v>
      </c>
      <c r="M28" s="290">
        <v>0</v>
      </c>
      <c r="N28" s="728">
        <f t="shared" si="8"/>
        <v>2218</v>
      </c>
      <c r="O28" s="715">
        <f t="shared" si="3"/>
        <v>55.45</v>
      </c>
      <c r="P28" s="720">
        <f t="shared" si="2"/>
        <v>155.32212885154061</v>
      </c>
    </row>
    <row r="29" spans="1:17" ht="12.95" customHeight="1">
      <c r="B29" s="10"/>
      <c r="C29" s="11"/>
      <c r="D29" s="11"/>
      <c r="E29" s="309"/>
      <c r="F29" s="328">
        <v>613800</v>
      </c>
      <c r="G29" s="354"/>
      <c r="H29" s="11" t="s">
        <v>149</v>
      </c>
      <c r="I29" s="293">
        <v>2500</v>
      </c>
      <c r="J29" s="293">
        <v>2500</v>
      </c>
      <c r="K29" s="540">
        <v>2349</v>
      </c>
      <c r="L29" s="569">
        <v>2358</v>
      </c>
      <c r="M29" s="293">
        <v>0</v>
      </c>
      <c r="N29" s="728">
        <f t="shared" si="8"/>
        <v>2358</v>
      </c>
      <c r="O29" s="715">
        <f t="shared" si="3"/>
        <v>94.320000000000007</v>
      </c>
      <c r="P29" s="720">
        <f t="shared" si="2"/>
        <v>100.38314176245211</v>
      </c>
    </row>
    <row r="30" spans="1:17" ht="12.95" customHeight="1">
      <c r="B30" s="10"/>
      <c r="C30" s="11"/>
      <c r="D30" s="11"/>
      <c r="E30" s="309"/>
      <c r="F30" s="331">
        <v>613900</v>
      </c>
      <c r="G30" s="354"/>
      <c r="H30" s="14" t="s">
        <v>150</v>
      </c>
      <c r="I30" s="293">
        <v>125000</v>
      </c>
      <c r="J30" s="293">
        <v>106150</v>
      </c>
      <c r="K30" s="540">
        <v>160818</v>
      </c>
      <c r="L30" s="569">
        <v>104774</v>
      </c>
      <c r="M30" s="293">
        <v>0</v>
      </c>
      <c r="N30" s="728">
        <f t="shared" si="8"/>
        <v>104774</v>
      </c>
      <c r="O30" s="715">
        <f t="shared" si="3"/>
        <v>98.703721149317005</v>
      </c>
      <c r="P30" s="720">
        <f t="shared" si="2"/>
        <v>65.150667213869099</v>
      </c>
      <c r="Q30" s="55"/>
    </row>
    <row r="31" spans="1:17" ht="12.95" customHeight="1">
      <c r="B31" s="10"/>
      <c r="C31" s="11"/>
      <c r="D31" s="11"/>
      <c r="E31" s="309"/>
      <c r="F31" s="328">
        <v>613900</v>
      </c>
      <c r="G31" s="354" t="s">
        <v>537</v>
      </c>
      <c r="H31" s="20" t="s">
        <v>178</v>
      </c>
      <c r="I31" s="293">
        <v>0</v>
      </c>
      <c r="J31" s="293">
        <v>0</v>
      </c>
      <c r="K31" s="540">
        <v>26216</v>
      </c>
      <c r="L31" s="569">
        <v>0</v>
      </c>
      <c r="M31" s="293">
        <v>0</v>
      </c>
      <c r="N31" s="728">
        <f t="shared" si="8"/>
        <v>0</v>
      </c>
      <c r="O31" s="715" t="str">
        <f t="shared" si="3"/>
        <v/>
      </c>
      <c r="P31" s="720">
        <f t="shared" si="2"/>
        <v>0</v>
      </c>
    </row>
    <row r="32" spans="1:17" ht="12.95" customHeight="1">
      <c r="B32" s="10"/>
      <c r="C32" s="11"/>
      <c r="D32" s="11"/>
      <c r="E32" s="309"/>
      <c r="F32" s="328">
        <v>613900</v>
      </c>
      <c r="G32" s="354" t="s">
        <v>536</v>
      </c>
      <c r="H32" s="378" t="s">
        <v>890</v>
      </c>
      <c r="I32" s="293">
        <v>49410</v>
      </c>
      <c r="J32" s="293">
        <v>49410</v>
      </c>
      <c r="K32" s="540">
        <v>70881</v>
      </c>
      <c r="L32" s="569">
        <v>48707</v>
      </c>
      <c r="M32" s="293">
        <v>0</v>
      </c>
      <c r="N32" s="728">
        <f t="shared" si="8"/>
        <v>48707</v>
      </c>
      <c r="O32" s="715">
        <f t="shared" si="3"/>
        <v>98.577211090872296</v>
      </c>
      <c r="P32" s="720">
        <f t="shared" si="2"/>
        <v>68.716581312340395</v>
      </c>
    </row>
    <row r="33" spans="1:20" ht="8.1" customHeight="1">
      <c r="B33" s="10"/>
      <c r="C33" s="11"/>
      <c r="D33" s="11"/>
      <c r="E33" s="309"/>
      <c r="F33" s="328"/>
      <c r="G33" s="354"/>
      <c r="H33" s="11"/>
      <c r="I33" s="290"/>
      <c r="J33" s="290"/>
      <c r="K33" s="540"/>
      <c r="L33" s="566"/>
      <c r="M33" s="290"/>
      <c r="N33" s="728"/>
      <c r="O33" s="715" t="str">
        <f t="shared" si="3"/>
        <v/>
      </c>
      <c r="P33" s="720" t="str">
        <f t="shared" si="2"/>
        <v/>
      </c>
    </row>
    <row r="34" spans="1:20" s="1" customFormat="1" ht="12.95" customHeight="1">
      <c r="A34" s="304"/>
      <c r="B34" s="12"/>
      <c r="C34" s="8"/>
      <c r="D34" s="8"/>
      <c r="E34" s="8"/>
      <c r="F34" s="327">
        <v>614000</v>
      </c>
      <c r="G34" s="354"/>
      <c r="H34" s="8" t="s">
        <v>173</v>
      </c>
      <c r="I34" s="295">
        <f t="shared" ref="I34:J34" si="9">SUM(I35:I44)</f>
        <v>767000</v>
      </c>
      <c r="J34" s="295">
        <f t="shared" si="9"/>
        <v>767000</v>
      </c>
      <c r="K34" s="541">
        <f t="shared" ref="K34:N34" si="10">SUM(K35:K44)</f>
        <v>790400</v>
      </c>
      <c r="L34" s="568">
        <f t="shared" si="10"/>
        <v>766800</v>
      </c>
      <c r="M34" s="295">
        <f t="shared" si="10"/>
        <v>0</v>
      </c>
      <c r="N34" s="729">
        <f t="shared" si="10"/>
        <v>766800</v>
      </c>
      <c r="O34" s="736">
        <f>IF(J34=0,"",N34/J34*100)</f>
        <v>99.973924380704034</v>
      </c>
      <c r="P34" s="368">
        <f t="shared" si="2"/>
        <v>97.014170040485823</v>
      </c>
    </row>
    <row r="35" spans="1:20" s="68" customFormat="1" ht="12.95" customHeight="1">
      <c r="B35" s="69"/>
      <c r="C35" s="13"/>
      <c r="D35" s="13"/>
      <c r="E35" s="13"/>
      <c r="F35" s="328">
        <v>614100</v>
      </c>
      <c r="G35" s="354" t="s">
        <v>538</v>
      </c>
      <c r="H35" s="84" t="s">
        <v>210</v>
      </c>
      <c r="I35" s="292">
        <v>250000</v>
      </c>
      <c r="J35" s="292">
        <v>250000</v>
      </c>
      <c r="K35" s="540">
        <v>200000</v>
      </c>
      <c r="L35" s="551">
        <v>250000</v>
      </c>
      <c r="M35" s="379">
        <v>0</v>
      </c>
      <c r="N35" s="728">
        <f t="shared" ref="N35:N44" si="11">SUM(L35:M35)</f>
        <v>250000</v>
      </c>
      <c r="O35" s="737">
        <f t="shared" ref="O35:O55" si="12">IF(J35=0,"",N35/J35*100)</f>
        <v>100</v>
      </c>
      <c r="P35" s="369">
        <f t="shared" si="2"/>
        <v>125</v>
      </c>
    </row>
    <row r="36" spans="1:20" s="115" customFormat="1" ht="12.95" customHeight="1">
      <c r="B36" s="111"/>
      <c r="C36" s="112"/>
      <c r="D36" s="112"/>
      <c r="E36" s="112"/>
      <c r="F36" s="332">
        <v>614200</v>
      </c>
      <c r="G36" s="354" t="s">
        <v>539</v>
      </c>
      <c r="H36" s="113" t="s">
        <v>522</v>
      </c>
      <c r="I36" s="114">
        <v>150000</v>
      </c>
      <c r="J36" s="114">
        <v>150000</v>
      </c>
      <c r="K36" s="540">
        <v>185400</v>
      </c>
      <c r="L36" s="731">
        <v>149800</v>
      </c>
      <c r="M36" s="404">
        <v>0</v>
      </c>
      <c r="N36" s="728">
        <f t="shared" si="11"/>
        <v>149800</v>
      </c>
      <c r="O36" s="737">
        <f t="shared" si="12"/>
        <v>99.866666666666674</v>
      </c>
      <c r="P36" s="369">
        <f t="shared" si="2"/>
        <v>80.798274002157498</v>
      </c>
      <c r="T36" s="116"/>
    </row>
    <row r="37" spans="1:20" ht="12.95" customHeight="1">
      <c r="B37" s="10"/>
      <c r="C37" s="11"/>
      <c r="D37" s="11"/>
      <c r="E37" s="309"/>
      <c r="F37" s="328">
        <v>614300</v>
      </c>
      <c r="G37" s="354" t="s">
        <v>540</v>
      </c>
      <c r="H37" s="402" t="s">
        <v>583</v>
      </c>
      <c r="I37" s="296">
        <v>50000</v>
      </c>
      <c r="J37" s="296">
        <v>50000</v>
      </c>
      <c r="K37" s="540">
        <v>70000</v>
      </c>
      <c r="L37" s="552">
        <v>50000</v>
      </c>
      <c r="M37" s="380">
        <v>0</v>
      </c>
      <c r="N37" s="728">
        <f t="shared" si="11"/>
        <v>50000</v>
      </c>
      <c r="O37" s="737">
        <f t="shared" si="12"/>
        <v>100</v>
      </c>
      <c r="P37" s="369">
        <f t="shared" si="2"/>
        <v>71.428571428571431</v>
      </c>
    </row>
    <row r="38" spans="1:20" ht="12.95" customHeight="1">
      <c r="B38" s="10"/>
      <c r="C38" s="11"/>
      <c r="D38" s="11"/>
      <c r="E38" s="309"/>
      <c r="F38" s="328">
        <v>614300</v>
      </c>
      <c r="G38" s="354" t="s">
        <v>541</v>
      </c>
      <c r="H38" s="78" t="s">
        <v>188</v>
      </c>
      <c r="I38" s="296">
        <v>35000</v>
      </c>
      <c r="J38" s="296">
        <v>35000</v>
      </c>
      <c r="K38" s="540">
        <v>35000</v>
      </c>
      <c r="L38" s="552">
        <v>35000</v>
      </c>
      <c r="M38" s="380">
        <v>0</v>
      </c>
      <c r="N38" s="728">
        <f t="shared" si="11"/>
        <v>35000</v>
      </c>
      <c r="O38" s="737">
        <f t="shared" si="12"/>
        <v>100</v>
      </c>
      <c r="P38" s="369">
        <f t="shared" si="2"/>
        <v>100</v>
      </c>
    </row>
    <row r="39" spans="1:20" ht="12.95" customHeight="1">
      <c r="B39" s="10"/>
      <c r="C39" s="11"/>
      <c r="D39" s="11"/>
      <c r="E39" s="309"/>
      <c r="F39" s="328">
        <v>614300</v>
      </c>
      <c r="G39" s="354" t="s">
        <v>542</v>
      </c>
      <c r="H39" s="78" t="s">
        <v>209</v>
      </c>
      <c r="I39" s="296">
        <v>45000</v>
      </c>
      <c r="J39" s="296">
        <v>45000</v>
      </c>
      <c r="K39" s="540">
        <v>40000</v>
      </c>
      <c r="L39" s="552">
        <v>45000</v>
      </c>
      <c r="M39" s="380">
        <v>0</v>
      </c>
      <c r="N39" s="728">
        <f t="shared" si="11"/>
        <v>45000</v>
      </c>
      <c r="O39" s="737">
        <f t="shared" si="12"/>
        <v>100</v>
      </c>
      <c r="P39" s="369">
        <f t="shared" si="2"/>
        <v>112.5</v>
      </c>
    </row>
    <row r="40" spans="1:20" ht="12.95" customHeight="1">
      <c r="B40" s="10"/>
      <c r="C40" s="11"/>
      <c r="D40" s="11"/>
      <c r="E40" s="309"/>
      <c r="F40" s="328">
        <v>614300</v>
      </c>
      <c r="G40" s="354" t="s">
        <v>543</v>
      </c>
      <c r="H40" s="401" t="s">
        <v>660</v>
      </c>
      <c r="I40" s="296">
        <v>45000</v>
      </c>
      <c r="J40" s="296">
        <v>45000</v>
      </c>
      <c r="K40" s="540">
        <v>40000</v>
      </c>
      <c r="L40" s="552">
        <v>45000</v>
      </c>
      <c r="M40" s="380">
        <v>0</v>
      </c>
      <c r="N40" s="728">
        <f t="shared" si="11"/>
        <v>45000</v>
      </c>
      <c r="O40" s="737">
        <f t="shared" si="12"/>
        <v>100</v>
      </c>
      <c r="P40" s="369">
        <f t="shared" si="2"/>
        <v>112.5</v>
      </c>
    </row>
    <row r="41" spans="1:20" ht="12.95" customHeight="1">
      <c r="B41" s="10"/>
      <c r="C41" s="11"/>
      <c r="D41" s="11"/>
      <c r="E41" s="309"/>
      <c r="F41" s="328">
        <v>614300</v>
      </c>
      <c r="G41" s="354" t="s">
        <v>544</v>
      </c>
      <c r="H41" s="401" t="s">
        <v>659</v>
      </c>
      <c r="I41" s="296">
        <v>17000</v>
      </c>
      <c r="J41" s="296">
        <v>17000</v>
      </c>
      <c r="K41" s="540">
        <v>15000</v>
      </c>
      <c r="L41" s="552">
        <v>17000</v>
      </c>
      <c r="M41" s="380">
        <v>0</v>
      </c>
      <c r="N41" s="728">
        <f t="shared" si="11"/>
        <v>17000</v>
      </c>
      <c r="O41" s="737">
        <f t="shared" si="12"/>
        <v>100</v>
      </c>
      <c r="P41" s="369">
        <f t="shared" si="2"/>
        <v>113.33333333333333</v>
      </c>
    </row>
    <row r="42" spans="1:20" ht="12.95" customHeight="1">
      <c r="B42" s="10"/>
      <c r="C42" s="11"/>
      <c r="D42" s="11"/>
      <c r="E42" s="309"/>
      <c r="F42" s="328">
        <v>614300</v>
      </c>
      <c r="G42" s="354" t="s">
        <v>545</v>
      </c>
      <c r="H42" s="78" t="s">
        <v>190</v>
      </c>
      <c r="I42" s="296">
        <v>30000</v>
      </c>
      <c r="J42" s="296">
        <v>30000</v>
      </c>
      <c r="K42" s="540">
        <v>30000</v>
      </c>
      <c r="L42" s="552">
        <v>30000</v>
      </c>
      <c r="M42" s="380">
        <v>0</v>
      </c>
      <c r="N42" s="728">
        <f t="shared" si="11"/>
        <v>30000</v>
      </c>
      <c r="O42" s="737">
        <f t="shared" si="12"/>
        <v>100</v>
      </c>
      <c r="P42" s="369">
        <f t="shared" si="2"/>
        <v>100</v>
      </c>
    </row>
    <row r="43" spans="1:20" ht="12.95" customHeight="1">
      <c r="B43" s="10"/>
      <c r="C43" s="11"/>
      <c r="D43" s="11"/>
      <c r="E43" s="309"/>
      <c r="F43" s="328">
        <v>614300</v>
      </c>
      <c r="G43" s="354" t="s">
        <v>546</v>
      </c>
      <c r="H43" s="78" t="s">
        <v>520</v>
      </c>
      <c r="I43" s="296">
        <v>15000</v>
      </c>
      <c r="J43" s="296">
        <v>15000</v>
      </c>
      <c r="K43" s="540">
        <v>15000</v>
      </c>
      <c r="L43" s="552">
        <v>15000</v>
      </c>
      <c r="M43" s="380">
        <v>0</v>
      </c>
      <c r="N43" s="728">
        <f t="shared" si="11"/>
        <v>15000</v>
      </c>
      <c r="O43" s="737">
        <f t="shared" ref="O43" si="13">IF(J43=0,"",N43/J43*100)</f>
        <v>100</v>
      </c>
      <c r="P43" s="369">
        <f t="shared" si="2"/>
        <v>100</v>
      </c>
    </row>
    <row r="44" spans="1:20" ht="12.95" customHeight="1">
      <c r="B44" s="10"/>
      <c r="C44" s="11"/>
      <c r="D44" s="11"/>
      <c r="E44" s="309"/>
      <c r="F44" s="328">
        <v>614300</v>
      </c>
      <c r="G44" s="354" t="s">
        <v>920</v>
      </c>
      <c r="H44" s="183" t="s">
        <v>95</v>
      </c>
      <c r="I44" s="296">
        <v>130000</v>
      </c>
      <c r="J44" s="296">
        <v>130000</v>
      </c>
      <c r="K44" s="540">
        <v>160000</v>
      </c>
      <c r="L44" s="552">
        <v>130000</v>
      </c>
      <c r="M44" s="380">
        <v>0</v>
      </c>
      <c r="N44" s="728">
        <f t="shared" si="11"/>
        <v>130000</v>
      </c>
      <c r="O44" s="737">
        <f t="shared" si="12"/>
        <v>100</v>
      </c>
      <c r="P44" s="369">
        <f t="shared" si="2"/>
        <v>81.25</v>
      </c>
    </row>
    <row r="45" spans="1:20" ht="8.1" customHeight="1">
      <c r="B45" s="10"/>
      <c r="C45" s="11"/>
      <c r="D45" s="11"/>
      <c r="E45" s="309"/>
      <c r="F45" s="328"/>
      <c r="G45" s="354"/>
      <c r="H45" s="78"/>
      <c r="I45" s="296"/>
      <c r="J45" s="296"/>
      <c r="K45" s="540"/>
      <c r="L45" s="608"/>
      <c r="M45" s="296"/>
      <c r="N45" s="728"/>
      <c r="O45" s="737" t="str">
        <f t="shared" si="12"/>
        <v/>
      </c>
      <c r="P45" s="369" t="str">
        <f t="shared" si="2"/>
        <v/>
      </c>
    </row>
    <row r="46" spans="1:20" ht="12.95" customHeight="1">
      <c r="B46" s="10"/>
      <c r="C46" s="11"/>
      <c r="D46" s="11"/>
      <c r="E46" s="309"/>
      <c r="F46" s="327">
        <v>615000</v>
      </c>
      <c r="G46" s="354"/>
      <c r="H46" s="8" t="s">
        <v>88</v>
      </c>
      <c r="I46" s="295">
        <f>I47</f>
        <v>147000</v>
      </c>
      <c r="J46" s="295">
        <f>J47</f>
        <v>437000</v>
      </c>
      <c r="K46" s="541">
        <f>K47</f>
        <v>400000</v>
      </c>
      <c r="L46" s="568">
        <f t="shared" ref="L46" si="14">L47</f>
        <v>437000</v>
      </c>
      <c r="M46" s="295">
        <f>M47</f>
        <v>0</v>
      </c>
      <c r="N46" s="729">
        <f>N47</f>
        <v>437000</v>
      </c>
      <c r="O46" s="736">
        <f t="shared" si="12"/>
        <v>100</v>
      </c>
      <c r="P46" s="368">
        <f t="shared" si="2"/>
        <v>109.25</v>
      </c>
    </row>
    <row r="47" spans="1:20" ht="12.95" customHeight="1">
      <c r="B47" s="10"/>
      <c r="C47" s="11"/>
      <c r="D47" s="11"/>
      <c r="E47" s="309"/>
      <c r="F47" s="328">
        <v>615100</v>
      </c>
      <c r="G47" s="354"/>
      <c r="H47" s="13" t="s">
        <v>88</v>
      </c>
      <c r="I47" s="292">
        <v>147000</v>
      </c>
      <c r="J47" s="292">
        <v>437000</v>
      </c>
      <c r="K47" s="540">
        <v>400000</v>
      </c>
      <c r="L47" s="607">
        <v>437000</v>
      </c>
      <c r="M47" s="292">
        <v>0</v>
      </c>
      <c r="N47" s="728">
        <f>SUM(L47:M47)</f>
        <v>437000</v>
      </c>
      <c r="O47" s="737">
        <f t="shared" si="12"/>
        <v>100</v>
      </c>
      <c r="P47" s="369">
        <f t="shared" si="2"/>
        <v>109.25</v>
      </c>
    </row>
    <row r="48" spans="1:20" ht="8.1" customHeight="1">
      <c r="B48" s="10"/>
      <c r="C48" s="11"/>
      <c r="D48" s="11"/>
      <c r="E48" s="309"/>
      <c r="F48" s="328"/>
      <c r="G48" s="354"/>
      <c r="H48" s="14"/>
      <c r="I48" s="293"/>
      <c r="J48" s="293"/>
      <c r="K48" s="540"/>
      <c r="L48" s="569"/>
      <c r="M48" s="293"/>
      <c r="N48" s="728"/>
      <c r="O48" s="737" t="str">
        <f t="shared" si="12"/>
        <v/>
      </c>
      <c r="P48" s="369" t="str">
        <f t="shared" si="2"/>
        <v/>
      </c>
    </row>
    <row r="49" spans="1:16" ht="12.95" customHeight="1">
      <c r="B49" s="12"/>
      <c r="C49" s="8"/>
      <c r="D49" s="8"/>
      <c r="E49" s="8"/>
      <c r="F49" s="327">
        <v>821000</v>
      </c>
      <c r="G49" s="354"/>
      <c r="H49" s="8" t="s">
        <v>89</v>
      </c>
      <c r="I49" s="311">
        <f>SUM(I50:I52)</f>
        <v>80000</v>
      </c>
      <c r="J49" s="311">
        <f>SUM(J50:J52)</f>
        <v>80000</v>
      </c>
      <c r="K49" s="541">
        <f>SUM(K50:K52)</f>
        <v>3775</v>
      </c>
      <c r="L49" s="568">
        <f t="shared" ref="L49" si="15">SUM(L50:L52)</f>
        <v>75345</v>
      </c>
      <c r="M49" s="311">
        <f>SUM(M50:M52)</f>
        <v>0</v>
      </c>
      <c r="N49" s="732">
        <f>SUM(N50:N52)</f>
        <v>75345</v>
      </c>
      <c r="O49" s="736">
        <f t="shared" si="12"/>
        <v>94.181250000000006</v>
      </c>
      <c r="P49" s="368">
        <f t="shared" si="2"/>
        <v>1995.8940397350993</v>
      </c>
    </row>
    <row r="50" spans="1:16" ht="12.95" customHeight="1">
      <c r="B50" s="10"/>
      <c r="C50" s="11"/>
      <c r="D50" s="11"/>
      <c r="E50" s="309"/>
      <c r="F50" s="328">
        <v>821200</v>
      </c>
      <c r="G50" s="354"/>
      <c r="H50" s="11" t="s">
        <v>90</v>
      </c>
      <c r="I50" s="303">
        <v>25000</v>
      </c>
      <c r="J50" s="303">
        <v>25000</v>
      </c>
      <c r="K50" s="540">
        <v>0</v>
      </c>
      <c r="L50" s="569">
        <v>21686</v>
      </c>
      <c r="M50" s="303">
        <v>0</v>
      </c>
      <c r="N50" s="728">
        <f t="shared" ref="N50:N52" si="16">SUM(L50:M50)</f>
        <v>21686</v>
      </c>
      <c r="O50" s="737">
        <f t="shared" si="12"/>
        <v>86.744</v>
      </c>
      <c r="P50" s="369" t="str">
        <f t="shared" si="2"/>
        <v/>
      </c>
    </row>
    <row r="51" spans="1:16" ht="12.95" customHeight="1">
      <c r="B51" s="10"/>
      <c r="C51" s="11"/>
      <c r="D51" s="11"/>
      <c r="E51" s="309"/>
      <c r="F51" s="328">
        <v>821300</v>
      </c>
      <c r="G51" s="354"/>
      <c r="H51" s="11" t="s">
        <v>91</v>
      </c>
      <c r="I51" s="319">
        <v>5000</v>
      </c>
      <c r="J51" s="319">
        <v>5000</v>
      </c>
      <c r="K51" s="540">
        <v>3775</v>
      </c>
      <c r="L51" s="608">
        <v>3827</v>
      </c>
      <c r="M51" s="319">
        <v>0</v>
      </c>
      <c r="N51" s="728">
        <f t="shared" si="16"/>
        <v>3827</v>
      </c>
      <c r="O51" s="737">
        <f t="shared" si="12"/>
        <v>76.539999999999992</v>
      </c>
      <c r="P51" s="369">
        <f t="shared" si="2"/>
        <v>101.3774834437086</v>
      </c>
    </row>
    <row r="52" spans="1:16" ht="12.95" customHeight="1">
      <c r="B52" s="10"/>
      <c r="C52" s="11"/>
      <c r="D52" s="11"/>
      <c r="E52" s="309"/>
      <c r="F52" s="328">
        <v>821500</v>
      </c>
      <c r="G52" s="354"/>
      <c r="H52" s="11" t="s">
        <v>443</v>
      </c>
      <c r="I52" s="99">
        <v>50000</v>
      </c>
      <c r="J52" s="99">
        <v>50000</v>
      </c>
      <c r="K52" s="540">
        <v>0</v>
      </c>
      <c r="L52" s="733">
        <v>49832</v>
      </c>
      <c r="M52" s="99">
        <v>0</v>
      </c>
      <c r="N52" s="728">
        <f t="shared" si="16"/>
        <v>49832</v>
      </c>
      <c r="O52" s="737">
        <f t="shared" si="12"/>
        <v>99.664000000000001</v>
      </c>
      <c r="P52" s="369" t="str">
        <f t="shared" si="2"/>
        <v/>
      </c>
    </row>
    <row r="53" spans="1:16" s="1" customFormat="1" ht="8.1" customHeight="1">
      <c r="A53" s="304"/>
      <c r="B53" s="10"/>
      <c r="C53" s="11"/>
      <c r="D53" s="11"/>
      <c r="E53" s="309"/>
      <c r="F53" s="328"/>
      <c r="G53" s="354"/>
      <c r="H53" s="11"/>
      <c r="I53" s="311"/>
      <c r="J53" s="311"/>
      <c r="K53" s="541"/>
      <c r="L53" s="568"/>
      <c r="M53" s="311"/>
      <c r="N53" s="732"/>
      <c r="O53" s="737" t="str">
        <f t="shared" si="12"/>
        <v/>
      </c>
      <c r="P53" s="369" t="str">
        <f t="shared" si="2"/>
        <v/>
      </c>
    </row>
    <row r="54" spans="1:16" ht="12.95" customHeight="1">
      <c r="B54" s="12"/>
      <c r="C54" s="8"/>
      <c r="D54" s="8"/>
      <c r="E54" s="8"/>
      <c r="F54" s="327"/>
      <c r="G54" s="354"/>
      <c r="H54" s="8" t="s">
        <v>92</v>
      </c>
      <c r="I54" s="311">
        <v>7</v>
      </c>
      <c r="J54" s="311"/>
      <c r="K54" s="541">
        <v>6</v>
      </c>
      <c r="L54" s="568">
        <v>7</v>
      </c>
      <c r="M54" s="311"/>
      <c r="N54" s="732">
        <v>7</v>
      </c>
      <c r="O54" s="737"/>
      <c r="P54" s="369"/>
    </row>
    <row r="55" spans="1:16" ht="12.95" customHeight="1">
      <c r="B55" s="12"/>
      <c r="C55" s="8"/>
      <c r="D55" s="8"/>
      <c r="E55" s="8"/>
      <c r="F55" s="327"/>
      <c r="G55" s="354"/>
      <c r="H55" s="8" t="s">
        <v>110</v>
      </c>
      <c r="I55" s="15">
        <f t="shared" ref="I55:N55" si="17">I8+I13+I18+I21+I34+I46+I49</f>
        <v>1944530</v>
      </c>
      <c r="J55" s="15">
        <f t="shared" si="17"/>
        <v>2215330</v>
      </c>
      <c r="K55" s="546">
        <f t="shared" si="17"/>
        <v>2297158</v>
      </c>
      <c r="L55" s="568">
        <f t="shared" si="17"/>
        <v>2196434</v>
      </c>
      <c r="M55" s="311">
        <f t="shared" si="17"/>
        <v>0</v>
      </c>
      <c r="N55" s="732">
        <f t="shared" si="17"/>
        <v>2196434</v>
      </c>
      <c r="O55" s="736">
        <f t="shared" si="12"/>
        <v>99.147034527587309</v>
      </c>
      <c r="P55" s="368">
        <f t="shared" si="2"/>
        <v>95.615277660483088</v>
      </c>
    </row>
    <row r="56" spans="1:16" ht="12.95" customHeight="1">
      <c r="B56" s="12"/>
      <c r="C56" s="8"/>
      <c r="D56" s="8"/>
      <c r="E56" s="8"/>
      <c r="F56" s="327"/>
      <c r="G56" s="354"/>
      <c r="H56" s="8" t="s">
        <v>93</v>
      </c>
      <c r="I56" s="11"/>
      <c r="J56" s="11"/>
      <c r="K56" s="547"/>
      <c r="L56" s="308"/>
      <c r="M56" s="309"/>
      <c r="N56" s="734"/>
      <c r="O56" s="738"/>
      <c r="P56" s="370"/>
    </row>
    <row r="57" spans="1:16" ht="12.95" customHeight="1">
      <c r="B57" s="12"/>
      <c r="C57" s="8"/>
      <c r="D57" s="8"/>
      <c r="E57" s="8"/>
      <c r="F57" s="327"/>
      <c r="G57" s="354"/>
      <c r="H57" s="8" t="s">
        <v>94</v>
      </c>
      <c r="I57" s="11"/>
      <c r="J57" s="11"/>
      <c r="K57" s="547"/>
      <c r="L57" s="308"/>
      <c r="M57" s="309"/>
      <c r="N57" s="734"/>
      <c r="O57" s="738"/>
      <c r="P57" s="370"/>
    </row>
    <row r="58" spans="1:16" s="1" customFormat="1" ht="8.1" customHeight="1" thickBot="1">
      <c r="A58" s="304"/>
      <c r="B58" s="16"/>
      <c r="C58" s="17"/>
      <c r="D58" s="17"/>
      <c r="E58" s="17"/>
      <c r="F58" s="329"/>
      <c r="G58" s="355"/>
      <c r="H58" s="17"/>
      <c r="I58" s="17"/>
      <c r="J58" s="17"/>
      <c r="K58" s="548"/>
      <c r="L58" s="16"/>
      <c r="M58" s="17"/>
      <c r="N58" s="735"/>
      <c r="O58" s="739"/>
      <c r="P58" s="371"/>
    </row>
    <row r="59" spans="1:16" s="1" customFormat="1" ht="15.95" customHeight="1">
      <c r="A59" s="304"/>
      <c r="B59" s="9"/>
      <c r="C59" s="9"/>
      <c r="D59" s="9"/>
      <c r="E59" s="307"/>
      <c r="F59" s="330"/>
      <c r="G59" s="356"/>
      <c r="H59" s="9"/>
      <c r="I59" s="9"/>
      <c r="J59" s="9"/>
      <c r="K59" s="9"/>
      <c r="L59" s="307"/>
      <c r="M59" s="307"/>
      <c r="N59" s="409"/>
      <c r="O59" s="372"/>
      <c r="P59" s="372"/>
    </row>
    <row r="60" spans="1:16" s="1" customFormat="1" ht="15.95" customHeight="1">
      <c r="A60" s="304"/>
      <c r="B60" s="9"/>
      <c r="C60" s="9"/>
      <c r="D60" s="9"/>
      <c r="E60" s="307"/>
      <c r="F60" s="330"/>
      <c r="G60" s="356"/>
      <c r="H60" s="9"/>
      <c r="I60" s="9"/>
      <c r="J60" s="9"/>
      <c r="K60" s="9"/>
      <c r="L60" s="307"/>
      <c r="M60" s="307"/>
      <c r="N60" s="409"/>
      <c r="O60" s="372"/>
      <c r="P60" s="372"/>
    </row>
    <row r="61" spans="1:16" s="1" customFormat="1" ht="12.95" customHeight="1">
      <c r="A61" s="304"/>
      <c r="B61" s="9"/>
      <c r="C61" s="9"/>
      <c r="D61" s="9"/>
      <c r="E61" s="307"/>
      <c r="F61" s="330"/>
      <c r="G61" s="356"/>
      <c r="H61" s="9"/>
      <c r="I61" s="9"/>
      <c r="J61" s="9"/>
      <c r="K61" s="9"/>
      <c r="L61" s="307"/>
      <c r="M61" s="307"/>
      <c r="N61" s="409"/>
      <c r="O61" s="372"/>
      <c r="P61" s="372"/>
    </row>
    <row r="62" spans="1:16" ht="12.95" customHeight="1">
      <c r="F62" s="330"/>
      <c r="G62" s="356"/>
      <c r="N62" s="409"/>
    </row>
    <row r="63" spans="1:16" ht="14.25">
      <c r="F63" s="330"/>
      <c r="G63" s="356"/>
      <c r="N63" s="409"/>
    </row>
    <row r="64" spans="1:16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30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>
      <c r="G90" s="330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96"/>
  <sheetViews>
    <sheetView topLeftCell="A2" zoomScaleNormal="100" workbookViewId="0">
      <selection activeCell="P35" sqref="P35"/>
    </sheetView>
  </sheetViews>
  <sheetFormatPr defaultRowHeight="12.75"/>
  <cols>
    <col min="1" max="1" width="9.140625" style="307"/>
    <col min="2" max="2" width="4.7109375" style="9" customWidth="1"/>
    <col min="3" max="3" width="5.140625" style="9" customWidth="1"/>
    <col min="4" max="4" width="5" style="9" customWidth="1"/>
    <col min="5" max="5" width="5" style="307" customWidth="1"/>
    <col min="6" max="6" width="8.7109375" style="18" customWidth="1"/>
    <col min="7" max="7" width="8.7109375" style="312" customWidth="1"/>
    <col min="8" max="8" width="50.7109375" style="9" customWidth="1"/>
    <col min="9" max="11" width="14.7109375" style="9" customWidth="1"/>
    <col min="12" max="13" width="14.7109375" style="307" customWidth="1"/>
    <col min="14" max="14" width="15.7109375" style="9" customWidth="1"/>
    <col min="15" max="16" width="7.7109375" style="372" customWidth="1"/>
    <col min="17" max="16384" width="9.140625" style="9"/>
  </cols>
  <sheetData>
    <row r="1" spans="1:19" ht="13.5" thickBot="1"/>
    <row r="2" spans="1:19" s="403" customFormat="1" ht="20.100000000000001" customHeight="1" thickTop="1" thickBot="1">
      <c r="B2" s="906" t="s">
        <v>746</v>
      </c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27"/>
      <c r="P2" s="908"/>
    </row>
    <row r="3" spans="1:19" s="1" customFormat="1" ht="8.1" customHeight="1" thickTop="1" thickBot="1">
      <c r="A3" s="304"/>
      <c r="E3" s="304"/>
      <c r="F3" s="2"/>
      <c r="G3" s="305"/>
      <c r="H3" s="909"/>
      <c r="I3" s="909"/>
      <c r="J3" s="277"/>
      <c r="K3" s="277"/>
      <c r="L3" s="103"/>
      <c r="M3" s="103"/>
      <c r="N3" s="103"/>
      <c r="O3" s="366"/>
      <c r="P3" s="366"/>
    </row>
    <row r="4" spans="1:19" s="1" customFormat="1" ht="39" customHeight="1">
      <c r="A4" s="304"/>
      <c r="B4" s="913" t="s">
        <v>77</v>
      </c>
      <c r="C4" s="928" t="s">
        <v>78</v>
      </c>
      <c r="D4" s="929" t="s">
        <v>107</v>
      </c>
      <c r="E4" s="934" t="s">
        <v>779</v>
      </c>
      <c r="F4" s="930" t="s">
        <v>503</v>
      </c>
      <c r="G4" s="918" t="s">
        <v>535</v>
      </c>
      <c r="H4" s="919" t="s">
        <v>79</v>
      </c>
      <c r="I4" s="931" t="s">
        <v>854</v>
      </c>
      <c r="J4" s="932" t="s">
        <v>855</v>
      </c>
      <c r="K4" s="939" t="s">
        <v>869</v>
      </c>
      <c r="L4" s="910" t="s">
        <v>868</v>
      </c>
      <c r="M4" s="911"/>
      <c r="N4" s="912"/>
      <c r="O4" s="937" t="s">
        <v>871</v>
      </c>
      <c r="P4" s="935" t="s">
        <v>870</v>
      </c>
      <c r="R4" s="81"/>
    </row>
    <row r="5" spans="1:19" s="304" customFormat="1" ht="27" customHeight="1">
      <c r="B5" s="914"/>
      <c r="C5" s="916"/>
      <c r="D5" s="916"/>
      <c r="E5" s="916"/>
      <c r="F5" s="920"/>
      <c r="G5" s="916"/>
      <c r="H5" s="920"/>
      <c r="I5" s="920"/>
      <c r="J5" s="920"/>
      <c r="K5" s="924"/>
      <c r="L5" s="573" t="s">
        <v>580</v>
      </c>
      <c r="M5" s="399" t="s">
        <v>581</v>
      </c>
      <c r="N5" s="724" t="s">
        <v>336</v>
      </c>
      <c r="O5" s="938"/>
      <c r="P5" s="936"/>
    </row>
    <row r="6" spans="1:19" s="2" customFormat="1" ht="12.95" customHeight="1">
      <c r="A6" s="305"/>
      <c r="B6" s="506">
        <v>1</v>
      </c>
      <c r="C6" s="353">
        <v>2</v>
      </c>
      <c r="D6" s="353">
        <v>3</v>
      </c>
      <c r="E6" s="353">
        <v>4</v>
      </c>
      <c r="F6" s="353">
        <v>5</v>
      </c>
      <c r="G6" s="353">
        <v>6</v>
      </c>
      <c r="H6" s="353">
        <v>7</v>
      </c>
      <c r="I6" s="353">
        <v>8</v>
      </c>
      <c r="J6" s="353">
        <v>9</v>
      </c>
      <c r="K6" s="507">
        <v>10</v>
      </c>
      <c r="L6" s="506">
        <v>11</v>
      </c>
      <c r="M6" s="353">
        <v>12</v>
      </c>
      <c r="N6" s="725" t="s">
        <v>781</v>
      </c>
      <c r="O6" s="506">
        <v>14</v>
      </c>
      <c r="P6" s="508">
        <v>15</v>
      </c>
    </row>
    <row r="7" spans="1:19" s="2" customFormat="1" ht="12.95" customHeight="1">
      <c r="A7" s="305"/>
      <c r="B7" s="6" t="s">
        <v>115</v>
      </c>
      <c r="C7" s="7" t="s">
        <v>80</v>
      </c>
      <c r="D7" s="7" t="s">
        <v>113</v>
      </c>
      <c r="E7" s="653" t="s">
        <v>780</v>
      </c>
      <c r="F7" s="5"/>
      <c r="G7" s="306"/>
      <c r="H7" s="5"/>
      <c r="I7" s="5"/>
      <c r="J7" s="5"/>
      <c r="K7" s="560"/>
      <c r="L7" s="4"/>
      <c r="M7" s="306"/>
      <c r="N7" s="740"/>
      <c r="O7" s="749"/>
      <c r="P7" s="367"/>
    </row>
    <row r="8" spans="1:19" s="1" customFormat="1" ht="12.95" customHeight="1">
      <c r="A8" s="304"/>
      <c r="B8" s="12"/>
      <c r="C8" s="8"/>
      <c r="D8" s="8"/>
      <c r="E8" s="8"/>
      <c r="F8" s="327">
        <v>611000</v>
      </c>
      <c r="G8" s="353"/>
      <c r="H8" s="8" t="s">
        <v>146</v>
      </c>
      <c r="I8" s="381">
        <f t="shared" ref="I8" si="0">SUM(I9:I12)</f>
        <v>0</v>
      </c>
      <c r="J8" s="381">
        <f t="shared" ref="J8" si="1">SUM(J9:J12)</f>
        <v>0</v>
      </c>
      <c r="K8" s="537">
        <f>SUM(K9:K11)</f>
        <v>54189</v>
      </c>
      <c r="L8" s="746">
        <f t="shared" ref="L8" si="2">SUM(L9:L12)</f>
        <v>0</v>
      </c>
      <c r="M8" s="233">
        <f>SUM(M9:M12)</f>
        <v>0</v>
      </c>
      <c r="N8" s="741">
        <f>SUM(N9:N12)</f>
        <v>0</v>
      </c>
      <c r="O8" s="736" t="str">
        <f>IF(J8=0,"",N8/J8*100)</f>
        <v/>
      </c>
      <c r="P8" s="368">
        <v>0</v>
      </c>
    </row>
    <row r="9" spans="1:19" ht="12.95" customHeight="1">
      <c r="B9" s="10"/>
      <c r="C9" s="11"/>
      <c r="D9" s="11"/>
      <c r="E9" s="309"/>
      <c r="F9" s="328">
        <v>611100</v>
      </c>
      <c r="G9" s="354"/>
      <c r="H9" s="20" t="s">
        <v>169</v>
      </c>
      <c r="I9" s="384">
        <v>0</v>
      </c>
      <c r="J9" s="384">
        <v>0</v>
      </c>
      <c r="K9" s="538">
        <v>43880</v>
      </c>
      <c r="L9" s="549">
        <v>0</v>
      </c>
      <c r="M9" s="232">
        <v>0</v>
      </c>
      <c r="N9" s="742">
        <f>SUM(L9:M9)</f>
        <v>0</v>
      </c>
      <c r="O9" s="737" t="str">
        <f>IF(J9=0,"",N9/J9*100)</f>
        <v/>
      </c>
      <c r="P9" s="369">
        <v>0</v>
      </c>
    </row>
    <row r="10" spans="1:19" ht="12.95" customHeight="1">
      <c r="B10" s="10"/>
      <c r="C10" s="11"/>
      <c r="D10" s="11"/>
      <c r="E10" s="309"/>
      <c r="F10" s="328">
        <v>611200</v>
      </c>
      <c r="G10" s="354"/>
      <c r="H10" s="11" t="s">
        <v>170</v>
      </c>
      <c r="I10" s="384">
        <v>0</v>
      </c>
      <c r="J10" s="384">
        <v>0</v>
      </c>
      <c r="K10" s="538">
        <v>10309</v>
      </c>
      <c r="L10" s="549">
        <v>0</v>
      </c>
      <c r="M10" s="232">
        <v>0</v>
      </c>
      <c r="N10" s="742">
        <f t="shared" ref="N10:N11" si="3">SUM(L10:M10)</f>
        <v>0</v>
      </c>
      <c r="O10" s="737" t="str">
        <f t="shared" ref="O10:O33" si="4">IF(J10=0,"",N10/J10*100)</f>
        <v/>
      </c>
      <c r="P10" s="369">
        <v>0</v>
      </c>
    </row>
    <row r="11" spans="1:19" ht="12.95" customHeight="1">
      <c r="B11" s="10"/>
      <c r="C11" s="11"/>
      <c r="D11" s="11"/>
      <c r="E11" s="309"/>
      <c r="F11" s="328">
        <v>611200</v>
      </c>
      <c r="G11" s="354"/>
      <c r="H11" s="211" t="s">
        <v>451</v>
      </c>
      <c r="I11" s="384">
        <f t="shared" ref="I11:J11" si="5">SUM(G11:H11)</f>
        <v>0</v>
      </c>
      <c r="J11" s="384">
        <f t="shared" si="5"/>
        <v>0</v>
      </c>
      <c r="K11" s="538">
        <v>0</v>
      </c>
      <c r="L11" s="549">
        <v>0</v>
      </c>
      <c r="M11" s="232">
        <v>0</v>
      </c>
      <c r="N11" s="742">
        <f t="shared" si="3"/>
        <v>0</v>
      </c>
      <c r="O11" s="737" t="str">
        <f t="shared" si="4"/>
        <v/>
      </c>
      <c r="P11" s="369"/>
      <c r="R11" s="62"/>
    </row>
    <row r="12" spans="1:19" ht="8.1" customHeight="1">
      <c r="B12" s="10"/>
      <c r="C12" s="11"/>
      <c r="D12" s="11"/>
      <c r="E12" s="309"/>
      <c r="F12" s="328"/>
      <c r="G12" s="354"/>
      <c r="H12" s="20"/>
      <c r="I12" s="384"/>
      <c r="J12" s="384"/>
      <c r="K12" s="538"/>
      <c r="L12" s="549"/>
      <c r="M12" s="232"/>
      <c r="N12" s="742"/>
      <c r="O12" s="737" t="str">
        <f t="shared" si="4"/>
        <v/>
      </c>
      <c r="P12" s="369"/>
    </row>
    <row r="13" spans="1:19" s="1" customFormat="1" ht="12.95" customHeight="1">
      <c r="A13" s="304"/>
      <c r="B13" s="12"/>
      <c r="C13" s="8"/>
      <c r="D13" s="8"/>
      <c r="E13" s="8"/>
      <c r="F13" s="327">
        <v>612000</v>
      </c>
      <c r="G13" s="353"/>
      <c r="H13" s="8" t="s">
        <v>145</v>
      </c>
      <c r="I13" s="381">
        <f t="shared" ref="I13:L13" si="6">I14</f>
        <v>0</v>
      </c>
      <c r="J13" s="381">
        <f t="shared" si="6"/>
        <v>0</v>
      </c>
      <c r="K13" s="537">
        <f>K14</f>
        <v>4642</v>
      </c>
      <c r="L13" s="746">
        <f t="shared" si="6"/>
        <v>0</v>
      </c>
      <c r="M13" s="233">
        <f>M14</f>
        <v>0</v>
      </c>
      <c r="N13" s="741">
        <f>N14</f>
        <v>0</v>
      </c>
      <c r="O13" s="736" t="str">
        <f t="shared" si="4"/>
        <v/>
      </c>
      <c r="P13" s="368">
        <v>0</v>
      </c>
      <c r="S13" s="68"/>
    </row>
    <row r="14" spans="1:19" ht="12.95" customHeight="1">
      <c r="B14" s="10"/>
      <c r="C14" s="11"/>
      <c r="D14" s="11"/>
      <c r="E14" s="309"/>
      <c r="F14" s="328">
        <v>612100</v>
      </c>
      <c r="G14" s="354"/>
      <c r="H14" s="13" t="s">
        <v>82</v>
      </c>
      <c r="I14" s="384">
        <v>0</v>
      </c>
      <c r="J14" s="384">
        <v>0</v>
      </c>
      <c r="K14" s="538">
        <v>4642</v>
      </c>
      <c r="L14" s="549">
        <v>0</v>
      </c>
      <c r="M14" s="232">
        <v>0</v>
      </c>
      <c r="N14" s="742">
        <f>SUM(L14:M14)</f>
        <v>0</v>
      </c>
      <c r="O14" s="737" t="str">
        <f t="shared" si="4"/>
        <v/>
      </c>
      <c r="P14" s="369">
        <v>0</v>
      </c>
      <c r="S14" s="55"/>
    </row>
    <row r="15" spans="1:19" ht="8.1" customHeight="1">
      <c r="B15" s="10"/>
      <c r="C15" s="11"/>
      <c r="D15" s="11"/>
      <c r="E15" s="309"/>
      <c r="F15" s="328"/>
      <c r="G15" s="354"/>
      <c r="H15" s="11"/>
      <c r="I15" s="384"/>
      <c r="J15" s="384"/>
      <c r="K15" s="538"/>
      <c r="L15" s="550"/>
      <c r="M15" s="302"/>
      <c r="N15" s="743"/>
      <c r="O15" s="737" t="str">
        <f t="shared" si="4"/>
        <v/>
      </c>
      <c r="P15" s="369"/>
    </row>
    <row r="16" spans="1:19" s="1" customFormat="1" ht="12.95" customHeight="1">
      <c r="A16" s="304"/>
      <c r="B16" s="12"/>
      <c r="C16" s="8"/>
      <c r="D16" s="8"/>
      <c r="E16" s="8"/>
      <c r="F16" s="327">
        <v>613000</v>
      </c>
      <c r="G16" s="353"/>
      <c r="H16" s="8" t="s">
        <v>147</v>
      </c>
      <c r="I16" s="381">
        <f t="shared" ref="I16" si="7">SUM(I17:I26)</f>
        <v>0</v>
      </c>
      <c r="J16" s="381">
        <f t="shared" ref="J16" si="8">SUM(J17:J26)</f>
        <v>0</v>
      </c>
      <c r="K16" s="537">
        <f>SUM(K17:K26)</f>
        <v>2982</v>
      </c>
      <c r="L16" s="747">
        <f t="shared" ref="L16" si="9">SUM(L17:L26)</f>
        <v>0</v>
      </c>
      <c r="M16" s="316">
        <f>SUM(M17:M26)</f>
        <v>0</v>
      </c>
      <c r="N16" s="732">
        <f>SUM(N17:N26)</f>
        <v>0</v>
      </c>
      <c r="O16" s="736" t="str">
        <f t="shared" si="4"/>
        <v/>
      </c>
      <c r="P16" s="368">
        <v>0</v>
      </c>
    </row>
    <row r="17" spans="1:17" ht="12.95" customHeight="1">
      <c r="B17" s="10"/>
      <c r="C17" s="11"/>
      <c r="D17" s="11"/>
      <c r="E17" s="309"/>
      <c r="F17" s="328">
        <v>613100</v>
      </c>
      <c r="G17" s="354"/>
      <c r="H17" s="11" t="s">
        <v>83</v>
      </c>
      <c r="I17" s="384">
        <v>0</v>
      </c>
      <c r="J17" s="384">
        <v>0</v>
      </c>
      <c r="K17" s="538">
        <v>796</v>
      </c>
      <c r="L17" s="550">
        <v>0</v>
      </c>
      <c r="M17" s="385">
        <v>0</v>
      </c>
      <c r="N17" s="742">
        <f t="shared" ref="N17:N26" si="10">SUM(L17:M17)</f>
        <v>0</v>
      </c>
      <c r="O17" s="737" t="str">
        <f t="shared" si="4"/>
        <v/>
      </c>
      <c r="P17" s="369">
        <v>0</v>
      </c>
    </row>
    <row r="18" spans="1:17" ht="12.95" customHeight="1">
      <c r="B18" s="10"/>
      <c r="C18" s="11"/>
      <c r="D18" s="11"/>
      <c r="E18" s="309"/>
      <c r="F18" s="328">
        <v>613200</v>
      </c>
      <c r="G18" s="354"/>
      <c r="H18" s="11" t="s">
        <v>84</v>
      </c>
      <c r="I18" s="384">
        <f t="shared" ref="I18:J26" si="11">SUM(G18:H18)</f>
        <v>0</v>
      </c>
      <c r="J18" s="384">
        <f t="shared" si="11"/>
        <v>0</v>
      </c>
      <c r="K18" s="538">
        <v>0</v>
      </c>
      <c r="L18" s="550">
        <v>0</v>
      </c>
      <c r="M18" s="385">
        <v>0</v>
      </c>
      <c r="N18" s="742">
        <f t="shared" si="10"/>
        <v>0</v>
      </c>
      <c r="O18" s="737" t="str">
        <f t="shared" si="4"/>
        <v/>
      </c>
      <c r="P18" s="369"/>
    </row>
    <row r="19" spans="1:17" ht="12.95" customHeight="1">
      <c r="B19" s="10"/>
      <c r="C19" s="11"/>
      <c r="D19" s="11"/>
      <c r="E19" s="309"/>
      <c r="F19" s="328">
        <v>613300</v>
      </c>
      <c r="G19" s="354"/>
      <c r="H19" s="20" t="s">
        <v>171</v>
      </c>
      <c r="I19" s="384">
        <v>0</v>
      </c>
      <c r="J19" s="384">
        <v>0</v>
      </c>
      <c r="K19" s="538">
        <v>700</v>
      </c>
      <c r="L19" s="550">
        <v>0</v>
      </c>
      <c r="M19" s="385">
        <v>0</v>
      </c>
      <c r="N19" s="742">
        <f t="shared" si="10"/>
        <v>0</v>
      </c>
      <c r="O19" s="737" t="str">
        <f t="shared" si="4"/>
        <v/>
      </c>
      <c r="P19" s="369">
        <v>0</v>
      </c>
    </row>
    <row r="20" spans="1:17" ht="12.95" customHeight="1">
      <c r="B20" s="10"/>
      <c r="C20" s="11"/>
      <c r="D20" s="11"/>
      <c r="E20" s="309"/>
      <c r="F20" s="328">
        <v>613400</v>
      </c>
      <c r="G20" s="354"/>
      <c r="H20" s="11" t="s">
        <v>148</v>
      </c>
      <c r="I20" s="384">
        <f t="shared" si="11"/>
        <v>0</v>
      </c>
      <c r="J20" s="384">
        <f t="shared" si="11"/>
        <v>0</v>
      </c>
      <c r="K20" s="538">
        <v>0</v>
      </c>
      <c r="L20" s="550">
        <v>0</v>
      </c>
      <c r="M20" s="385">
        <v>0</v>
      </c>
      <c r="N20" s="742">
        <f t="shared" si="10"/>
        <v>0</v>
      </c>
      <c r="O20" s="737" t="str">
        <f t="shared" si="4"/>
        <v/>
      </c>
      <c r="P20" s="369"/>
    </row>
    <row r="21" spans="1:17" ht="12.95" customHeight="1">
      <c r="B21" s="10"/>
      <c r="C21" s="11"/>
      <c r="D21" s="11"/>
      <c r="E21" s="309"/>
      <c r="F21" s="328">
        <v>613500</v>
      </c>
      <c r="G21" s="354"/>
      <c r="H21" s="11" t="s">
        <v>85</v>
      </c>
      <c r="I21" s="384">
        <f t="shared" si="11"/>
        <v>0</v>
      </c>
      <c r="J21" s="384">
        <f t="shared" si="11"/>
        <v>0</v>
      </c>
      <c r="K21" s="538">
        <v>0</v>
      </c>
      <c r="L21" s="550">
        <v>0</v>
      </c>
      <c r="M21" s="385">
        <v>0</v>
      </c>
      <c r="N21" s="742">
        <f t="shared" si="10"/>
        <v>0</v>
      </c>
      <c r="O21" s="737" t="str">
        <f t="shared" si="4"/>
        <v/>
      </c>
      <c r="P21" s="369"/>
    </row>
    <row r="22" spans="1:17" ht="12.95" customHeight="1">
      <c r="B22" s="10"/>
      <c r="C22" s="11"/>
      <c r="D22" s="11"/>
      <c r="E22" s="309"/>
      <c r="F22" s="328">
        <v>613600</v>
      </c>
      <c r="G22" s="354"/>
      <c r="H22" s="20" t="s">
        <v>172</v>
      </c>
      <c r="I22" s="384">
        <f t="shared" si="11"/>
        <v>0</v>
      </c>
      <c r="J22" s="384">
        <f t="shared" si="11"/>
        <v>0</v>
      </c>
      <c r="K22" s="538">
        <v>0</v>
      </c>
      <c r="L22" s="550">
        <v>0</v>
      </c>
      <c r="M22" s="385">
        <v>0</v>
      </c>
      <c r="N22" s="742">
        <f t="shared" si="10"/>
        <v>0</v>
      </c>
      <c r="O22" s="737" t="str">
        <f t="shared" si="4"/>
        <v/>
      </c>
      <c r="P22" s="369"/>
    </row>
    <row r="23" spans="1:17" ht="12.95" customHeight="1">
      <c r="B23" s="10"/>
      <c r="C23" s="11"/>
      <c r="D23" s="11"/>
      <c r="E23" s="309"/>
      <c r="F23" s="328">
        <v>613700</v>
      </c>
      <c r="G23" s="354"/>
      <c r="H23" s="11" t="s">
        <v>86</v>
      </c>
      <c r="I23" s="384">
        <v>0</v>
      </c>
      <c r="J23" s="384">
        <v>0</v>
      </c>
      <c r="K23" s="538">
        <v>391</v>
      </c>
      <c r="L23" s="550">
        <v>0</v>
      </c>
      <c r="M23" s="385">
        <v>0</v>
      </c>
      <c r="N23" s="742">
        <f t="shared" si="10"/>
        <v>0</v>
      </c>
      <c r="O23" s="737" t="str">
        <f t="shared" si="4"/>
        <v/>
      </c>
      <c r="P23" s="369">
        <v>0</v>
      </c>
    </row>
    <row r="24" spans="1:17" ht="12.95" customHeight="1">
      <c r="B24" s="10"/>
      <c r="C24" s="11"/>
      <c r="D24" s="11"/>
      <c r="E24" s="309"/>
      <c r="F24" s="328">
        <v>613800</v>
      </c>
      <c r="G24" s="354"/>
      <c r="H24" s="11" t="s">
        <v>149</v>
      </c>
      <c r="I24" s="384">
        <f t="shared" si="11"/>
        <v>0</v>
      </c>
      <c r="J24" s="384">
        <f t="shared" si="11"/>
        <v>0</v>
      </c>
      <c r="K24" s="538">
        <v>0</v>
      </c>
      <c r="L24" s="550">
        <v>0</v>
      </c>
      <c r="M24" s="385">
        <v>0</v>
      </c>
      <c r="N24" s="742">
        <f t="shared" si="10"/>
        <v>0</v>
      </c>
      <c r="O24" s="737" t="str">
        <f t="shared" si="4"/>
        <v/>
      </c>
      <c r="P24" s="369"/>
      <c r="Q24" s="55"/>
    </row>
    <row r="25" spans="1:17" ht="12.95" customHeight="1">
      <c r="B25" s="10"/>
      <c r="C25" s="11"/>
      <c r="D25" s="11"/>
      <c r="E25" s="309"/>
      <c r="F25" s="328">
        <v>613900</v>
      </c>
      <c r="G25" s="354"/>
      <c r="H25" s="11" t="s">
        <v>150</v>
      </c>
      <c r="I25" s="384">
        <v>0</v>
      </c>
      <c r="J25" s="384">
        <v>0</v>
      </c>
      <c r="K25" s="538">
        <v>1095</v>
      </c>
      <c r="L25" s="549">
        <v>0</v>
      </c>
      <c r="M25" s="387">
        <v>0</v>
      </c>
      <c r="N25" s="742">
        <f t="shared" si="10"/>
        <v>0</v>
      </c>
      <c r="O25" s="737" t="str">
        <f t="shared" si="4"/>
        <v/>
      </c>
      <c r="P25" s="369">
        <v>0</v>
      </c>
    </row>
    <row r="26" spans="1:17" ht="12.95" customHeight="1">
      <c r="B26" s="10"/>
      <c r="C26" s="11"/>
      <c r="D26" s="11"/>
      <c r="E26" s="309"/>
      <c r="F26" s="328">
        <v>613900</v>
      </c>
      <c r="G26" s="354"/>
      <c r="H26" s="211" t="s">
        <v>452</v>
      </c>
      <c r="I26" s="384">
        <f t="shared" si="11"/>
        <v>0</v>
      </c>
      <c r="J26" s="384">
        <f t="shared" si="11"/>
        <v>0</v>
      </c>
      <c r="K26" s="538">
        <v>0</v>
      </c>
      <c r="L26" s="550">
        <v>0</v>
      </c>
      <c r="M26" s="385">
        <v>0</v>
      </c>
      <c r="N26" s="742">
        <f t="shared" si="10"/>
        <v>0</v>
      </c>
      <c r="O26" s="737" t="str">
        <f t="shared" si="4"/>
        <v/>
      </c>
      <c r="P26" s="369"/>
    </row>
    <row r="27" spans="1:17" ht="8.1" customHeight="1">
      <c r="B27" s="10"/>
      <c r="C27" s="11"/>
      <c r="D27" s="11"/>
      <c r="E27" s="309"/>
      <c r="F27" s="328"/>
      <c r="G27" s="354"/>
      <c r="H27" s="11"/>
      <c r="I27" s="381"/>
      <c r="J27" s="381"/>
      <c r="K27" s="537"/>
      <c r="L27" s="748"/>
      <c r="M27" s="311"/>
      <c r="N27" s="732"/>
      <c r="O27" s="737" t="str">
        <f t="shared" si="4"/>
        <v/>
      </c>
      <c r="P27" s="369"/>
    </row>
    <row r="28" spans="1:17" s="1" customFormat="1" ht="12.95" customHeight="1">
      <c r="A28" s="304"/>
      <c r="B28" s="12"/>
      <c r="C28" s="8"/>
      <c r="D28" s="8"/>
      <c r="E28" s="652"/>
      <c r="F28" s="338">
        <v>614000</v>
      </c>
      <c r="G28" s="365"/>
      <c r="H28" s="8" t="s">
        <v>173</v>
      </c>
      <c r="I28" s="381">
        <f t="shared" ref="I28:N28" si="12">SUM(I29:I29)</f>
        <v>0</v>
      </c>
      <c r="J28" s="381">
        <f t="shared" si="12"/>
        <v>0</v>
      </c>
      <c r="K28" s="537">
        <f>K29</f>
        <v>20000</v>
      </c>
      <c r="L28" s="748">
        <f t="shared" si="12"/>
        <v>0</v>
      </c>
      <c r="M28" s="311">
        <f t="shared" si="12"/>
        <v>0</v>
      </c>
      <c r="N28" s="732">
        <f t="shared" si="12"/>
        <v>0</v>
      </c>
      <c r="O28" s="736" t="str">
        <f t="shared" si="4"/>
        <v/>
      </c>
      <c r="P28" s="368">
        <v>0</v>
      </c>
    </row>
    <row r="29" spans="1:17" ht="12.95" customHeight="1">
      <c r="B29" s="10"/>
      <c r="C29" s="11"/>
      <c r="D29" s="24"/>
      <c r="E29" s="24"/>
      <c r="F29" s="376">
        <v>614200</v>
      </c>
      <c r="G29" s="362" t="s">
        <v>547</v>
      </c>
      <c r="H29" s="41" t="s">
        <v>98</v>
      </c>
      <c r="I29" s="384">
        <v>0</v>
      </c>
      <c r="J29" s="384">
        <v>0</v>
      </c>
      <c r="K29" s="538">
        <v>20000</v>
      </c>
      <c r="L29" s="549">
        <v>0</v>
      </c>
      <c r="M29" s="303">
        <v>0</v>
      </c>
      <c r="N29" s="742">
        <f>SUM(L29:M29)</f>
        <v>0</v>
      </c>
      <c r="O29" s="737" t="str">
        <f t="shared" si="4"/>
        <v/>
      </c>
      <c r="P29" s="369">
        <v>0</v>
      </c>
    </row>
    <row r="30" spans="1:17" ht="8.1" customHeight="1">
      <c r="B30" s="10"/>
      <c r="C30" s="11"/>
      <c r="D30" s="11"/>
      <c r="E30" s="648"/>
      <c r="F30" s="336"/>
      <c r="G30" s="361"/>
      <c r="H30" s="11"/>
      <c r="I30" s="384"/>
      <c r="J30" s="384"/>
      <c r="K30" s="538"/>
      <c r="L30" s="550"/>
      <c r="M30" s="302"/>
      <c r="N30" s="743"/>
      <c r="O30" s="737" t="str">
        <f t="shared" si="4"/>
        <v/>
      </c>
      <c r="P30" s="369"/>
    </row>
    <row r="31" spans="1:17" s="1" customFormat="1" ht="12.95" customHeight="1">
      <c r="A31" s="304"/>
      <c r="B31" s="12"/>
      <c r="C31" s="8"/>
      <c r="D31" s="8"/>
      <c r="E31" s="8"/>
      <c r="F31" s="327">
        <v>821000</v>
      </c>
      <c r="G31" s="353"/>
      <c r="H31" s="8" t="s">
        <v>89</v>
      </c>
      <c r="I31" s="381">
        <f t="shared" ref="I31" si="13">SUM(I32:I33)</f>
        <v>0</v>
      </c>
      <c r="J31" s="381">
        <f t="shared" ref="J31" si="14">SUM(J32:J33)</f>
        <v>0</v>
      </c>
      <c r="K31" s="537">
        <f>SUM(K32:K33)</f>
        <v>953</v>
      </c>
      <c r="L31" s="748">
        <f t="shared" ref="L31" si="15">SUM(L32:L33)</f>
        <v>0</v>
      </c>
      <c r="M31" s="311">
        <f>SUM(M32:M33)</f>
        <v>0</v>
      </c>
      <c r="N31" s="732">
        <f>SUM(N32:N33)</f>
        <v>0</v>
      </c>
      <c r="O31" s="736" t="str">
        <f t="shared" si="4"/>
        <v/>
      </c>
      <c r="P31" s="368">
        <v>0</v>
      </c>
    </row>
    <row r="32" spans="1:17" ht="12.95" customHeight="1">
      <c r="B32" s="10"/>
      <c r="C32" s="11"/>
      <c r="D32" s="11"/>
      <c r="E32" s="309"/>
      <c r="F32" s="328">
        <v>821200</v>
      </c>
      <c r="G32" s="354"/>
      <c r="H32" s="11" t="s">
        <v>90</v>
      </c>
      <c r="I32" s="384">
        <f t="shared" ref="I32:J32" si="16">SUM(G32:H32)</f>
        <v>0</v>
      </c>
      <c r="J32" s="384">
        <f t="shared" si="16"/>
        <v>0</v>
      </c>
      <c r="K32" s="538">
        <v>0</v>
      </c>
      <c r="L32" s="549">
        <v>0</v>
      </c>
      <c r="M32" s="303">
        <v>0</v>
      </c>
      <c r="N32" s="742">
        <f t="shared" ref="N32:N33" si="17">SUM(L32:M32)</f>
        <v>0</v>
      </c>
      <c r="O32" s="737" t="str">
        <f t="shared" si="4"/>
        <v/>
      </c>
      <c r="P32" s="369"/>
    </row>
    <row r="33" spans="1:16" ht="12.95" customHeight="1">
      <c r="B33" s="10"/>
      <c r="C33" s="11"/>
      <c r="D33" s="11"/>
      <c r="E33" s="309"/>
      <c r="F33" s="328">
        <v>821300</v>
      </c>
      <c r="G33" s="354"/>
      <c r="H33" s="11" t="s">
        <v>91</v>
      </c>
      <c r="I33" s="384">
        <v>0</v>
      </c>
      <c r="J33" s="384">
        <v>0</v>
      </c>
      <c r="K33" s="538">
        <v>953</v>
      </c>
      <c r="L33" s="550">
        <v>0</v>
      </c>
      <c r="M33" s="302">
        <v>0</v>
      </c>
      <c r="N33" s="742">
        <f t="shared" si="17"/>
        <v>0</v>
      </c>
      <c r="O33" s="737" t="str">
        <f t="shared" si="4"/>
        <v/>
      </c>
      <c r="P33" s="369">
        <v>0</v>
      </c>
    </row>
    <row r="34" spans="1:16" ht="8.1" customHeight="1">
      <c r="B34" s="10"/>
      <c r="C34" s="11"/>
      <c r="D34" s="11"/>
      <c r="E34" s="309"/>
      <c r="F34" s="328"/>
      <c r="G34" s="354"/>
      <c r="H34" s="11"/>
      <c r="I34" s="384"/>
      <c r="J34" s="384"/>
      <c r="K34" s="538"/>
      <c r="L34" s="550"/>
      <c r="M34" s="302"/>
      <c r="N34" s="743"/>
      <c r="O34" s="737" t="str">
        <f>IF(J34=0,"",N34/J34*100)</f>
        <v/>
      </c>
      <c r="P34" s="369"/>
    </row>
    <row r="35" spans="1:16" s="1" customFormat="1" ht="12.95" customHeight="1">
      <c r="A35" s="304"/>
      <c r="B35" s="12"/>
      <c r="C35" s="8"/>
      <c r="D35" s="8"/>
      <c r="E35" s="8"/>
      <c r="F35" s="327"/>
      <c r="G35" s="353"/>
      <c r="H35" s="8" t="s">
        <v>92</v>
      </c>
      <c r="I35" s="381">
        <v>0</v>
      </c>
      <c r="J35" s="381">
        <v>0</v>
      </c>
      <c r="K35" s="537">
        <v>2</v>
      </c>
      <c r="L35" s="746">
        <v>0</v>
      </c>
      <c r="M35" s="318"/>
      <c r="N35" s="732">
        <v>0</v>
      </c>
      <c r="O35" s="737"/>
      <c r="P35" s="369"/>
    </row>
    <row r="36" spans="1:16" s="1" customFormat="1" ht="12.95" customHeight="1">
      <c r="A36" s="304"/>
      <c r="B36" s="12"/>
      <c r="C36" s="8"/>
      <c r="D36" s="8"/>
      <c r="E36" s="8"/>
      <c r="F36" s="327"/>
      <c r="G36" s="353"/>
      <c r="H36" s="8" t="s">
        <v>110</v>
      </c>
      <c r="I36" s="15">
        <f t="shared" ref="I36:N36" si="18">I31+I28+I16+I13+I8</f>
        <v>0</v>
      </c>
      <c r="J36" s="311">
        <f t="shared" ref="J36" si="19">J31+J28+J16+J13+J8</f>
        <v>0</v>
      </c>
      <c r="K36" s="561">
        <f t="shared" si="18"/>
        <v>82766</v>
      </c>
      <c r="L36" s="568">
        <f t="shared" si="18"/>
        <v>0</v>
      </c>
      <c r="M36" s="311">
        <f t="shared" si="18"/>
        <v>0</v>
      </c>
      <c r="N36" s="732">
        <f t="shared" si="18"/>
        <v>0</v>
      </c>
      <c r="O36" s="736" t="str">
        <f>IF(J36=0,"",N36/J36*100)</f>
        <v/>
      </c>
      <c r="P36" s="368">
        <v>0</v>
      </c>
    </row>
    <row r="37" spans="1:16" s="1" customFormat="1" ht="12.95" customHeight="1">
      <c r="A37" s="304"/>
      <c r="B37" s="12"/>
      <c r="C37" s="8"/>
      <c r="D37" s="8"/>
      <c r="E37" s="8"/>
      <c r="F37" s="327"/>
      <c r="G37" s="353"/>
      <c r="H37" s="8" t="s">
        <v>93</v>
      </c>
      <c r="I37" s="15"/>
      <c r="J37" s="15"/>
      <c r="K37" s="561"/>
      <c r="L37" s="568"/>
      <c r="M37" s="311"/>
      <c r="N37" s="732"/>
      <c r="O37" s="750"/>
      <c r="P37" s="375"/>
    </row>
    <row r="38" spans="1:16" s="1" customFormat="1" ht="12.95" customHeight="1">
      <c r="A38" s="304"/>
      <c r="B38" s="12"/>
      <c r="C38" s="8"/>
      <c r="D38" s="8"/>
      <c r="E38" s="8"/>
      <c r="F38" s="327"/>
      <c r="G38" s="353"/>
      <c r="H38" s="8" t="s">
        <v>94</v>
      </c>
      <c r="I38" s="30"/>
      <c r="J38" s="30"/>
      <c r="K38" s="572"/>
      <c r="L38" s="566"/>
      <c r="M38" s="302"/>
      <c r="N38" s="743"/>
      <c r="O38" s="738"/>
      <c r="P38" s="370"/>
    </row>
    <row r="39" spans="1:16" ht="8.1" customHeight="1" thickBot="1">
      <c r="B39" s="16"/>
      <c r="C39" s="17"/>
      <c r="D39" s="17"/>
      <c r="E39" s="17"/>
      <c r="F39" s="329"/>
      <c r="G39" s="355"/>
      <c r="H39" s="17"/>
      <c r="I39" s="17"/>
      <c r="J39" s="17"/>
      <c r="K39" s="27"/>
      <c r="L39" s="16"/>
      <c r="M39" s="17"/>
      <c r="N39" s="735"/>
      <c r="O39" s="739"/>
      <c r="P39" s="371"/>
    </row>
    <row r="40" spans="1:16" ht="12.95" customHeight="1">
      <c r="F40" s="330"/>
      <c r="G40" s="356"/>
      <c r="N40" s="409"/>
    </row>
    <row r="41" spans="1:16" ht="12.95" customHeight="1">
      <c r="B41" s="55"/>
      <c r="F41" s="330"/>
      <c r="G41" s="356"/>
      <c r="N41" s="409"/>
    </row>
    <row r="42" spans="1:16" ht="12.95" customHeight="1">
      <c r="F42" s="330"/>
      <c r="G42" s="356"/>
      <c r="N42" s="409"/>
    </row>
    <row r="43" spans="1:16" ht="12.95" customHeight="1">
      <c r="F43" s="330"/>
      <c r="G43" s="356"/>
      <c r="N43" s="409"/>
    </row>
    <row r="44" spans="1:16" ht="12.95" customHeight="1">
      <c r="F44" s="330"/>
      <c r="G44" s="356"/>
      <c r="N44" s="409"/>
    </row>
    <row r="45" spans="1:16" ht="12.95" customHeight="1">
      <c r="F45" s="330"/>
      <c r="G45" s="356"/>
      <c r="N45" s="409"/>
    </row>
    <row r="46" spans="1:16" ht="12.95" customHeight="1">
      <c r="F46" s="330"/>
      <c r="G46" s="356"/>
      <c r="N46" s="409"/>
    </row>
    <row r="47" spans="1:16" ht="12.95" customHeight="1">
      <c r="F47" s="330"/>
      <c r="G47" s="356"/>
      <c r="N47" s="409"/>
    </row>
    <row r="48" spans="1:16" ht="12.95" customHeight="1">
      <c r="F48" s="330"/>
      <c r="G48" s="356"/>
      <c r="N48" s="409"/>
    </row>
    <row r="49" spans="6:14" ht="12.95" customHeight="1">
      <c r="F49" s="330"/>
      <c r="G49" s="356"/>
      <c r="N49" s="409"/>
    </row>
    <row r="50" spans="6:14" ht="12.95" customHeight="1">
      <c r="F50" s="330"/>
      <c r="G50" s="356"/>
      <c r="N50" s="409"/>
    </row>
    <row r="51" spans="6:14" ht="12.95" customHeight="1">
      <c r="F51" s="330"/>
      <c r="G51" s="356"/>
      <c r="N51" s="409"/>
    </row>
    <row r="52" spans="6:14" ht="12.95" customHeight="1">
      <c r="F52" s="330"/>
      <c r="G52" s="356"/>
      <c r="N52" s="409"/>
    </row>
    <row r="53" spans="6:14" ht="12.95" customHeight="1">
      <c r="F53" s="330"/>
      <c r="G53" s="356"/>
      <c r="N53" s="409"/>
    </row>
    <row r="54" spans="6:14" ht="12.95" customHeight="1">
      <c r="F54" s="330"/>
      <c r="G54" s="356"/>
      <c r="N54" s="409"/>
    </row>
    <row r="55" spans="6:14" ht="12.95" customHeight="1">
      <c r="F55" s="330"/>
      <c r="G55" s="356"/>
      <c r="N55" s="409"/>
    </row>
    <row r="56" spans="6:14" ht="12.95" customHeight="1">
      <c r="F56" s="330"/>
      <c r="G56" s="356"/>
      <c r="N56" s="409"/>
    </row>
    <row r="57" spans="6:14" ht="12.95" customHeight="1">
      <c r="F57" s="330"/>
      <c r="G57" s="356"/>
      <c r="N57" s="409"/>
    </row>
    <row r="58" spans="6:14" ht="12.95" customHeight="1">
      <c r="F58" s="330"/>
      <c r="G58" s="356"/>
      <c r="N58" s="409"/>
    </row>
    <row r="59" spans="6:14" ht="12.95" customHeight="1">
      <c r="F59" s="330"/>
      <c r="G59" s="356"/>
      <c r="N59" s="409"/>
    </row>
    <row r="60" spans="6:14" ht="17.100000000000001" customHeight="1">
      <c r="F60" s="330"/>
      <c r="G60" s="356"/>
      <c r="N60" s="409"/>
    </row>
    <row r="61" spans="6:14" ht="14.25">
      <c r="F61" s="330"/>
      <c r="G61" s="356"/>
      <c r="N61" s="409"/>
    </row>
    <row r="62" spans="6:14" ht="14.25">
      <c r="F62" s="330"/>
      <c r="G62" s="356"/>
      <c r="N62" s="409"/>
    </row>
    <row r="63" spans="6:14" ht="14.25">
      <c r="F63" s="330"/>
      <c r="G63" s="356"/>
      <c r="N63" s="409"/>
    </row>
    <row r="64" spans="6:14" ht="14.25">
      <c r="F64" s="330"/>
      <c r="G64" s="356"/>
      <c r="N64" s="409"/>
    </row>
    <row r="65" spans="6:14" ht="14.25">
      <c r="F65" s="330"/>
      <c r="G65" s="356"/>
      <c r="N65" s="409"/>
    </row>
    <row r="66" spans="6:14" ht="14.25">
      <c r="F66" s="330"/>
      <c r="G66" s="356"/>
      <c r="N66" s="409"/>
    </row>
    <row r="67" spans="6:14" ht="14.25">
      <c r="F67" s="330"/>
      <c r="G67" s="356"/>
      <c r="N67" s="409"/>
    </row>
    <row r="68" spans="6:14" ht="14.25">
      <c r="F68" s="330"/>
      <c r="G68" s="356"/>
      <c r="N68" s="409"/>
    </row>
    <row r="69" spans="6:14" ht="14.25">
      <c r="F69" s="330"/>
      <c r="G69" s="356"/>
      <c r="N69" s="409"/>
    </row>
    <row r="70" spans="6:14" ht="14.25">
      <c r="F70" s="330"/>
      <c r="G70" s="356"/>
      <c r="N70" s="409"/>
    </row>
    <row r="71" spans="6:14" ht="14.25">
      <c r="F71" s="330"/>
      <c r="G71" s="356"/>
      <c r="N71" s="409"/>
    </row>
    <row r="72" spans="6:14" ht="14.25">
      <c r="F72" s="330"/>
      <c r="G72" s="356"/>
      <c r="N72" s="409"/>
    </row>
    <row r="73" spans="6:14" ht="14.25">
      <c r="F73" s="330"/>
      <c r="G73" s="356"/>
      <c r="N73" s="409"/>
    </row>
    <row r="74" spans="6:14" ht="14.25">
      <c r="F74" s="330"/>
      <c r="G74" s="330"/>
      <c r="N74" s="409"/>
    </row>
    <row r="75" spans="6:14" ht="14.25">
      <c r="F75" s="330"/>
      <c r="G75" s="330"/>
      <c r="N75" s="409"/>
    </row>
    <row r="76" spans="6:14" ht="14.25">
      <c r="F76" s="330"/>
      <c r="G76" s="330"/>
      <c r="N76" s="409"/>
    </row>
    <row r="77" spans="6:14" ht="14.25">
      <c r="F77" s="330"/>
      <c r="G77" s="330"/>
      <c r="N77" s="409"/>
    </row>
    <row r="78" spans="6:14" ht="14.25">
      <c r="F78" s="330"/>
      <c r="G78" s="330"/>
      <c r="N78" s="409"/>
    </row>
    <row r="79" spans="6:14" ht="14.25">
      <c r="F79" s="330"/>
      <c r="G79" s="330"/>
      <c r="N79" s="409"/>
    </row>
    <row r="80" spans="6:14" ht="14.25">
      <c r="F80" s="330"/>
      <c r="G80" s="330"/>
      <c r="N80" s="409"/>
    </row>
    <row r="81" spans="6:14" ht="14.25">
      <c r="F81" s="330"/>
      <c r="G81" s="330"/>
      <c r="N81" s="409"/>
    </row>
    <row r="82" spans="6:14" ht="14.25">
      <c r="F82" s="330"/>
      <c r="G82" s="330"/>
      <c r="N82" s="409"/>
    </row>
    <row r="83" spans="6:14" ht="14.25">
      <c r="F83" s="330"/>
      <c r="G83" s="330"/>
      <c r="N83" s="409"/>
    </row>
    <row r="84" spans="6:14" ht="14.25">
      <c r="F84" s="330"/>
      <c r="G84" s="330"/>
      <c r="N84" s="409"/>
    </row>
    <row r="85" spans="6:14" ht="14.25">
      <c r="F85" s="330"/>
      <c r="G85" s="330"/>
      <c r="N85" s="409"/>
    </row>
    <row r="86" spans="6:14" ht="14.25">
      <c r="F86" s="330"/>
      <c r="G86" s="330"/>
      <c r="N86" s="409"/>
    </row>
    <row r="87" spans="6:14" ht="14.25">
      <c r="F87" s="330"/>
      <c r="G87" s="330"/>
      <c r="N87" s="409"/>
    </row>
    <row r="88" spans="6:14" ht="14.25">
      <c r="F88" s="330"/>
      <c r="G88" s="330"/>
      <c r="N88" s="409"/>
    </row>
    <row r="89" spans="6:14" ht="14.25">
      <c r="F89" s="330"/>
      <c r="G89" s="330"/>
      <c r="N89" s="409"/>
    </row>
    <row r="90" spans="6:14" ht="14.25">
      <c r="F90" s="330"/>
      <c r="G90" s="330"/>
      <c r="N90" s="409"/>
    </row>
    <row r="91" spans="6:14">
      <c r="G91" s="330"/>
    </row>
    <row r="92" spans="6:14">
      <c r="G92" s="330"/>
    </row>
    <row r="93" spans="6:14">
      <c r="G93" s="330"/>
    </row>
    <row r="94" spans="6:14">
      <c r="G94" s="330"/>
    </row>
    <row r="95" spans="6:14">
      <c r="G95" s="330"/>
    </row>
    <row r="96" spans="6:14">
      <c r="G96" s="330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39370078740157483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13</vt:i4>
      </vt:variant>
    </vt:vector>
  </HeadingPairs>
  <TitlesOfParts>
    <vt:vector size="59" baseType="lpstr">
      <vt:lpstr>Naslovnica</vt:lpstr>
      <vt:lpstr>Sadrzaj</vt:lpstr>
      <vt:lpstr>Uvod</vt:lpstr>
      <vt:lpstr>Prihodi</vt:lpstr>
      <vt:lpstr>Rashodi</vt:lpstr>
      <vt:lpstr>1</vt:lpstr>
      <vt:lpstr>3</vt:lpstr>
      <vt:lpstr>4 (S)</vt:lpstr>
      <vt:lpstr>5</vt:lpstr>
      <vt:lpstr>6</vt:lpstr>
      <vt:lpstr>7</vt:lpstr>
      <vt:lpstr>4 (N)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2021-02-26T08:13:13Z</cp:lastPrinted>
  <dcterms:created xsi:type="dcterms:W3CDTF">2004-07-23T11:14:23Z</dcterms:created>
  <dcterms:modified xsi:type="dcterms:W3CDTF">2021-03-04T08:47:24Z</dcterms:modified>
</cp:coreProperties>
</file>