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5" yWindow="-180" windowWidth="28785" windowHeight="6705" tabRatio="964" firstSheet="6" activeTab="25"/>
  </bookViews>
  <sheets>
    <sheet name="Naslovnica" sheetId="65120" state="hidden" r:id="rId1"/>
    <sheet name="Sadrzaj" sheetId="65121" state="hidden" r:id="rId2"/>
    <sheet name="Uvod" sheetId="304" state="hidden" r:id="rId3"/>
    <sheet name="CODE" sheetId="65119" state="veryHidden" r:id="rId4"/>
    <sheet name="Prihodi" sheetId="65139" state="hidden" r:id="rId5"/>
    <sheet name="Rashodi" sheetId="300" state="hidden" r:id="rId6"/>
    <sheet name="1" sheetId="16" r:id="rId7"/>
    <sheet name="2" sheetId="65065" r:id="rId8"/>
    <sheet name="4 (S)" sheetId="65066" state="hidden" r:id="rId9"/>
    <sheet name="3" sheetId="65067" r:id="rId10"/>
    <sheet name="4" sheetId="65099" r:id="rId11"/>
    <sheet name="5" sheetId="65123" r:id="rId12"/>
    <sheet name="6" sheetId="65140" r:id="rId13"/>
    <sheet name="7" sheetId="65068" r:id="rId14"/>
    <sheet name="8" sheetId="65069" r:id="rId15"/>
    <sheet name="9" sheetId="65070" r:id="rId16"/>
    <sheet name="10" sheetId="65071" r:id="rId17"/>
    <sheet name="11" sheetId="65074" r:id="rId18"/>
    <sheet name="12" sheetId="65100" r:id="rId19"/>
    <sheet name="13" sheetId="65115" r:id="rId20"/>
    <sheet name="14" sheetId="65141" r:id="rId21"/>
    <sheet name="15" sheetId="65075" r:id="rId22"/>
    <sheet name="16" sheetId="65076" r:id="rId23"/>
    <sheet name="17" sheetId="65077" r:id="rId24"/>
    <sheet name="18" sheetId="65078" r:id="rId25"/>
    <sheet name="19" sheetId="65079" r:id="rId26"/>
    <sheet name="20" sheetId="65080" r:id="rId27"/>
    <sheet name="21" sheetId="65082" r:id="rId28"/>
    <sheet name="22" sheetId="65081" r:id="rId29"/>
    <sheet name="23" sheetId="65122" r:id="rId30"/>
    <sheet name="24" sheetId="65083" r:id="rId31"/>
    <sheet name="25" sheetId="65084" r:id="rId32"/>
    <sheet name="26" sheetId="65085" r:id="rId33"/>
    <sheet name="27" sheetId="65086" r:id="rId34"/>
    <sheet name="28" sheetId="65087" r:id="rId35"/>
    <sheet name="29" sheetId="65088" r:id="rId36"/>
    <sheet name="30" sheetId="65089" r:id="rId37"/>
    <sheet name="31" sheetId="65093" r:id="rId38"/>
    <sheet name="32" sheetId="65094" r:id="rId39"/>
    <sheet name="33" sheetId="65095" r:id="rId40"/>
    <sheet name="34" sheetId="65096" r:id="rId41"/>
    <sheet name="35" sheetId="65097" r:id="rId42"/>
    <sheet name="36" sheetId="65098" r:id="rId43"/>
    <sheet name="37" sheetId="65105" r:id="rId44"/>
    <sheet name="Sumarno" sheetId="65124" state="hidden" r:id="rId45"/>
    <sheet name="Funkcijska" sheetId="65137" state="hidden" r:id="rId46"/>
    <sheet name="Kap.pror." sheetId="65125" state="hidden" r:id="rId47"/>
    <sheet name="Kraj" sheetId="65061" state="hidden" r:id="rId48"/>
  </sheets>
  <definedNames>
    <definedName name="ACCOUNTEDPERIODTYPE1" localSheetId="20">#REF!</definedName>
    <definedName name="ACCOUNTEDPERIODTYPE1" localSheetId="12">#REF!</definedName>
    <definedName name="ACCOUNTEDPERIODTYPE1">#REF!</definedName>
    <definedName name="APPSUSERNAME1" localSheetId="20">#REF!</definedName>
    <definedName name="APPSUSERNAME1" localSheetId="12">#REF!</definedName>
    <definedName name="APPSUSERNAME1">#REF!</definedName>
    <definedName name="BUDGETORGID1" localSheetId="20">#REF!</definedName>
    <definedName name="BUDGETORGID1" localSheetId="12">#REF!</definedName>
    <definedName name="BUDGETORGID1">#REF!</definedName>
    <definedName name="BUDGETORGNAME1" localSheetId="20">#REF!</definedName>
    <definedName name="BUDGETORGNAME1" localSheetId="12">#REF!</definedName>
    <definedName name="BUDGETORGNAME1">#REF!</definedName>
    <definedName name="CHARTOFACCOUNTSID1" localSheetId="20">#REF!</definedName>
    <definedName name="CHARTOFACCOUNTSID1" localSheetId="12">#REF!</definedName>
    <definedName name="CHARTOFACCOUNTSID1">#REF!</definedName>
    <definedName name="CONNECTSTRING1" localSheetId="20">#REF!</definedName>
    <definedName name="CONNECTSTRING1" localSheetId="12">#REF!</definedName>
    <definedName name="CONNECTSTRING1">#REF!</definedName>
    <definedName name="CREATESUMMARYJNLS1" localSheetId="20">#REF!</definedName>
    <definedName name="CREATESUMMARYJNLS1" localSheetId="12">#REF!</definedName>
    <definedName name="CREATESUMMARYJNLS1">#REF!</definedName>
    <definedName name="CRITERIACOLUMN1" localSheetId="20">#REF!</definedName>
    <definedName name="CRITERIACOLUMN1" localSheetId="12">#REF!</definedName>
    <definedName name="CRITERIACOLUMN1">#REF!</definedName>
    <definedName name="DBNAME1" localSheetId="20">#REF!</definedName>
    <definedName name="DBNAME1" localSheetId="12">#REF!</definedName>
    <definedName name="DBNAME1">#REF!</definedName>
    <definedName name="DBUSERNAME1" localSheetId="20">#REF!</definedName>
    <definedName name="DBUSERNAME1" localSheetId="12">#REF!</definedName>
    <definedName name="DBUSERNAME1">#REF!</definedName>
    <definedName name="DELETELOGICTYPE1" localSheetId="20">#REF!</definedName>
    <definedName name="DELETELOGICTYPE1" localSheetId="12">#REF!</definedName>
    <definedName name="DELETELOGICTYPE1">#REF!</definedName>
    <definedName name="FFAPPCOLNAME1_1" localSheetId="20">#REF!</definedName>
    <definedName name="FFAPPCOLNAME1_1" localSheetId="12">#REF!</definedName>
    <definedName name="FFAPPCOLNAME1_1">#REF!</definedName>
    <definedName name="FFAPPCOLNAME2_1" localSheetId="20">#REF!</definedName>
    <definedName name="FFAPPCOLNAME2_1" localSheetId="12">#REF!</definedName>
    <definedName name="FFAPPCOLNAME2_1">#REF!</definedName>
    <definedName name="FFAPPCOLNAME3_1" localSheetId="20">#REF!</definedName>
    <definedName name="FFAPPCOLNAME3_1" localSheetId="12">#REF!</definedName>
    <definedName name="FFAPPCOLNAME3_1">#REF!</definedName>
    <definedName name="FFAPPCOLNAME4_1" localSheetId="20">#REF!</definedName>
    <definedName name="FFAPPCOLNAME4_1" localSheetId="12">#REF!</definedName>
    <definedName name="FFAPPCOLNAME4_1">#REF!</definedName>
    <definedName name="FFAPPCOLNAME5_1" localSheetId="20">#REF!</definedName>
    <definedName name="FFAPPCOLNAME5_1" localSheetId="12">#REF!</definedName>
    <definedName name="FFAPPCOLNAME5_1">#REF!</definedName>
    <definedName name="FFAPPCOLNAME6_1" localSheetId="20">#REF!</definedName>
    <definedName name="FFAPPCOLNAME6_1" localSheetId="12">#REF!</definedName>
    <definedName name="FFAPPCOLNAME6_1">#REF!</definedName>
    <definedName name="FFSEGMENT1_1" localSheetId="20">#REF!</definedName>
    <definedName name="FFSEGMENT1_1" localSheetId="12">#REF!</definedName>
    <definedName name="FFSEGMENT1_1">#REF!</definedName>
    <definedName name="FFSEGMENT2_1" localSheetId="20">#REF!</definedName>
    <definedName name="FFSEGMENT2_1" localSheetId="12">#REF!</definedName>
    <definedName name="FFSEGMENT2_1">#REF!</definedName>
    <definedName name="FFSEGMENT3_1" localSheetId="20">#REF!</definedName>
    <definedName name="FFSEGMENT3_1" localSheetId="12">#REF!</definedName>
    <definedName name="FFSEGMENT3_1">#REF!</definedName>
    <definedName name="FFSEGMENT4_1" localSheetId="20">#REF!</definedName>
    <definedName name="FFSEGMENT4_1" localSheetId="12">#REF!</definedName>
    <definedName name="FFSEGMENT4_1">#REF!</definedName>
    <definedName name="FFSEGMENT5_1" localSheetId="20">#REF!</definedName>
    <definedName name="FFSEGMENT5_1" localSheetId="12">#REF!</definedName>
    <definedName name="FFSEGMENT5_1">#REF!</definedName>
    <definedName name="FFSEGMENT6_1" localSheetId="20">#REF!</definedName>
    <definedName name="FFSEGMENT6_1" localSheetId="12">#REF!</definedName>
    <definedName name="FFSEGMENT6_1">#REF!</definedName>
    <definedName name="FFSEGSEPARATOR1" localSheetId="20">#REF!</definedName>
    <definedName name="FFSEGSEPARATOR1" localSheetId="12">#REF!</definedName>
    <definedName name="FFSEGSEPARATOR1">#REF!</definedName>
    <definedName name="FIELDNAMECOLUMN1" localSheetId="20">#REF!</definedName>
    <definedName name="FIELDNAMECOLUMN1" localSheetId="12">#REF!</definedName>
    <definedName name="FIELDNAMECOLUMN1">#REF!</definedName>
    <definedName name="FIELDNAMEROW1" localSheetId="20">#REF!</definedName>
    <definedName name="FIELDNAMEROW1" localSheetId="12">#REF!</definedName>
    <definedName name="FIELDNAMEROW1">#REF!</definedName>
    <definedName name="FIRSTDATAROW1" localSheetId="20">#REF!</definedName>
    <definedName name="FIRSTDATAROW1" localSheetId="12">#REF!</definedName>
    <definedName name="FIRSTDATAROW1">#REF!</definedName>
    <definedName name="FNDNAM1" localSheetId="20">#REF!</definedName>
    <definedName name="FNDNAM1" localSheetId="12">#REF!</definedName>
    <definedName name="FNDNAM1">#REF!</definedName>
    <definedName name="FNDUSERID1" localSheetId="20">#REF!</definedName>
    <definedName name="FNDUSERID1" localSheetId="12">#REF!</definedName>
    <definedName name="FNDUSERID1">#REF!</definedName>
    <definedName name="FUNCTIONALCURRENCY1" localSheetId="20">#REF!</definedName>
    <definedName name="FUNCTIONALCURRENCY1" localSheetId="12">#REF!</definedName>
    <definedName name="FUNCTIONALCURRENCY1">#REF!</definedName>
    <definedName name="GWYUID1" localSheetId="20">#REF!</definedName>
    <definedName name="GWYUID1" localSheetId="12">#REF!</definedName>
    <definedName name="GWYUID1">#REF!</definedName>
    <definedName name="IMPORTDFF1" localSheetId="20">#REF!</definedName>
    <definedName name="IMPORTDFF1" localSheetId="12">#REF!</definedName>
    <definedName name="IMPORTDFF1">#REF!</definedName>
    <definedName name="_xlnm.Print_Titles" localSheetId="45">Funkcijska!$1:$6</definedName>
    <definedName name="_xlnm.Print_Titles" localSheetId="4">Prihodi!$2:$4</definedName>
    <definedName name="_xlnm.Print_Titles" localSheetId="5">Rashodi!$1:$6</definedName>
    <definedName name="LABELTEXTCOLUMN1" localSheetId="20">#REF!</definedName>
    <definedName name="LABELTEXTCOLUMN1" localSheetId="12">#REF!</definedName>
    <definedName name="LABELTEXTCOLUMN1">#REF!</definedName>
    <definedName name="LABELTEXTROW1" localSheetId="20">#REF!</definedName>
    <definedName name="LABELTEXTROW1" localSheetId="12">#REF!</definedName>
    <definedName name="LABELTEXTROW1">#REF!</definedName>
    <definedName name="NOOFFFSEGMENTS1" localSheetId="20">#REF!</definedName>
    <definedName name="NOOFFFSEGMENTS1" localSheetId="12">#REF!</definedName>
    <definedName name="NOOFFFSEGMENTS1">#REF!</definedName>
    <definedName name="NUMBEROFDETAILFIELDS1" localSheetId="20">#REF!</definedName>
    <definedName name="NUMBEROFDETAILFIELDS1" localSheetId="12">#REF!</definedName>
    <definedName name="NUMBEROFDETAILFIELDS1">#REF!</definedName>
    <definedName name="NUMBEROFHEADERFIELDS1" localSheetId="20">#REF!</definedName>
    <definedName name="NUMBEROFHEADERFIELDS1" localSheetId="12">#REF!</definedName>
    <definedName name="NUMBEROFHEADERFIELDS1">#REF!</definedName>
    <definedName name="PERIODSETNAME1" localSheetId="20">#REF!</definedName>
    <definedName name="PERIODSETNAME1" localSheetId="12">#REF!</definedName>
    <definedName name="PERIODSETNAME1">#REF!</definedName>
    <definedName name="_xlnm.Print_Area" localSheetId="21">'15'!$A$1:$O$47</definedName>
    <definedName name="_xlnm.Print_Area" localSheetId="22">'16'!$A$1:$O$54</definedName>
    <definedName name="_xlnm.Print_Area" localSheetId="23">'17'!$A$1:$O$44</definedName>
    <definedName name="_xlnm.Print_Area" localSheetId="27">'21'!$A$1:$O$36</definedName>
    <definedName name="_xlnm.Print_Area" localSheetId="45">Funkcijska!$A$7:$G$106</definedName>
    <definedName name="_xlnm.Print_Area" localSheetId="47">Kraj!$A$1:$H$22</definedName>
    <definedName name="_xlnm.Print_Area" localSheetId="4">Prihodi!$B$4:$H$257</definedName>
    <definedName name="_xlnm.Print_Area" localSheetId="5">Rashodi!$C$7:$L$128</definedName>
    <definedName name="_xlnm.Print_Area" localSheetId="1">Sadrzaj!$A$1:$U$32</definedName>
    <definedName name="_xlnm.Print_Area" localSheetId="2">Uvod!$B$1:$H$51</definedName>
    <definedName name="POSTERRORSTOSUSP1" localSheetId="20">#REF!</definedName>
    <definedName name="POSTERRORSTOSUSP1" localSheetId="12">#REF!</definedName>
    <definedName name="POSTERRORSTOSUSP1">#REF!</definedName>
    <definedName name="RESPONSIBILITYAPPLICATIONID1" localSheetId="20">#REF!</definedName>
    <definedName name="RESPONSIBILITYAPPLICATIONID1" localSheetId="12">#REF!</definedName>
    <definedName name="RESPONSIBILITYAPPLICATIONID1">#REF!</definedName>
    <definedName name="RESPONSIBILITYID1" localSheetId="20">#REF!</definedName>
    <definedName name="RESPONSIBILITYID1" localSheetId="12">#REF!</definedName>
    <definedName name="RESPONSIBILITYID1">#REF!</definedName>
    <definedName name="RESPONSIBILITYNAME1" localSheetId="20">#REF!</definedName>
    <definedName name="RESPONSIBILITYNAME1" localSheetId="12">#REF!</definedName>
    <definedName name="RESPONSIBILITYNAME1">#REF!</definedName>
    <definedName name="ROWSTOUPLOAD1" localSheetId="20">#REF!</definedName>
    <definedName name="ROWSTOUPLOAD1" localSheetId="12">#REF!</definedName>
    <definedName name="ROWSTOUPLOAD1">#REF!</definedName>
    <definedName name="SETOFBOOKSID1" localSheetId="20">#REF!</definedName>
    <definedName name="SETOFBOOKSID1" localSheetId="12">#REF!</definedName>
    <definedName name="SETOFBOOKSID1">#REF!</definedName>
    <definedName name="SETOFBOOKSNAME1" localSheetId="20">#REF!</definedName>
    <definedName name="SETOFBOOKSNAME1" localSheetId="12">#REF!</definedName>
    <definedName name="SETOFBOOKSNAME1">#REF!</definedName>
    <definedName name="STARTJOURNALIMPORT1" localSheetId="20">#REF!</definedName>
    <definedName name="STARTJOURNALIMPORT1" localSheetId="12">#REF!</definedName>
    <definedName name="STARTJOURNALIMPORT1">#REF!</definedName>
    <definedName name="TEMPLATENUMBER1" localSheetId="20">#REF!</definedName>
    <definedName name="TEMPLATENUMBER1" localSheetId="12">#REF!</definedName>
    <definedName name="TEMPLATENUMBER1">#REF!</definedName>
    <definedName name="TEMPLATESTYLE1" localSheetId="20">#REF!</definedName>
    <definedName name="TEMPLATESTYLE1" localSheetId="12">#REF!</definedName>
    <definedName name="TEMPLATESTYLE1">#REF!</definedName>
    <definedName name="TEMPLATETYPE1" localSheetId="20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J31" i="65079"/>
  <c r="K28" i="65105" l="1"/>
  <c r="K16"/>
  <c r="K13"/>
  <c r="K8"/>
  <c r="J28"/>
  <c r="J16"/>
  <c r="J13"/>
  <c r="J8"/>
  <c r="J28" i="65098"/>
  <c r="J16"/>
  <c r="J13"/>
  <c r="J8"/>
  <c r="K28" i="65097"/>
  <c r="K16"/>
  <c r="K13"/>
  <c r="K8"/>
  <c r="J28"/>
  <c r="J16"/>
  <c r="J13"/>
  <c r="J8"/>
  <c r="K28" i="65096"/>
  <c r="K16"/>
  <c r="K13"/>
  <c r="K8"/>
  <c r="J28"/>
  <c r="J16"/>
  <c r="J13"/>
  <c r="J8"/>
  <c r="K32" i="65095"/>
  <c r="K28"/>
  <c r="K16"/>
  <c r="K13"/>
  <c r="K8"/>
  <c r="J32"/>
  <c r="J28"/>
  <c r="J16"/>
  <c r="J13"/>
  <c r="J8"/>
  <c r="J8" i="65094"/>
  <c r="J13"/>
  <c r="J33" s="1"/>
  <c r="J34" s="1"/>
  <c r="J35" s="1"/>
  <c r="J16"/>
  <c r="J28"/>
  <c r="K8"/>
  <c r="K13"/>
  <c r="K33" s="1"/>
  <c r="K34" s="1"/>
  <c r="K35" s="1"/>
  <c r="K16"/>
  <c r="K28"/>
  <c r="K31" i="65093"/>
  <c r="K28"/>
  <c r="K16"/>
  <c r="K13"/>
  <c r="K8"/>
  <c r="J31"/>
  <c r="J28"/>
  <c r="J16"/>
  <c r="J13"/>
  <c r="J8"/>
  <c r="K28" i="65089"/>
  <c r="K16"/>
  <c r="K13"/>
  <c r="K8"/>
  <c r="J28"/>
  <c r="J16"/>
  <c r="J13"/>
  <c r="J8"/>
  <c r="K28" i="65088"/>
  <c r="K16"/>
  <c r="K13"/>
  <c r="K8"/>
  <c r="J28"/>
  <c r="J16"/>
  <c r="J13"/>
  <c r="J8"/>
  <c r="K28" i="65087"/>
  <c r="K16"/>
  <c r="K13"/>
  <c r="K8"/>
  <c r="J28"/>
  <c r="J16"/>
  <c r="J13"/>
  <c r="J8"/>
  <c r="K28" i="65086"/>
  <c r="K16"/>
  <c r="K13"/>
  <c r="K8"/>
  <c r="J28"/>
  <c r="J16"/>
  <c r="J13"/>
  <c r="J8"/>
  <c r="K28" i="65085"/>
  <c r="K16"/>
  <c r="K13"/>
  <c r="K8"/>
  <c r="J28"/>
  <c r="J16"/>
  <c r="J13"/>
  <c r="J8"/>
  <c r="K28" i="65084"/>
  <c r="K16"/>
  <c r="K13"/>
  <c r="K8"/>
  <c r="J28"/>
  <c r="J16"/>
  <c r="J13"/>
  <c r="J8"/>
  <c r="K28" i="65083"/>
  <c r="K16"/>
  <c r="K13"/>
  <c r="K8"/>
  <c r="J28"/>
  <c r="J16"/>
  <c r="J13"/>
  <c r="J8"/>
  <c r="K28" i="65122"/>
  <c r="K16"/>
  <c r="K13"/>
  <c r="K8"/>
  <c r="J28"/>
  <c r="J16"/>
  <c r="J13"/>
  <c r="J8"/>
  <c r="K28" i="65081"/>
  <c r="K16"/>
  <c r="K13"/>
  <c r="K8"/>
  <c r="J28"/>
  <c r="J16"/>
  <c r="J13"/>
  <c r="J8"/>
  <c r="K28" i="65082"/>
  <c r="K16"/>
  <c r="K13"/>
  <c r="K8"/>
  <c r="J28"/>
  <c r="J16"/>
  <c r="J13"/>
  <c r="J8"/>
  <c r="K41" i="65080"/>
  <c r="K31"/>
  <c r="K16"/>
  <c r="K13"/>
  <c r="K8"/>
  <c r="J41"/>
  <c r="J31"/>
  <c r="J16"/>
  <c r="J13"/>
  <c r="J8"/>
  <c r="K38" i="65079"/>
  <c r="K34"/>
  <c r="K28"/>
  <c r="K16"/>
  <c r="K13"/>
  <c r="K8"/>
  <c r="J38"/>
  <c r="J34"/>
  <c r="J28"/>
  <c r="J16"/>
  <c r="J13"/>
  <c r="J8"/>
  <c r="K32" i="65078"/>
  <c r="K29"/>
  <c r="K16"/>
  <c r="K13"/>
  <c r="K8"/>
  <c r="J32"/>
  <c r="J16"/>
  <c r="J13"/>
  <c r="J8"/>
  <c r="K34" i="65077"/>
  <c r="K28"/>
  <c r="K16"/>
  <c r="K13"/>
  <c r="K8"/>
  <c r="J34"/>
  <c r="J28"/>
  <c r="J16"/>
  <c r="J13"/>
  <c r="J8"/>
  <c r="K45" i="65076"/>
  <c r="K41"/>
  <c r="K37"/>
  <c r="K32"/>
  <c r="K19"/>
  <c r="K16"/>
  <c r="K11"/>
  <c r="K8"/>
  <c r="J45"/>
  <c r="J41"/>
  <c r="J37"/>
  <c r="J32"/>
  <c r="J19"/>
  <c r="J16"/>
  <c r="J11"/>
  <c r="J8"/>
  <c r="K37" i="65075"/>
  <c r="K33"/>
  <c r="K29"/>
  <c r="K16"/>
  <c r="K13"/>
  <c r="K8"/>
  <c r="J37"/>
  <c r="J33"/>
  <c r="J29"/>
  <c r="J16"/>
  <c r="J13"/>
  <c r="J8"/>
  <c r="K28" i="65115"/>
  <c r="K16"/>
  <c r="K13"/>
  <c r="K8"/>
  <c r="J28"/>
  <c r="J16"/>
  <c r="J13"/>
  <c r="J8"/>
  <c r="K28" i="65100"/>
  <c r="K16"/>
  <c r="K13"/>
  <c r="K8"/>
  <c r="J28"/>
  <c r="J16"/>
  <c r="J13"/>
  <c r="J8"/>
  <c r="K28" i="65074"/>
  <c r="K16"/>
  <c r="K13"/>
  <c r="K8"/>
  <c r="J28"/>
  <c r="J16"/>
  <c r="J13"/>
  <c r="J8"/>
  <c r="K29" i="65071"/>
  <c r="K16"/>
  <c r="K13"/>
  <c r="K8"/>
  <c r="J29"/>
  <c r="J16"/>
  <c r="J13"/>
  <c r="J8"/>
  <c r="K30" i="65070"/>
  <c r="K16"/>
  <c r="K13"/>
  <c r="K8"/>
  <c r="J30"/>
  <c r="J16"/>
  <c r="J13"/>
  <c r="J8"/>
  <c r="K29" i="65069"/>
  <c r="K17"/>
  <c r="K14"/>
  <c r="K13"/>
  <c r="K8"/>
  <c r="J29"/>
  <c r="J17"/>
  <c r="J13"/>
  <c r="J8"/>
  <c r="K28" i="65068"/>
  <c r="K16"/>
  <c r="K13"/>
  <c r="K8"/>
  <c r="J28"/>
  <c r="J16"/>
  <c r="J13"/>
  <c r="J8"/>
  <c r="K31" i="65140"/>
  <c r="K28"/>
  <c r="K16"/>
  <c r="K13"/>
  <c r="K8"/>
  <c r="J31"/>
  <c r="J28"/>
  <c r="J16"/>
  <c r="J13"/>
  <c r="J8"/>
  <c r="K28" i="65123"/>
  <c r="K16"/>
  <c r="K13"/>
  <c r="K8"/>
  <c r="J28"/>
  <c r="J16"/>
  <c r="J13"/>
  <c r="J8"/>
  <c r="K28" i="65099"/>
  <c r="K16"/>
  <c r="K13"/>
  <c r="K8"/>
  <c r="J28"/>
  <c r="J16"/>
  <c r="J13"/>
  <c r="J8"/>
  <c r="K28" i="65067"/>
  <c r="K16"/>
  <c r="K13"/>
  <c r="K8"/>
  <c r="J28"/>
  <c r="J16"/>
  <c r="J13"/>
  <c r="J8"/>
  <c r="K46" i="65065"/>
  <c r="K43"/>
  <c r="K34"/>
  <c r="K21"/>
  <c r="K18"/>
  <c r="K13"/>
  <c r="K8"/>
  <c r="J46"/>
  <c r="J43"/>
  <c r="J34"/>
  <c r="J32"/>
  <c r="J31"/>
  <c r="J21"/>
  <c r="J18"/>
  <c r="J16"/>
  <c r="J15"/>
  <c r="J13"/>
  <c r="J8"/>
  <c r="J28" i="16" l="1"/>
  <c r="J16"/>
  <c r="J13"/>
  <c r="J11"/>
  <c r="J8" s="1"/>
  <c r="K28"/>
  <c r="K16"/>
  <c r="K13"/>
  <c r="K8"/>
  <c r="H199" i="65139" l="1"/>
  <c r="H198"/>
  <c r="F257" l="1"/>
  <c r="F251"/>
  <c r="F250" s="1"/>
  <c r="F249" s="1"/>
  <c r="F248" s="1"/>
  <c r="F246"/>
  <c r="F242"/>
  <c r="F239"/>
  <c r="F238" s="1"/>
  <c r="F236"/>
  <c r="F231"/>
  <c r="F221"/>
  <c r="F220" s="1"/>
  <c r="F219" s="1"/>
  <c r="F211"/>
  <c r="F210" s="1"/>
  <c r="F212"/>
  <c r="F207"/>
  <c r="F200"/>
  <c r="F189"/>
  <c r="F183"/>
  <c r="F181"/>
  <c r="F180"/>
  <c r="F179" s="1"/>
  <c r="F53"/>
  <c r="F49"/>
  <c r="F48" s="1"/>
  <c r="F47" s="1"/>
  <c r="F141"/>
  <c r="F140" s="1"/>
  <c r="F137"/>
  <c r="F135"/>
  <c r="F133"/>
  <c r="F131"/>
  <c r="F130" s="1"/>
  <c r="F128"/>
  <c r="F123"/>
  <c r="F118"/>
  <c r="F110"/>
  <c r="F109" s="1"/>
  <c r="F104"/>
  <c r="F89"/>
  <c r="F98"/>
  <c r="F97"/>
  <c r="F94"/>
  <c r="F87"/>
  <c r="F86" s="1"/>
  <c r="F84"/>
  <c r="F82"/>
  <c r="F79"/>
  <c r="F77"/>
  <c r="F75"/>
  <c r="F72"/>
  <c r="F68"/>
  <c r="F63"/>
  <c r="F64"/>
  <c r="F56"/>
  <c r="F57"/>
  <c r="F39"/>
  <c r="F38" s="1"/>
  <c r="F36"/>
  <c r="F34"/>
  <c r="F29"/>
  <c r="F28" s="1"/>
  <c r="F21"/>
  <c r="F20" s="1"/>
  <c r="F17"/>
  <c r="F16" s="1"/>
  <c r="F13"/>
  <c r="F6" s="1"/>
  <c r="F7"/>
  <c r="F169"/>
  <c r="F170"/>
  <c r="F163"/>
  <c r="H167"/>
  <c r="F155"/>
  <c r="F151"/>
  <c r="F148"/>
  <c r="F145"/>
  <c r="K28" i="65098"/>
  <c r="K16"/>
  <c r="K13"/>
  <c r="K8"/>
  <c r="F230" i="65139" l="1"/>
  <c r="F229" s="1"/>
  <c r="F218" s="1"/>
  <c r="F103"/>
  <c r="F81" s="1"/>
  <c r="F62" s="1"/>
  <c r="F5"/>
  <c r="K33" i="65074"/>
  <c r="K34" i="65071"/>
  <c r="K33" i="65123"/>
  <c r="K33" i="65099"/>
  <c r="K33" i="65067"/>
  <c r="K52" i="65065"/>
  <c r="I28" i="65105"/>
  <c r="I16"/>
  <c r="I14"/>
  <c r="I13"/>
  <c r="I10"/>
  <c r="I9"/>
  <c r="I8" s="1"/>
  <c r="I28" i="65098"/>
  <c r="I16"/>
  <c r="I13"/>
  <c r="I28" i="65097"/>
  <c r="I16"/>
  <c r="I14"/>
  <c r="I13" s="1"/>
  <c r="I10"/>
  <c r="I9"/>
  <c r="I8"/>
  <c r="I28" i="65096"/>
  <c r="I16"/>
  <c r="I14"/>
  <c r="I13"/>
  <c r="I10"/>
  <c r="I9"/>
  <c r="I8" s="1"/>
  <c r="I32" i="65095"/>
  <c r="I28"/>
  <c r="I16"/>
  <c r="I14"/>
  <c r="I13"/>
  <c r="I10"/>
  <c r="I9"/>
  <c r="I8"/>
  <c r="I28" i="65094"/>
  <c r="I16"/>
  <c r="I14"/>
  <c r="I13"/>
  <c r="I10"/>
  <c r="I9"/>
  <c r="I8" s="1"/>
  <c r="I31" i="65093"/>
  <c r="I28"/>
  <c r="I25"/>
  <c r="I16"/>
  <c r="I14"/>
  <c r="I13"/>
  <c r="I10"/>
  <c r="I9"/>
  <c r="I8" s="1"/>
  <c r="I28" i="65089"/>
  <c r="I16"/>
  <c r="I14"/>
  <c r="I13" s="1"/>
  <c r="I10"/>
  <c r="I9"/>
  <c r="I8"/>
  <c r="I28" i="65088"/>
  <c r="I16"/>
  <c r="I14"/>
  <c r="I13" s="1"/>
  <c r="I10"/>
  <c r="I9"/>
  <c r="I8"/>
  <c r="I28" i="65087"/>
  <c r="I16"/>
  <c r="I14"/>
  <c r="I13"/>
  <c r="I10"/>
  <c r="I9"/>
  <c r="I8" s="1"/>
  <c r="I28" i="65086"/>
  <c r="I16"/>
  <c r="I14"/>
  <c r="I13"/>
  <c r="I10"/>
  <c r="I9"/>
  <c r="I8" s="1"/>
  <c r="I28" i="65085"/>
  <c r="I16"/>
  <c r="I14"/>
  <c r="I13"/>
  <c r="I10"/>
  <c r="I8"/>
  <c r="I28" i="65084"/>
  <c r="I16"/>
  <c r="I14"/>
  <c r="I13"/>
  <c r="I10"/>
  <c r="I9"/>
  <c r="I8" s="1"/>
  <c r="I28" i="65083"/>
  <c r="I16"/>
  <c r="I14"/>
  <c r="I13"/>
  <c r="I10"/>
  <c r="I9"/>
  <c r="I8" s="1"/>
  <c r="I28" i="65122"/>
  <c r="I16"/>
  <c r="I14"/>
  <c r="I13"/>
  <c r="I10"/>
  <c r="I9"/>
  <c r="I8" s="1"/>
  <c r="I28" i="65081"/>
  <c r="I16"/>
  <c r="I14"/>
  <c r="I13"/>
  <c r="I10"/>
  <c r="I9"/>
  <c r="I8" s="1"/>
  <c r="M29" i="65078"/>
  <c r="L29"/>
  <c r="I29"/>
  <c r="M8" i="65075"/>
  <c r="L8"/>
  <c r="M13"/>
  <c r="L13"/>
  <c r="M16"/>
  <c r="L16"/>
  <c r="M29"/>
  <c r="L29"/>
  <c r="M33"/>
  <c r="L33"/>
  <c r="I33"/>
  <c r="J28" i="65141"/>
  <c r="J16"/>
  <c r="J13"/>
  <c r="J8"/>
  <c r="E251" i="65139"/>
  <c r="E250" s="1"/>
  <c r="E249" s="1"/>
  <c r="E248" s="1"/>
  <c r="E242"/>
  <c r="E239"/>
  <c r="E238" s="1"/>
  <c r="E236"/>
  <c r="E231"/>
  <c r="E230"/>
  <c r="E229" s="1"/>
  <c r="E221"/>
  <c r="E220" s="1"/>
  <c r="E219" s="1"/>
  <c r="E212"/>
  <c r="E211" s="1"/>
  <c r="E210" s="1"/>
  <c r="E207"/>
  <c r="E205"/>
  <c r="E200"/>
  <c r="E192"/>
  <c r="E188" s="1"/>
  <c r="E187" s="1"/>
  <c r="E186" s="1"/>
  <c r="E189"/>
  <c r="E183"/>
  <c r="E181"/>
  <c r="E180" s="1"/>
  <c r="E179" s="1"/>
  <c r="E170"/>
  <c r="E169"/>
  <c r="E163"/>
  <c r="E155"/>
  <c r="E151"/>
  <c r="E148"/>
  <c r="E145"/>
  <c r="E141"/>
  <c r="E140" s="1"/>
  <c r="E137"/>
  <c r="E135"/>
  <c r="E133"/>
  <c r="E131"/>
  <c r="E130"/>
  <c r="E128"/>
  <c r="E123"/>
  <c r="E118"/>
  <c r="E110"/>
  <c r="E109" s="1"/>
  <c r="E104"/>
  <c r="E103" s="1"/>
  <c r="E98"/>
  <c r="E97" s="1"/>
  <c r="E94"/>
  <c r="E89"/>
  <c r="E87"/>
  <c r="E86" s="1"/>
  <c r="E81" s="1"/>
  <c r="E84"/>
  <c r="E82"/>
  <c r="E79"/>
  <c r="E77"/>
  <c r="E75"/>
  <c r="E72"/>
  <c r="E68"/>
  <c r="E64"/>
  <c r="E63" s="1"/>
  <c r="E62" s="1"/>
  <c r="E57"/>
  <c r="E56"/>
  <c r="E53"/>
  <c r="E49"/>
  <c r="E48" s="1"/>
  <c r="E47" s="1"/>
  <c r="E39"/>
  <c r="E38"/>
  <c r="E36"/>
  <c r="E34"/>
  <c r="E29"/>
  <c r="E28"/>
  <c r="E21"/>
  <c r="E20"/>
  <c r="E17"/>
  <c r="E16"/>
  <c r="E14"/>
  <c r="E13"/>
  <c r="E7"/>
  <c r="E6"/>
  <c r="E5" s="1"/>
  <c r="E176" s="1"/>
  <c r="D14"/>
  <c r="E178" l="1"/>
  <c r="F176"/>
  <c r="K33" i="65115"/>
  <c r="K33" i="65100"/>
  <c r="K35" i="65070"/>
  <c r="K34" i="65069"/>
  <c r="K33" i="65068"/>
  <c r="K36" i="65140"/>
  <c r="I8" i="65098"/>
  <c r="E218" i="65139"/>
  <c r="E246" s="1"/>
  <c r="E257" s="1"/>
  <c r="G118"/>
  <c r="D118"/>
  <c r="H120"/>
  <c r="H119"/>
  <c r="E25" i="65125" l="1"/>
  <c r="E92" i="300" l="1"/>
  <c r="G200" i="65139"/>
  <c r="G192" s="1"/>
  <c r="D200"/>
  <c r="D192" s="1"/>
  <c r="F192"/>
  <c r="F188" s="1"/>
  <c r="F187" s="1"/>
  <c r="F186" s="1"/>
  <c r="F178" s="1"/>
  <c r="H201"/>
  <c r="H202"/>
  <c r="J92" i="300" l="1"/>
  <c r="I92"/>
  <c r="H92"/>
  <c r="G92"/>
  <c r="F92"/>
  <c r="O34" i="65075"/>
  <c r="N34"/>
  <c r="K92" i="300" s="1"/>
  <c r="L92" l="1"/>
  <c r="G183" i="65139"/>
  <c r="D183"/>
  <c r="H184"/>
  <c r="G110" l="1"/>
  <c r="G109" s="1"/>
  <c r="N25" i="65085" l="1"/>
  <c r="D221" i="65139" l="1"/>
  <c r="G221"/>
  <c r="H228"/>
  <c r="H197"/>
  <c r="D145" l="1"/>
  <c r="I31" i="65080"/>
  <c r="I19" i="65076"/>
  <c r="I16"/>
  <c r="I29" i="65075"/>
  <c r="I29" i="65071"/>
  <c r="I30" i="65070"/>
  <c r="I17" i="65069"/>
  <c r="I29"/>
  <c r="I31" i="65140"/>
  <c r="I21" i="65065"/>
  <c r="I18"/>
  <c r="F36" i="304"/>
  <c r="F31"/>
  <c r="F21"/>
  <c r="H111" i="300"/>
  <c r="H110"/>
  <c r="H107"/>
  <c r="H106"/>
  <c r="H105"/>
  <c r="H104"/>
  <c r="H103"/>
  <c r="H102"/>
  <c r="H99"/>
  <c r="H98"/>
  <c r="H95"/>
  <c r="H94"/>
  <c r="H93"/>
  <c r="H91"/>
  <c r="H88"/>
  <c r="H87"/>
  <c r="H85"/>
  <c r="H84"/>
  <c r="H83"/>
  <c r="H82"/>
  <c r="H80"/>
  <c r="H79"/>
  <c r="H78"/>
  <c r="H77"/>
  <c r="H76"/>
  <c r="H75"/>
  <c r="H74"/>
  <c r="H73"/>
  <c r="H72"/>
  <c r="H71"/>
  <c r="H70"/>
  <c r="H68"/>
  <c r="H66"/>
  <c r="H65"/>
  <c r="H64"/>
  <c r="H63"/>
  <c r="H62"/>
  <c r="H61"/>
  <c r="H59"/>
  <c r="H58"/>
  <c r="H57"/>
  <c r="H56"/>
  <c r="H55"/>
  <c r="H54"/>
  <c r="H53"/>
  <c r="H52"/>
  <c r="H48"/>
  <c r="H47"/>
  <c r="H46"/>
  <c r="H45"/>
  <c r="H44"/>
  <c r="H43"/>
  <c r="H42"/>
  <c r="H41"/>
  <c r="H39"/>
  <c r="H38"/>
  <c r="H36"/>
  <c r="H35"/>
  <c r="H33"/>
  <c r="H32"/>
  <c r="H31"/>
  <c r="H30"/>
  <c r="H28"/>
  <c r="H27"/>
  <c r="H26"/>
  <c r="H23"/>
  <c r="H22"/>
  <c r="H18"/>
  <c r="H16"/>
  <c r="H13"/>
  <c r="H12"/>
  <c r="H11"/>
  <c r="H10"/>
  <c r="L19" i="65076"/>
  <c r="L17" i="65069"/>
  <c r="L18" i="65065"/>
  <c r="L21"/>
  <c r="L31" i="65093"/>
  <c r="I102" i="300"/>
  <c r="L31" i="65080"/>
  <c r="L29" i="65071"/>
  <c r="L30" i="65070"/>
  <c r="L29" i="65069"/>
  <c r="L31" i="65140"/>
  <c r="N33" i="65095"/>
  <c r="N33" i="65093"/>
  <c r="N33" i="65080"/>
  <c r="N33" i="65078"/>
  <c r="N33" i="65076"/>
  <c r="N33" i="65140"/>
  <c r="J33" i="65074"/>
  <c r="J33" i="65100"/>
  <c r="J33" i="65115"/>
  <c r="J34" s="1"/>
  <c r="J33" i="65141"/>
  <c r="J34" s="1"/>
  <c r="J33" i="65081"/>
  <c r="J33" i="65122"/>
  <c r="J33" i="65083"/>
  <c r="J33" i="65097"/>
  <c r="J34" s="1"/>
  <c r="J35" s="1"/>
  <c r="K28" i="65141"/>
  <c r="K16"/>
  <c r="K13"/>
  <c r="K8"/>
  <c r="K33" i="65097"/>
  <c r="K34" s="1"/>
  <c r="H121" i="65139"/>
  <c r="H118"/>
  <c r="H117"/>
  <c r="H116"/>
  <c r="H115"/>
  <c r="J103" i="300"/>
  <c r="I103"/>
  <c r="G103"/>
  <c r="J102"/>
  <c r="G102"/>
  <c r="F103"/>
  <c r="F102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39"/>
  <c r="I39"/>
  <c r="G39"/>
  <c r="J38"/>
  <c r="I38"/>
  <c r="G38"/>
  <c r="J36"/>
  <c r="I36"/>
  <c r="G36"/>
  <c r="J35"/>
  <c r="I35"/>
  <c r="G35"/>
  <c r="J33"/>
  <c r="I33"/>
  <c r="G33"/>
  <c r="J32"/>
  <c r="I32"/>
  <c r="G32"/>
  <c r="J31"/>
  <c r="I31"/>
  <c r="G31"/>
  <c r="J30"/>
  <c r="I30"/>
  <c r="G30"/>
  <c r="J28"/>
  <c r="I28"/>
  <c r="G28"/>
  <c r="J27"/>
  <c r="I27"/>
  <c r="G27"/>
  <c r="J26"/>
  <c r="I26"/>
  <c r="G26"/>
  <c r="F41"/>
  <c r="F38"/>
  <c r="F35"/>
  <c r="F33"/>
  <c r="F32"/>
  <c r="F30"/>
  <c r="F28"/>
  <c r="F27"/>
  <c r="F26"/>
  <c r="J22"/>
  <c r="I22"/>
  <c r="G22"/>
  <c r="F22"/>
  <c r="J19"/>
  <c r="I19"/>
  <c r="J18"/>
  <c r="I18"/>
  <c r="G18"/>
  <c r="F18"/>
  <c r="J16"/>
  <c r="I16"/>
  <c r="G16"/>
  <c r="F16"/>
  <c r="J33" i="65082" l="1"/>
  <c r="J34" i="65122" s="1"/>
  <c r="G29" i="300"/>
  <c r="G34"/>
  <c r="G37"/>
  <c r="G40"/>
  <c r="J40"/>
  <c r="H37"/>
  <c r="J33" i="65105"/>
  <c r="J34" s="1"/>
  <c r="J35" s="1"/>
  <c r="J33" i="65096"/>
  <c r="J34" s="1"/>
  <c r="J35" s="1"/>
  <c r="J33" i="65068"/>
  <c r="J33" i="65123"/>
  <c r="J33" i="65099"/>
  <c r="J33" i="65067"/>
  <c r="H81" i="300"/>
  <c r="H86"/>
  <c r="J33" i="65089"/>
  <c r="J33" i="65088"/>
  <c r="J33" i="65087"/>
  <c r="J33" i="65086"/>
  <c r="J33" i="65085"/>
  <c r="J33" i="65084"/>
  <c r="I34" i="300"/>
  <c r="F20" i="304"/>
  <c r="K33" i="65105"/>
  <c r="K34" s="1"/>
  <c r="K33" i="65098"/>
  <c r="K34" s="1"/>
  <c r="K35" i="65097"/>
  <c r="K33" i="65096"/>
  <c r="K34" s="1"/>
  <c r="K35" s="1"/>
  <c r="K38" i="65095"/>
  <c r="H67" i="300"/>
  <c r="K33" i="65089"/>
  <c r="K33" i="65088"/>
  <c r="K33" i="65087"/>
  <c r="K33" i="65086"/>
  <c r="K33" i="65085"/>
  <c r="K33" i="65084"/>
  <c r="K33" i="65083"/>
  <c r="K33" i="65122"/>
  <c r="K33" i="65081"/>
  <c r="K33" i="65082"/>
  <c r="H29" i="300"/>
  <c r="K46" i="65080"/>
  <c r="K43" i="65079"/>
  <c r="H34" i="300"/>
  <c r="K39" i="65078"/>
  <c r="K39" i="65077"/>
  <c r="H109" i="300"/>
  <c r="F38" i="304" s="1"/>
  <c r="F37" s="1"/>
  <c r="K50" i="65076"/>
  <c r="K42" i="65075"/>
  <c r="K43" s="1"/>
  <c r="K44" s="1"/>
  <c r="K33" i="65141"/>
  <c r="K34" s="1"/>
  <c r="K34" i="65115"/>
  <c r="K34" i="65100"/>
  <c r="K34" i="65068"/>
  <c r="K35" s="1"/>
  <c r="H40" i="300"/>
  <c r="F18" i="304"/>
  <c r="K35" i="65105"/>
  <c r="J33" i="65098"/>
  <c r="J34" s="1"/>
  <c r="J35" s="1"/>
  <c r="K35"/>
  <c r="K36" i="65093"/>
  <c r="J34" i="300"/>
  <c r="K35" i="65071"/>
  <c r="H51" i="300"/>
  <c r="H90"/>
  <c r="H69"/>
  <c r="H9"/>
  <c r="F23" i="304" s="1"/>
  <c r="F39"/>
  <c r="J37" i="300"/>
  <c r="H21"/>
  <c r="F25" i="304" s="1"/>
  <c r="H60" i="300"/>
  <c r="H97"/>
  <c r="H101"/>
  <c r="F33" i="304" s="1"/>
  <c r="F32" s="1"/>
  <c r="I29" i="300"/>
  <c r="I37"/>
  <c r="I40"/>
  <c r="J29"/>
  <c r="E69" i="65137"/>
  <c r="F31" i="300"/>
  <c r="N21" i="65080"/>
  <c r="K31" i="300" s="1"/>
  <c r="L31" s="1"/>
  <c r="K34" i="65089" l="1"/>
  <c r="H25" i="300"/>
  <c r="F26" i="304" s="1"/>
  <c r="K34" i="65122"/>
  <c r="J34" i="65089"/>
  <c r="F29" i="304"/>
  <c r="K35" i="65141"/>
  <c r="F28" i="304"/>
  <c r="F19"/>
  <c r="F17"/>
  <c r="K39" i="65095"/>
  <c r="K44" i="65079"/>
  <c r="K40" i="65078"/>
  <c r="K41" s="1"/>
  <c r="K40" i="65077"/>
  <c r="K51" i="65076"/>
  <c r="K35" i="65069"/>
  <c r="K37" i="65140"/>
  <c r="K37" i="65093"/>
  <c r="H50" i="300"/>
  <c r="O21" i="65080"/>
  <c r="H154" i="65139"/>
  <c r="K35" i="65089" l="1"/>
  <c r="F16" i="304"/>
  <c r="F42" s="1"/>
  <c r="F27"/>
  <c r="K40" i="65095"/>
  <c r="K45" i="65079"/>
  <c r="K41" i="65077"/>
  <c r="K52" i="65076"/>
  <c r="K36" i="65069"/>
  <c r="K38" i="65140"/>
  <c r="K38" i="65093"/>
  <c r="J104" i="300"/>
  <c r="I104"/>
  <c r="G104"/>
  <c r="F104"/>
  <c r="G105"/>
  <c r="I105"/>
  <c r="J105"/>
  <c r="N35" i="65095" l="1"/>
  <c r="E70" i="65137"/>
  <c r="F105" i="300"/>
  <c r="E11" i="65137"/>
  <c r="E19" i="65124"/>
  <c r="D19"/>
  <c r="C19"/>
  <c r="J25" i="300"/>
  <c r="G25"/>
  <c r="F29"/>
  <c r="J23"/>
  <c r="I23"/>
  <c r="G23"/>
  <c r="F23"/>
  <c r="O31" i="65141"/>
  <c r="N30"/>
  <c r="O30" s="1"/>
  <c r="O29"/>
  <c r="N29"/>
  <c r="M28"/>
  <c r="L28"/>
  <c r="I28"/>
  <c r="O27"/>
  <c r="O26"/>
  <c r="N26"/>
  <c r="N25"/>
  <c r="O25" s="1"/>
  <c r="O24"/>
  <c r="N24"/>
  <c r="O23"/>
  <c r="N23"/>
  <c r="O22"/>
  <c r="N22"/>
  <c r="O21"/>
  <c r="N21"/>
  <c r="O20"/>
  <c r="N20"/>
  <c r="O19"/>
  <c r="N19"/>
  <c r="O18"/>
  <c r="N18"/>
  <c r="N17"/>
  <c r="M16"/>
  <c r="L16"/>
  <c r="F19" i="65124" s="1"/>
  <c r="I16" i="65141"/>
  <c r="O15"/>
  <c r="N14"/>
  <c r="O14" s="1"/>
  <c r="M13"/>
  <c r="L13"/>
  <c r="I13"/>
  <c r="O12"/>
  <c r="O11"/>
  <c r="N11"/>
  <c r="N10"/>
  <c r="O10" s="1"/>
  <c r="N9"/>
  <c r="M8"/>
  <c r="L8"/>
  <c r="I8"/>
  <c r="N28" l="1"/>
  <c r="I33"/>
  <c r="I34" s="1"/>
  <c r="M33"/>
  <c r="M34" s="1"/>
  <c r="N16"/>
  <c r="O16" s="1"/>
  <c r="L33"/>
  <c r="L34" s="1"/>
  <c r="J19" i="65124"/>
  <c r="L19" s="1"/>
  <c r="D21" i="65125"/>
  <c r="C21" s="1"/>
  <c r="O28" i="65141"/>
  <c r="O17"/>
  <c r="J17" i="300"/>
  <c r="I25"/>
  <c r="O35" i="65095"/>
  <c r="K104" i="300"/>
  <c r="L104" s="1"/>
  <c r="O9" i="65141"/>
  <c r="N8"/>
  <c r="N13"/>
  <c r="O13" s="1"/>
  <c r="N33" l="1"/>
  <c r="O8"/>
  <c r="N34" l="1"/>
  <c r="O33"/>
  <c r="H196" i="65139"/>
  <c r="O34" i="65141" l="1"/>
  <c r="M28" i="16"/>
  <c r="L28"/>
  <c r="I28"/>
  <c r="N31"/>
  <c r="H122" i="65139"/>
  <c r="H114"/>
  <c r="H113"/>
  <c r="D251"/>
  <c r="D250" s="1"/>
  <c r="D249" s="1"/>
  <c r="D248" s="1"/>
  <c r="D242"/>
  <c r="D239"/>
  <c r="D238" s="1"/>
  <c r="D236"/>
  <c r="D231"/>
  <c r="D220"/>
  <c r="D219" s="1"/>
  <c r="D212"/>
  <c r="D211" s="1"/>
  <c r="D210" s="1"/>
  <c r="D207"/>
  <c r="D205"/>
  <c r="D189"/>
  <c r="D181"/>
  <c r="D170"/>
  <c r="D169" s="1"/>
  <c r="D163"/>
  <c r="D155"/>
  <c r="D151"/>
  <c r="D148"/>
  <c r="D141"/>
  <c r="D137"/>
  <c r="D135"/>
  <c r="D133"/>
  <c r="D131"/>
  <c r="D128"/>
  <c r="D123"/>
  <c r="D110"/>
  <c r="D109" s="1"/>
  <c r="D104"/>
  <c r="D98"/>
  <c r="D97" s="1"/>
  <c r="D94"/>
  <c r="D89"/>
  <c r="D84"/>
  <c r="D82"/>
  <c r="D79"/>
  <c r="D77"/>
  <c r="D75"/>
  <c r="D72"/>
  <c r="D68"/>
  <c r="D64"/>
  <c r="D57"/>
  <c r="D56" s="1"/>
  <c r="D53"/>
  <c r="D49"/>
  <c r="D36"/>
  <c r="D34"/>
  <c r="D29"/>
  <c r="D21"/>
  <c r="D20" s="1"/>
  <c r="D17"/>
  <c r="D16" s="1"/>
  <c r="D13"/>
  <c r="D7"/>
  <c r="D230" l="1"/>
  <c r="D229" s="1"/>
  <c r="D140"/>
  <c r="D63"/>
  <c r="D28"/>
  <c r="D6"/>
  <c r="O31" i="16"/>
  <c r="D188" i="65139"/>
  <c r="D187" s="1"/>
  <c r="D186" s="1"/>
  <c r="D39"/>
  <c r="D38" s="1"/>
  <c r="D87"/>
  <c r="D86" s="1"/>
  <c r="D180"/>
  <c r="D179" s="1"/>
  <c r="D48"/>
  <c r="D47" s="1"/>
  <c r="D130"/>
  <c r="D218"/>
  <c r="M13" i="65069"/>
  <c r="L13"/>
  <c r="I13"/>
  <c r="N15"/>
  <c r="D103" i="65139" l="1"/>
  <c r="D178"/>
  <c r="D5"/>
  <c r="D81"/>
  <c r="D62" s="1"/>
  <c r="O15" i="65069"/>
  <c r="K23" i="300"/>
  <c r="L23" s="1"/>
  <c r="D176" i="65139" l="1"/>
  <c r="D246" s="1"/>
  <c r="D257" s="1"/>
  <c r="G189"/>
  <c r="H191"/>
  <c r="G145" l="1"/>
  <c r="G148"/>
  <c r="G151"/>
  <c r="H153"/>
  <c r="H152"/>
  <c r="H150"/>
  <c r="H149"/>
  <c r="H147"/>
  <c r="H146"/>
  <c r="H78" l="1"/>
  <c r="G77"/>
  <c r="H77" s="1"/>
  <c r="G137" l="1"/>
  <c r="G212" l="1"/>
  <c r="H254"/>
  <c r="H256" l="1"/>
  <c r="H255"/>
  <c r="H253"/>
  <c r="H252"/>
  <c r="G250"/>
  <c r="G249" s="1"/>
  <c r="G248" s="1"/>
  <c r="G31" i="304" s="1"/>
  <c r="H250" i="65139"/>
  <c r="H248"/>
  <c r="H247"/>
  <c r="H245"/>
  <c r="H244"/>
  <c r="H243"/>
  <c r="G242"/>
  <c r="G21" i="304" s="1"/>
  <c r="H241" i="65139"/>
  <c r="H240"/>
  <c r="G239"/>
  <c r="G238" s="1"/>
  <c r="H239"/>
  <c r="H238"/>
  <c r="H237"/>
  <c r="G236"/>
  <c r="H236"/>
  <c r="H235"/>
  <c r="H234"/>
  <c r="H233"/>
  <c r="H232"/>
  <c r="G231"/>
  <c r="H227"/>
  <c r="H226"/>
  <c r="H225"/>
  <c r="H224"/>
  <c r="H223"/>
  <c r="H222"/>
  <c r="G220"/>
  <c r="G219" s="1"/>
  <c r="H217"/>
  <c r="H216"/>
  <c r="H212"/>
  <c r="G211"/>
  <c r="G210" s="1"/>
  <c r="H209"/>
  <c r="H208"/>
  <c r="G207"/>
  <c r="H206"/>
  <c r="G205"/>
  <c r="H205"/>
  <c r="H204"/>
  <c r="H203"/>
  <c r="H200"/>
  <c r="H195"/>
  <c r="H194"/>
  <c r="H193"/>
  <c r="G188"/>
  <c r="H190"/>
  <c r="H185"/>
  <c r="H182"/>
  <c r="G181"/>
  <c r="G180" s="1"/>
  <c r="G179" s="1"/>
  <c r="H181"/>
  <c r="H177"/>
  <c r="H175"/>
  <c r="H174"/>
  <c r="H173"/>
  <c r="H172"/>
  <c r="H171"/>
  <c r="G170"/>
  <c r="G169" s="1"/>
  <c r="H168"/>
  <c r="H166"/>
  <c r="H165"/>
  <c r="H164"/>
  <c r="G163"/>
  <c r="H162"/>
  <c r="H161"/>
  <c r="H160"/>
  <c r="H159"/>
  <c r="H158"/>
  <c r="H157"/>
  <c r="H156"/>
  <c r="G155"/>
  <c r="H151"/>
  <c r="H148"/>
  <c r="H145"/>
  <c r="H144"/>
  <c r="H143"/>
  <c r="H142"/>
  <c r="G141"/>
  <c r="H139"/>
  <c r="H138"/>
  <c r="H136"/>
  <c r="G135"/>
  <c r="H134"/>
  <c r="G133"/>
  <c r="H132"/>
  <c r="G131"/>
  <c r="H129"/>
  <c r="G128"/>
  <c r="H127"/>
  <c r="H126"/>
  <c r="H125"/>
  <c r="H124"/>
  <c r="G123"/>
  <c r="H112"/>
  <c r="H111"/>
  <c r="H108"/>
  <c r="H107"/>
  <c r="H106"/>
  <c r="H105"/>
  <c r="G104"/>
  <c r="H102"/>
  <c r="H101"/>
  <c r="H100"/>
  <c r="H99"/>
  <c r="G98"/>
  <c r="G97" s="1"/>
  <c r="H96"/>
  <c r="H95"/>
  <c r="G94"/>
  <c r="H93"/>
  <c r="H92"/>
  <c r="H91"/>
  <c r="H90"/>
  <c r="G89"/>
  <c r="G87" s="1"/>
  <c r="H88"/>
  <c r="H85"/>
  <c r="G84"/>
  <c r="H83"/>
  <c r="G82"/>
  <c r="H80"/>
  <c r="G79"/>
  <c r="H76"/>
  <c r="G75"/>
  <c r="H74"/>
  <c r="H73"/>
  <c r="G72"/>
  <c r="H71"/>
  <c r="H70"/>
  <c r="H69"/>
  <c r="G68"/>
  <c r="H67"/>
  <c r="H66"/>
  <c r="H65"/>
  <c r="G64"/>
  <c r="H61"/>
  <c r="H60"/>
  <c r="H59"/>
  <c r="H58"/>
  <c r="G57"/>
  <c r="G56" s="1"/>
  <c r="H55"/>
  <c r="H54"/>
  <c r="H52"/>
  <c r="H51"/>
  <c r="H50"/>
  <c r="G49"/>
  <c r="H46"/>
  <c r="H45"/>
  <c r="H44"/>
  <c r="H43"/>
  <c r="H42"/>
  <c r="H41"/>
  <c r="H40"/>
  <c r="G39"/>
  <c r="G38" s="1"/>
  <c r="H37"/>
  <c r="G36"/>
  <c r="H35"/>
  <c r="G34"/>
  <c r="H33"/>
  <c r="H32"/>
  <c r="H31"/>
  <c r="H30"/>
  <c r="G29"/>
  <c r="H27"/>
  <c r="H26"/>
  <c r="H25"/>
  <c r="H24"/>
  <c r="H23"/>
  <c r="H22"/>
  <c r="G21"/>
  <c r="G20" s="1"/>
  <c r="H19"/>
  <c r="H18"/>
  <c r="G17"/>
  <c r="G16" s="1"/>
  <c r="H15"/>
  <c r="H14"/>
  <c r="G13"/>
  <c r="H12"/>
  <c r="H11"/>
  <c r="H10"/>
  <c r="H9"/>
  <c r="H8"/>
  <c r="G7"/>
  <c r="G140" l="1"/>
  <c r="H249"/>
  <c r="H251"/>
  <c r="G130"/>
  <c r="H211"/>
  <c r="G187"/>
  <c r="G186" s="1"/>
  <c r="G178" s="1"/>
  <c r="G28"/>
  <c r="H28" s="1"/>
  <c r="H34"/>
  <c r="H36"/>
  <c r="G63"/>
  <c r="H75"/>
  <c r="H79"/>
  <c r="H183"/>
  <c r="H189"/>
  <c r="G230"/>
  <c r="G229" s="1"/>
  <c r="G218" s="1"/>
  <c r="G20" i="304" s="1"/>
  <c r="H231" i="65139"/>
  <c r="H57"/>
  <c r="H49"/>
  <c r="G6"/>
  <c r="H207"/>
  <c r="H163"/>
  <c r="H155"/>
  <c r="H140"/>
  <c r="H137"/>
  <c r="H135"/>
  <c r="H133"/>
  <c r="H131"/>
  <c r="H123"/>
  <c r="H87"/>
  <c r="H89"/>
  <c r="G86"/>
  <c r="H86" s="1"/>
  <c r="H72"/>
  <c r="H68"/>
  <c r="H242"/>
  <c r="H192"/>
  <c r="H170"/>
  <c r="H6"/>
  <c r="H16"/>
  <c r="H20"/>
  <c r="H38"/>
  <c r="H64"/>
  <c r="H82"/>
  <c r="H97"/>
  <c r="H109"/>
  <c r="H141"/>
  <c r="H180"/>
  <c r="H7"/>
  <c r="H13"/>
  <c r="H17"/>
  <c r="H21"/>
  <c r="H29"/>
  <c r="H39"/>
  <c r="H56"/>
  <c r="H84"/>
  <c r="H94"/>
  <c r="H98"/>
  <c r="H104"/>
  <c r="H110"/>
  <c r="H128"/>
  <c r="H210"/>
  <c r="H221"/>
  <c r="H230"/>
  <c r="G103" l="1"/>
  <c r="G19" i="304"/>
  <c r="H229" i="65139"/>
  <c r="H63"/>
  <c r="G81"/>
  <c r="H130"/>
  <c r="H103"/>
  <c r="H188"/>
  <c r="H169"/>
  <c r="H179"/>
  <c r="H220"/>
  <c r="G62" l="1"/>
  <c r="G18" i="304" s="1"/>
  <c r="H219" i="65139"/>
  <c r="H218"/>
  <c r="H187"/>
  <c r="H81" l="1"/>
  <c r="H62"/>
  <c r="H186"/>
  <c r="H178"/>
  <c r="M28" i="65105" l="1"/>
  <c r="L28"/>
  <c r="M16"/>
  <c r="L16"/>
  <c r="M13"/>
  <c r="L13"/>
  <c r="L8"/>
  <c r="M8"/>
  <c r="M28" i="65098"/>
  <c r="L28"/>
  <c r="M16"/>
  <c r="L16"/>
  <c r="M13"/>
  <c r="L13"/>
  <c r="L8"/>
  <c r="M8"/>
  <c r="M28" i="65097"/>
  <c r="L28"/>
  <c r="M16"/>
  <c r="L16"/>
  <c r="M13"/>
  <c r="L13"/>
  <c r="L8"/>
  <c r="M8"/>
  <c r="I33"/>
  <c r="I34" s="1"/>
  <c r="I35" s="1"/>
  <c r="M28" i="65096"/>
  <c r="L28"/>
  <c r="M16"/>
  <c r="L16"/>
  <c r="M13"/>
  <c r="L13"/>
  <c r="L8"/>
  <c r="M8"/>
  <c r="M32" i="65095"/>
  <c r="L32"/>
  <c r="M28"/>
  <c r="L28"/>
  <c r="M16"/>
  <c r="L16"/>
  <c r="M13"/>
  <c r="L13"/>
  <c r="L8"/>
  <c r="M8"/>
  <c r="M28" i="65094"/>
  <c r="L28"/>
  <c r="M16"/>
  <c r="L16"/>
  <c r="M13"/>
  <c r="L13"/>
  <c r="L8"/>
  <c r="M8"/>
  <c r="M31" i="65093"/>
  <c r="M28"/>
  <c r="L28"/>
  <c r="M16"/>
  <c r="L16"/>
  <c r="M13"/>
  <c r="L13"/>
  <c r="L8"/>
  <c r="M8"/>
  <c r="M28" i="65089"/>
  <c r="L28"/>
  <c r="M16"/>
  <c r="L16"/>
  <c r="M13"/>
  <c r="L13"/>
  <c r="L8"/>
  <c r="M8"/>
  <c r="M28" i="65088"/>
  <c r="L28"/>
  <c r="M16"/>
  <c r="L16"/>
  <c r="M13"/>
  <c r="L13"/>
  <c r="L8"/>
  <c r="M8"/>
  <c r="M28" i="65087"/>
  <c r="L28"/>
  <c r="M16"/>
  <c r="L16"/>
  <c r="M13"/>
  <c r="L13"/>
  <c r="L8"/>
  <c r="M8"/>
  <c r="M28" i="65086"/>
  <c r="L28"/>
  <c r="M16"/>
  <c r="L16"/>
  <c r="M13"/>
  <c r="L13"/>
  <c r="L8"/>
  <c r="M8"/>
  <c r="M28" i="65085"/>
  <c r="L28"/>
  <c r="M16"/>
  <c r="L16"/>
  <c r="M13"/>
  <c r="L13"/>
  <c r="L8"/>
  <c r="M8"/>
  <c r="M28" i="65084"/>
  <c r="L28"/>
  <c r="M16"/>
  <c r="L16"/>
  <c r="M13"/>
  <c r="L13"/>
  <c r="L8"/>
  <c r="M8"/>
  <c r="M28" i="65083"/>
  <c r="L28"/>
  <c r="M16"/>
  <c r="L16"/>
  <c r="M13"/>
  <c r="L13"/>
  <c r="L8"/>
  <c r="M8"/>
  <c r="I33"/>
  <c r="M28" i="65122"/>
  <c r="L28"/>
  <c r="M16"/>
  <c r="L16"/>
  <c r="M13"/>
  <c r="L13"/>
  <c r="L8"/>
  <c r="M8"/>
  <c r="I33"/>
  <c r="M28" i="65081"/>
  <c r="L28"/>
  <c r="M16"/>
  <c r="L16"/>
  <c r="M13"/>
  <c r="L13"/>
  <c r="L8"/>
  <c r="M8"/>
  <c r="I33"/>
  <c r="M28" i="65082"/>
  <c r="L28"/>
  <c r="M16"/>
  <c r="L16"/>
  <c r="M13"/>
  <c r="L13"/>
  <c r="L8"/>
  <c r="M8"/>
  <c r="I28"/>
  <c r="I16"/>
  <c r="I13"/>
  <c r="I8"/>
  <c r="I33" s="1"/>
  <c r="M41" i="65080"/>
  <c r="L41"/>
  <c r="M31"/>
  <c r="M16"/>
  <c r="L16"/>
  <c r="M13"/>
  <c r="L13"/>
  <c r="L8"/>
  <c r="M8"/>
  <c r="I41"/>
  <c r="I16"/>
  <c r="I13"/>
  <c r="I8"/>
  <c r="M38" i="65079"/>
  <c r="L38"/>
  <c r="M34"/>
  <c r="L34"/>
  <c r="M28"/>
  <c r="L28"/>
  <c r="M16"/>
  <c r="L16"/>
  <c r="M13"/>
  <c r="L13"/>
  <c r="L8"/>
  <c r="M8"/>
  <c r="I38"/>
  <c r="I34"/>
  <c r="I28"/>
  <c r="I16"/>
  <c r="I13"/>
  <c r="I8"/>
  <c r="M32" i="65078"/>
  <c r="L32"/>
  <c r="M16"/>
  <c r="L16"/>
  <c r="M13"/>
  <c r="L13"/>
  <c r="L8"/>
  <c r="M8"/>
  <c r="I32"/>
  <c r="I16"/>
  <c r="I13"/>
  <c r="I8"/>
  <c r="M34" i="65077"/>
  <c r="L34"/>
  <c r="M28"/>
  <c r="L28"/>
  <c r="M16"/>
  <c r="L16"/>
  <c r="M13"/>
  <c r="L13"/>
  <c r="L8"/>
  <c r="M8"/>
  <c r="I34"/>
  <c r="I28"/>
  <c r="I16"/>
  <c r="I13"/>
  <c r="I8"/>
  <c r="M45" i="65076"/>
  <c r="L45"/>
  <c r="M41"/>
  <c r="L41"/>
  <c r="M37"/>
  <c r="L37"/>
  <c r="M32"/>
  <c r="L32"/>
  <c r="M19"/>
  <c r="M16"/>
  <c r="L16"/>
  <c r="L11"/>
  <c r="M11"/>
  <c r="M8"/>
  <c r="L8"/>
  <c r="I45"/>
  <c r="I41"/>
  <c r="I37"/>
  <c r="I32"/>
  <c r="I11"/>
  <c r="I8"/>
  <c r="M37" i="65075"/>
  <c r="L37"/>
  <c r="I37"/>
  <c r="I16"/>
  <c r="I13"/>
  <c r="I8"/>
  <c r="M28" i="65115"/>
  <c r="L28"/>
  <c r="M16"/>
  <c r="L16"/>
  <c r="M13"/>
  <c r="L13"/>
  <c r="L8"/>
  <c r="M8"/>
  <c r="I28"/>
  <c r="I16"/>
  <c r="I13"/>
  <c r="I8"/>
  <c r="M28" i="65100"/>
  <c r="L28"/>
  <c r="M16"/>
  <c r="L16"/>
  <c r="M13"/>
  <c r="L13"/>
  <c r="L8"/>
  <c r="M8"/>
  <c r="I28"/>
  <c r="I16"/>
  <c r="I13"/>
  <c r="I8"/>
  <c r="M28" i="65074"/>
  <c r="L28"/>
  <c r="M16"/>
  <c r="L16"/>
  <c r="M13"/>
  <c r="L13"/>
  <c r="L8"/>
  <c r="M8"/>
  <c r="I28"/>
  <c r="I16"/>
  <c r="I13"/>
  <c r="I8"/>
  <c r="M29" i="65071"/>
  <c r="M16"/>
  <c r="L16"/>
  <c r="M13"/>
  <c r="L13"/>
  <c r="L8"/>
  <c r="M8"/>
  <c r="I16"/>
  <c r="I13"/>
  <c r="I8"/>
  <c r="M30" i="65070"/>
  <c r="M16"/>
  <c r="L16"/>
  <c r="M13"/>
  <c r="L13"/>
  <c r="L8"/>
  <c r="M8"/>
  <c r="I16"/>
  <c r="I13"/>
  <c r="I8"/>
  <c r="M29" i="65069"/>
  <c r="M17"/>
  <c r="L8"/>
  <c r="M8"/>
  <c r="I8"/>
  <c r="M28" i="65068"/>
  <c r="L28"/>
  <c r="M16"/>
  <c r="L16"/>
  <c r="M13"/>
  <c r="L13"/>
  <c r="L8"/>
  <c r="M8"/>
  <c r="I28"/>
  <c r="I16"/>
  <c r="I13"/>
  <c r="I8"/>
  <c r="M31" i="65140"/>
  <c r="M28"/>
  <c r="L28"/>
  <c r="M16"/>
  <c r="L16"/>
  <c r="M13"/>
  <c r="L13"/>
  <c r="L8"/>
  <c r="M8"/>
  <c r="I28"/>
  <c r="I16"/>
  <c r="I13"/>
  <c r="I8"/>
  <c r="M28" i="65123"/>
  <c r="L28"/>
  <c r="M16"/>
  <c r="L16"/>
  <c r="M13"/>
  <c r="L13"/>
  <c r="L8"/>
  <c r="M8"/>
  <c r="I28"/>
  <c r="I16"/>
  <c r="I13"/>
  <c r="I8"/>
  <c r="M28" i="65099"/>
  <c r="L28"/>
  <c r="M16"/>
  <c r="L16"/>
  <c r="M13"/>
  <c r="L13"/>
  <c r="L8"/>
  <c r="M8"/>
  <c r="I28"/>
  <c r="I16"/>
  <c r="I13"/>
  <c r="I8"/>
  <c r="M28" i="65067"/>
  <c r="L28"/>
  <c r="M16"/>
  <c r="L16"/>
  <c r="M13"/>
  <c r="L13"/>
  <c r="L8"/>
  <c r="M8"/>
  <c r="I28"/>
  <c r="I16"/>
  <c r="I13"/>
  <c r="I8"/>
  <c r="L46" i="65065"/>
  <c r="L43"/>
  <c r="L34"/>
  <c r="L13"/>
  <c r="L8"/>
  <c r="I46"/>
  <c r="I43"/>
  <c r="I34"/>
  <c r="I13"/>
  <c r="I8"/>
  <c r="L16" i="16"/>
  <c r="L13"/>
  <c r="L8"/>
  <c r="L35" i="65070" l="1"/>
  <c r="M35"/>
  <c r="L52" i="65065"/>
  <c r="I33" i="65115"/>
  <c r="I34" s="1"/>
  <c r="I33" i="65100"/>
  <c r="I33" i="65074"/>
  <c r="I33" i="65123"/>
  <c r="I33" i="65099"/>
  <c r="I33" i="65067"/>
  <c r="I33" i="65068"/>
  <c r="I33" i="65084"/>
  <c r="I33" i="65085"/>
  <c r="I33" i="65086"/>
  <c r="I33" i="65087"/>
  <c r="I33" i="65088"/>
  <c r="I33" i="65089"/>
  <c r="I33" i="65094"/>
  <c r="I34" s="1"/>
  <c r="I35" s="1"/>
  <c r="I33" i="65096"/>
  <c r="I34" s="1"/>
  <c r="I35" s="1"/>
  <c r="I33" i="65105"/>
  <c r="I34" s="1"/>
  <c r="I35" s="1"/>
  <c r="I34" i="65122"/>
  <c r="I33" i="65098"/>
  <c r="I34" s="1"/>
  <c r="I35" s="1"/>
  <c r="L33" i="65067"/>
  <c r="L33" i="65099"/>
  <c r="L33" i="65123"/>
  <c r="L33" i="65074"/>
  <c r="L33" i="65100"/>
  <c r="L33" i="65115"/>
  <c r="L33" i="65094"/>
  <c r="L33" i="65068"/>
  <c r="L33" i="65082"/>
  <c r="L33" i="65081"/>
  <c r="L33" i="65122"/>
  <c r="L33" i="65083"/>
  <c r="L33" i="65084"/>
  <c r="L33" i="65085"/>
  <c r="L33" i="65086"/>
  <c r="L33" i="65087"/>
  <c r="L33" i="65088"/>
  <c r="L33" i="65089"/>
  <c r="L33" i="65096"/>
  <c r="L33" i="65097"/>
  <c r="L33" i="65098"/>
  <c r="L33" i="65105"/>
  <c r="J50" i="65076"/>
  <c r="I34" i="65089" l="1"/>
  <c r="J75" i="300"/>
  <c r="I75"/>
  <c r="G75"/>
  <c r="F75"/>
  <c r="N32" i="65077"/>
  <c r="O32" l="1"/>
  <c r="K75" i="300"/>
  <c r="L75" l="1"/>
  <c r="E63" i="65137"/>
  <c r="E62"/>
  <c r="F53" i="300" l="1"/>
  <c r="G53"/>
  <c r="I53"/>
  <c r="J53"/>
  <c r="F46"/>
  <c r="F47"/>
  <c r="N31" i="65065"/>
  <c r="F43" i="300"/>
  <c r="J35" i="65070"/>
  <c r="N27"/>
  <c r="I11" i="16"/>
  <c r="I13"/>
  <c r="F19" i="300" l="1"/>
  <c r="O27" i="65070"/>
  <c r="K43" i="300"/>
  <c r="K46"/>
  <c r="I16" i="16"/>
  <c r="I8"/>
  <c r="I35" i="65070"/>
  <c r="O31" i="65065"/>
  <c r="J51" i="65076"/>
  <c r="J52" s="1"/>
  <c r="I46" i="65080"/>
  <c r="I35" i="65089" s="1"/>
  <c r="J46" i="65080"/>
  <c r="L46" i="300"/>
  <c r="E76" i="65137" l="1"/>
  <c r="J35" i="65089"/>
  <c r="G19" i="300"/>
  <c r="H19"/>
  <c r="H17" s="1"/>
  <c r="H15" s="1"/>
  <c r="K34" i="16"/>
  <c r="L43" i="300"/>
  <c r="I34" i="16"/>
  <c r="I35" s="1"/>
  <c r="I36" s="1"/>
  <c r="I50" i="65076"/>
  <c r="I51" s="1"/>
  <c r="I52" s="1"/>
  <c r="E72" i="65137"/>
  <c r="E65"/>
  <c r="E64"/>
  <c r="E29"/>
  <c r="I93" i="300"/>
  <c r="G93"/>
  <c r="F93"/>
  <c r="N35" i="65079"/>
  <c r="O35" s="1"/>
  <c r="F24" i="304" l="1"/>
  <c r="H7" i="300"/>
  <c r="K35" i="16"/>
  <c r="K36" s="1"/>
  <c r="H114" i="300"/>
  <c r="K93"/>
  <c r="L93" s="1"/>
  <c r="J93"/>
  <c r="J62"/>
  <c r="I62"/>
  <c r="G62"/>
  <c r="F62"/>
  <c r="J21"/>
  <c r="I21"/>
  <c r="F21"/>
  <c r="O34" i="65140"/>
  <c r="O33"/>
  <c r="O32"/>
  <c r="N32"/>
  <c r="O30"/>
  <c r="N29"/>
  <c r="K62" i="300" s="1"/>
  <c r="O27" i="65140"/>
  <c r="O26"/>
  <c r="N26"/>
  <c r="N25"/>
  <c r="O24"/>
  <c r="N24"/>
  <c r="N23"/>
  <c r="O23" s="1"/>
  <c r="O22"/>
  <c r="N22"/>
  <c r="O21"/>
  <c r="N21"/>
  <c r="N20"/>
  <c r="O20" s="1"/>
  <c r="N19"/>
  <c r="O18"/>
  <c r="N18"/>
  <c r="N17"/>
  <c r="O15"/>
  <c r="N14"/>
  <c r="O12"/>
  <c r="O11"/>
  <c r="N11"/>
  <c r="N10"/>
  <c r="N9"/>
  <c r="O25" l="1"/>
  <c r="O19"/>
  <c r="O17"/>
  <c r="O14"/>
  <c r="D11" i="65124"/>
  <c r="C11"/>
  <c r="N28" i="65140"/>
  <c r="N31"/>
  <c r="D13" i="65125" s="1"/>
  <c r="C13" s="1"/>
  <c r="O29" i="65140"/>
  <c r="N16"/>
  <c r="N13"/>
  <c r="O10"/>
  <c r="O13"/>
  <c r="J36"/>
  <c r="M36"/>
  <c r="I36"/>
  <c r="L36"/>
  <c r="N8"/>
  <c r="O9"/>
  <c r="F11" i="65124" l="1"/>
  <c r="E11"/>
  <c r="O8" i="65140"/>
  <c r="J11" i="65124"/>
  <c r="O31" i="65140"/>
  <c r="G11" i="65124"/>
  <c r="O28" i="65140"/>
  <c r="O16"/>
  <c r="N36"/>
  <c r="L11" i="65124" l="1"/>
  <c r="O36" i="65140"/>
  <c r="J94" i="300"/>
  <c r="I94"/>
  <c r="G94"/>
  <c r="F94"/>
  <c r="N36" i="65079"/>
  <c r="O33"/>
  <c r="F42" i="300"/>
  <c r="N26" i="65070"/>
  <c r="L13" i="65066"/>
  <c r="L8"/>
  <c r="L62" i="300"/>
  <c r="M28" i="65066"/>
  <c r="L28"/>
  <c r="K28"/>
  <c r="J28"/>
  <c r="I28"/>
  <c r="F67" i="300"/>
  <c r="L31" i="65066"/>
  <c r="L16"/>
  <c r="O26" i="65070" l="1"/>
  <c r="K42" i="300"/>
  <c r="O36" i="65079"/>
  <c r="N34"/>
  <c r="K94" i="300"/>
  <c r="L94" s="1"/>
  <c r="L42"/>
  <c r="H24" i="65124" l="1"/>
  <c r="O34" i="65079"/>
  <c r="G107" i="300"/>
  <c r="I107"/>
  <c r="J107"/>
  <c r="F107"/>
  <c r="G106"/>
  <c r="I106"/>
  <c r="J106"/>
  <c r="F106"/>
  <c r="N36" i="65078"/>
  <c r="O36" s="1"/>
  <c r="N35"/>
  <c r="O35" s="1"/>
  <c r="G95" i="300"/>
  <c r="I95"/>
  <c r="J95"/>
  <c r="F95"/>
  <c r="J42" i="65075"/>
  <c r="I42"/>
  <c r="N35"/>
  <c r="O32"/>
  <c r="N30"/>
  <c r="J67" i="300"/>
  <c r="I67"/>
  <c r="J79"/>
  <c r="J80"/>
  <c r="I80"/>
  <c r="I79"/>
  <c r="G80"/>
  <c r="G79"/>
  <c r="F80"/>
  <c r="F79"/>
  <c r="N39" i="65080"/>
  <c r="O39" s="1"/>
  <c r="N38"/>
  <c r="N31" i="65079"/>
  <c r="G67" i="300"/>
  <c r="N33" i="65075" l="1"/>
  <c r="H20" i="65124" s="1"/>
  <c r="O35" i="65075"/>
  <c r="O30"/>
  <c r="K53" i="300"/>
  <c r="L53" s="1"/>
  <c r="K80"/>
  <c r="F63" i="65137"/>
  <c r="O38" i="65080"/>
  <c r="F62" i="65137"/>
  <c r="K95" i="300"/>
  <c r="L95" s="1"/>
  <c r="K79"/>
  <c r="K107"/>
  <c r="L107" s="1"/>
  <c r="K106"/>
  <c r="L106" s="1"/>
  <c r="J34" i="65071"/>
  <c r="J31" i="65066"/>
  <c r="J16"/>
  <c r="J13"/>
  <c r="I32"/>
  <c r="I31" s="1"/>
  <c r="I26"/>
  <c r="I24"/>
  <c r="I22"/>
  <c r="I21"/>
  <c r="I20"/>
  <c r="I18"/>
  <c r="I13"/>
  <c r="I11"/>
  <c r="I8" s="1"/>
  <c r="L80" i="300" l="1"/>
  <c r="O33" i="65075"/>
  <c r="L79" i="300"/>
  <c r="I16" i="65066"/>
  <c r="I43" i="65079"/>
  <c r="G21" i="300"/>
  <c r="J8" i="65066"/>
  <c r="J43" i="65079" l="1"/>
  <c r="E32" i="65137" s="1"/>
  <c r="N29" i="65093" l="1"/>
  <c r="O29" l="1"/>
  <c r="N9" i="65065"/>
  <c r="G91" i="300" l="1"/>
  <c r="G90" s="1"/>
  <c r="I91"/>
  <c r="I90" s="1"/>
  <c r="J91"/>
  <c r="J90" s="1"/>
  <c r="F91"/>
  <c r="F90" s="1"/>
  <c r="N30" i="16"/>
  <c r="N29"/>
  <c r="N26"/>
  <c r="N25"/>
  <c r="N24"/>
  <c r="N23"/>
  <c r="N22"/>
  <c r="N21"/>
  <c r="N20"/>
  <c r="N19"/>
  <c r="N18"/>
  <c r="N17"/>
  <c r="N11"/>
  <c r="N49" i="65065"/>
  <c r="K105" i="300" s="1"/>
  <c r="N48" i="65065"/>
  <c r="N47"/>
  <c r="N44"/>
  <c r="K91" i="300" s="1"/>
  <c r="K90" s="1"/>
  <c r="N41" i="65065"/>
  <c r="N40"/>
  <c r="N39"/>
  <c r="N38"/>
  <c r="N37"/>
  <c r="N36"/>
  <c r="N35"/>
  <c r="N32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1" i="65069"/>
  <c r="N30"/>
  <c r="N27"/>
  <c r="N26"/>
  <c r="N25"/>
  <c r="N24"/>
  <c r="N23"/>
  <c r="N22"/>
  <c r="N21"/>
  <c r="N20"/>
  <c r="N19"/>
  <c r="N18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9" i="65075"/>
  <c r="N38"/>
  <c r="N31"/>
  <c r="N29" s="1"/>
  <c r="N27"/>
  <c r="K48" i="300" s="1"/>
  <c r="N26" i="65075"/>
  <c r="N25"/>
  <c r="N24"/>
  <c r="N23"/>
  <c r="N22"/>
  <c r="N21"/>
  <c r="N20"/>
  <c r="N19"/>
  <c r="N18"/>
  <c r="N17"/>
  <c r="N11"/>
  <c r="N47" i="65076"/>
  <c r="N46"/>
  <c r="N43"/>
  <c r="N42"/>
  <c r="N39"/>
  <c r="N38"/>
  <c r="N35"/>
  <c r="N34"/>
  <c r="N30"/>
  <c r="N26"/>
  <c r="N25"/>
  <c r="N24"/>
  <c r="N21"/>
  <c r="N20"/>
  <c r="O21"/>
  <c r="O24"/>
  <c r="O25"/>
  <c r="O26"/>
  <c r="O30"/>
  <c r="N14"/>
  <c r="N9"/>
  <c r="N36" i="65077"/>
  <c r="N35"/>
  <c r="N31"/>
  <c r="N30"/>
  <c r="N29"/>
  <c r="N26"/>
  <c r="N25"/>
  <c r="N24"/>
  <c r="N23"/>
  <c r="N22"/>
  <c r="N21"/>
  <c r="N20"/>
  <c r="N19"/>
  <c r="N18"/>
  <c r="N17"/>
  <c r="N11"/>
  <c r="N34" i="65078"/>
  <c r="N30"/>
  <c r="N29" s="1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N43" i="65080"/>
  <c r="N42"/>
  <c r="N37"/>
  <c r="F65" i="65137" s="1"/>
  <c r="N36" i="65080"/>
  <c r="N35"/>
  <c r="N34"/>
  <c r="N32"/>
  <c r="N29"/>
  <c r="N28"/>
  <c r="N27"/>
  <c r="N26"/>
  <c r="K39" i="300" s="1"/>
  <c r="N25" i="65080"/>
  <c r="N24"/>
  <c r="N23"/>
  <c r="N22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2" i="65093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2"/>
  <c r="O45"/>
  <c r="I111" i="300"/>
  <c r="I110"/>
  <c r="I99"/>
  <c r="I98"/>
  <c r="I88"/>
  <c r="I87"/>
  <c r="I85"/>
  <c r="I84"/>
  <c r="I83"/>
  <c r="I82"/>
  <c r="I78"/>
  <c r="I77"/>
  <c r="I76"/>
  <c r="I74"/>
  <c r="I73"/>
  <c r="I72"/>
  <c r="I71"/>
  <c r="I70"/>
  <c r="I68"/>
  <c r="I66"/>
  <c r="I65"/>
  <c r="I64"/>
  <c r="I63"/>
  <c r="I61"/>
  <c r="I59"/>
  <c r="I58"/>
  <c r="I57"/>
  <c r="I56"/>
  <c r="I55"/>
  <c r="I54"/>
  <c r="I52"/>
  <c r="I13"/>
  <c r="I12"/>
  <c r="I11"/>
  <c r="I10"/>
  <c r="J111"/>
  <c r="J110"/>
  <c r="J99"/>
  <c r="J98"/>
  <c r="J88"/>
  <c r="J87"/>
  <c r="J85"/>
  <c r="J84"/>
  <c r="J83"/>
  <c r="J82"/>
  <c r="J78"/>
  <c r="J77"/>
  <c r="J76"/>
  <c r="J74"/>
  <c r="J73"/>
  <c r="J72"/>
  <c r="J71"/>
  <c r="J70"/>
  <c r="J68"/>
  <c r="J66"/>
  <c r="J65"/>
  <c r="J64"/>
  <c r="J63"/>
  <c r="J61"/>
  <c r="J59"/>
  <c r="J58"/>
  <c r="J57"/>
  <c r="J56"/>
  <c r="J55"/>
  <c r="J54"/>
  <c r="J52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3" s="1"/>
  <c r="N10"/>
  <c r="N29" i="65076"/>
  <c r="N28"/>
  <c r="N27"/>
  <c r="N22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6" i="65065"/>
  <c r="M43"/>
  <c r="M34"/>
  <c r="M21"/>
  <c r="M18"/>
  <c r="M8"/>
  <c r="M31" i="65066"/>
  <c r="M16"/>
  <c r="M13"/>
  <c r="M8"/>
  <c r="M16" i="16"/>
  <c r="M13"/>
  <c r="M8"/>
  <c r="N16" i="65075" l="1"/>
  <c r="K19" i="300"/>
  <c r="F64" i="65137"/>
  <c r="K45" i="300"/>
  <c r="K36"/>
  <c r="O30" i="65077"/>
  <c r="O28" i="65076"/>
  <c r="O27"/>
  <c r="O22"/>
  <c r="O20"/>
  <c r="N13" i="65069"/>
  <c r="K47" i="300"/>
  <c r="K18"/>
  <c r="O29" i="65076"/>
  <c r="K44" i="300"/>
  <c r="N28" i="16"/>
  <c r="K103" i="300"/>
  <c r="K102"/>
  <c r="K28"/>
  <c r="K32"/>
  <c r="K35"/>
  <c r="K41"/>
  <c r="K27"/>
  <c r="K33"/>
  <c r="K38"/>
  <c r="K22"/>
  <c r="K26"/>
  <c r="M46" i="65080"/>
  <c r="M42" i="65075"/>
  <c r="M43" s="1"/>
  <c r="M44" s="1"/>
  <c r="O31" i="65077"/>
  <c r="N28"/>
  <c r="L36" i="65093"/>
  <c r="L37" s="1"/>
  <c r="L38" s="1"/>
  <c r="L42" i="65075"/>
  <c r="L43" s="1"/>
  <c r="L44" s="1"/>
  <c r="F72" i="65137"/>
  <c r="M43" i="65079"/>
  <c r="M44" s="1"/>
  <c r="M45" s="1"/>
  <c r="N28" i="65074"/>
  <c r="J101" i="300"/>
  <c r="F34" i="304" s="1"/>
  <c r="I101" i="300"/>
  <c r="L43" i="65079"/>
  <c r="L44" s="1"/>
  <c r="L45" s="1"/>
  <c r="I69" i="300"/>
  <c r="I81"/>
  <c r="J60"/>
  <c r="J81"/>
  <c r="J86"/>
  <c r="I86"/>
  <c r="N31" i="65080"/>
  <c r="J51" i="300"/>
  <c r="J69"/>
  <c r="I51"/>
  <c r="I60"/>
  <c r="N32" i="65078"/>
  <c r="N28" i="65093"/>
  <c r="L34" i="65094"/>
  <c r="L35" s="1"/>
  <c r="J109" i="300"/>
  <c r="L34" i="65068"/>
  <c r="L35" s="1"/>
  <c r="L34" i="65071"/>
  <c r="L35" s="1"/>
  <c r="L34" i="65069"/>
  <c r="L35" s="1"/>
  <c r="L36" s="1"/>
  <c r="L39" i="65077"/>
  <c r="L40" s="1"/>
  <c r="L41" s="1"/>
  <c r="N9" i="65089"/>
  <c r="N9" i="65088"/>
  <c r="N9" i="65087"/>
  <c r="N9" i="65086"/>
  <c r="N9" i="65085"/>
  <c r="N9" i="65084"/>
  <c r="N9" i="65083"/>
  <c r="N9" i="65122"/>
  <c r="N12" i="65076"/>
  <c r="N23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8" s="1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09" i="300"/>
  <c r="I17"/>
  <c r="N9" i="6508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8" i="65095"/>
  <c r="M39" s="1"/>
  <c r="M40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3" i="65081"/>
  <c r="M33" i="65082"/>
  <c r="M39" i="65078"/>
  <c r="M40" s="1"/>
  <c r="M41" s="1"/>
  <c r="M39" i="65077"/>
  <c r="M33" i="65115"/>
  <c r="M34" s="1"/>
  <c r="M33" i="65100"/>
  <c r="M33" i="65074"/>
  <c r="M34" i="65071"/>
  <c r="M35" s="1"/>
  <c r="M34" i="65069"/>
  <c r="M35" s="1"/>
  <c r="M36" s="1"/>
  <c r="M33" i="65068"/>
  <c r="M34" s="1"/>
  <c r="M35" s="1"/>
  <c r="M33" i="65123"/>
  <c r="M33" i="65099"/>
  <c r="M33" i="65067"/>
  <c r="M36" i="65066"/>
  <c r="M13" i="65065"/>
  <c r="M52" s="1"/>
  <c r="J9" i="300"/>
  <c r="I9"/>
  <c r="M34" i="16"/>
  <c r="M35" s="1"/>
  <c r="M36" s="1"/>
  <c r="I97" i="300"/>
  <c r="J15"/>
  <c r="J97"/>
  <c r="L50" i="65076"/>
  <c r="L36" i="65066"/>
  <c r="M50" i="65076"/>
  <c r="M51" s="1"/>
  <c r="M52" s="1"/>
  <c r="K17" i="300" l="1"/>
  <c r="K67"/>
  <c r="O23" i="65076"/>
  <c r="K21" i="300"/>
  <c r="K40"/>
  <c r="K37"/>
  <c r="K34"/>
  <c r="K30"/>
  <c r="K16"/>
  <c r="M40" i="65077"/>
  <c r="M41" s="1"/>
  <c r="J114" i="300"/>
  <c r="M34" i="65122"/>
  <c r="M37" i="65140"/>
  <c r="M38" s="1"/>
  <c r="M34" i="65100"/>
  <c r="M35" i="65141" s="1"/>
  <c r="L46" i="65080"/>
  <c r="L34" i="65105"/>
  <c r="L35" s="1"/>
  <c r="L38" i="65095"/>
  <c r="L39" s="1"/>
  <c r="L40" s="1"/>
  <c r="L34" i="65115"/>
  <c r="L34" i="65097"/>
  <c r="L35" s="1"/>
  <c r="L39" i="65078"/>
  <c r="L40" s="1"/>
  <c r="L41" s="1"/>
  <c r="L51" i="65076"/>
  <c r="L52" s="1"/>
  <c r="M34" i="65089"/>
  <c r="M35" s="1"/>
  <c r="L34" i="16"/>
  <c r="L35" s="1"/>
  <c r="L36" s="1"/>
  <c r="L34" i="65098"/>
  <c r="L35" s="1"/>
  <c r="I15" i="300"/>
  <c r="L34" i="65096"/>
  <c r="L35" s="1"/>
  <c r="J50" i="300"/>
  <c r="F22" i="304" s="1"/>
  <c r="I50" i="300"/>
  <c r="K29" l="1"/>
  <c r="F30" i="304"/>
  <c r="F35" s="1"/>
  <c r="F40" s="1"/>
  <c r="F43"/>
  <c r="F44" s="1"/>
  <c r="L16" i="300"/>
  <c r="K25"/>
  <c r="L37" i="65140"/>
  <c r="L38" s="1"/>
  <c r="I114" i="300"/>
  <c r="L34" i="65100"/>
  <c r="L35" i="65141" s="1"/>
  <c r="L34" i="65089"/>
  <c r="I7" i="300"/>
  <c r="J7"/>
  <c r="L34" i="65122"/>
  <c r="G63" i="300"/>
  <c r="K63"/>
  <c r="G64"/>
  <c r="K64"/>
  <c r="F64"/>
  <c r="F63"/>
  <c r="J52" i="65065"/>
  <c r="I34" i="65069"/>
  <c r="I35" s="1"/>
  <c r="I36" s="1"/>
  <c r="I34" i="65071"/>
  <c r="I35" s="1"/>
  <c r="I43" i="65075"/>
  <c r="I44" s="1"/>
  <c r="I39" i="65078"/>
  <c r="I40" s="1"/>
  <c r="I41" s="1"/>
  <c r="E17" i="304"/>
  <c r="D21"/>
  <c r="K74" i="300"/>
  <c r="G74"/>
  <c r="F74"/>
  <c r="O40" i="65065"/>
  <c r="D36" i="304"/>
  <c r="L14" i="300"/>
  <c r="L20"/>
  <c r="L24"/>
  <c r="L49"/>
  <c r="L89"/>
  <c r="L96"/>
  <c r="L100"/>
  <c r="L108"/>
  <c r="L112"/>
  <c r="O33" i="65095"/>
  <c r="O34"/>
  <c r="O36"/>
  <c r="O34" i="65093"/>
  <c r="O34" i="65080"/>
  <c r="O35"/>
  <c r="O36"/>
  <c r="O37"/>
  <c r="O40"/>
  <c r="O42"/>
  <c r="O43"/>
  <c r="O44"/>
  <c r="O29" i="65079"/>
  <c r="O30"/>
  <c r="O31"/>
  <c r="O32"/>
  <c r="O37"/>
  <c r="O39"/>
  <c r="O40"/>
  <c r="O41"/>
  <c r="O33" i="65078"/>
  <c r="O34"/>
  <c r="O37"/>
  <c r="O33" i="65077"/>
  <c r="O35"/>
  <c r="O36"/>
  <c r="O37"/>
  <c r="O35" i="65076"/>
  <c r="O36"/>
  <c r="O38"/>
  <c r="O39"/>
  <c r="O40"/>
  <c r="O42"/>
  <c r="O43"/>
  <c r="O44"/>
  <c r="O46"/>
  <c r="O47"/>
  <c r="O48"/>
  <c r="O35" i="65065"/>
  <c r="O36"/>
  <c r="O37"/>
  <c r="O38"/>
  <c r="O39"/>
  <c r="O41"/>
  <c r="O44"/>
  <c r="O47"/>
  <c r="O48"/>
  <c r="O49"/>
  <c r="O50"/>
  <c r="O32" i="65093"/>
  <c r="O31" i="65122"/>
  <c r="O31" i="65078"/>
  <c r="O32" i="65071"/>
  <c r="O32" i="65066"/>
  <c r="O34"/>
  <c r="O34" i="65067"/>
  <c r="O35"/>
  <c r="O34" i="65099"/>
  <c r="O35"/>
  <c r="O36" i="65070"/>
  <c r="O37"/>
  <c r="O35" i="65074"/>
  <c r="O39" i="65075"/>
  <c r="O40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6"/>
  <c r="O18"/>
  <c r="O19"/>
  <c r="O20"/>
  <c r="O21"/>
  <c r="O22"/>
  <c r="O23"/>
  <c r="O24"/>
  <c r="O25"/>
  <c r="O26"/>
  <c r="O27"/>
  <c r="O28"/>
  <c r="O30"/>
  <c r="O31"/>
  <c r="O32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6"/>
  <c r="O38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2"/>
  <c r="O23"/>
  <c r="O24"/>
  <c r="O25"/>
  <c r="O26"/>
  <c r="O27"/>
  <c r="O28"/>
  <c r="O29"/>
  <c r="O30"/>
  <c r="O32"/>
  <c r="O33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2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G78" i="300"/>
  <c r="K78"/>
  <c r="F78"/>
  <c r="N28" i="65095"/>
  <c r="O28" s="1"/>
  <c r="O17" i="65076"/>
  <c r="L29" i="300" l="1"/>
  <c r="L78"/>
  <c r="L74"/>
  <c r="L63"/>
  <c r="L64"/>
  <c r="L35" i="65089"/>
  <c r="I36" i="65093"/>
  <c r="I37" s="1"/>
  <c r="I38" s="1"/>
  <c r="D20" i="304"/>
  <c r="I34" i="65068"/>
  <c r="I35" s="1"/>
  <c r="I39" i="65077"/>
  <c r="I36" i="65066"/>
  <c r="I44" i="65079"/>
  <c r="I45" s="1"/>
  <c r="G17" i="300"/>
  <c r="J44" i="65079"/>
  <c r="J45" s="1"/>
  <c r="O12" i="65076"/>
  <c r="J34" i="16"/>
  <c r="J38" i="65095"/>
  <c r="J39" i="65078"/>
  <c r="J36" i="65093"/>
  <c r="J39" i="65077"/>
  <c r="J35" i="65071"/>
  <c r="J34" i="65069"/>
  <c r="E24" i="65137" s="1"/>
  <c r="J36" i="65066"/>
  <c r="I38" i="65095"/>
  <c r="D31" i="304"/>
  <c r="O14" i="65065"/>
  <c r="O19"/>
  <c r="I39" i="65095" l="1"/>
  <c r="I40" s="1"/>
  <c r="E25" i="65137"/>
  <c r="G114" i="300"/>
  <c r="I34" i="65100"/>
  <c r="I35" i="65141" s="1"/>
  <c r="J35" i="16"/>
  <c r="J36" s="1"/>
  <c r="E9" i="65137"/>
  <c r="J40" i="65078"/>
  <c r="J41" s="1"/>
  <c r="E39" i="65137"/>
  <c r="J34" i="65100"/>
  <c r="J35" i="65141" s="1"/>
  <c r="E26" i="65137"/>
  <c r="J37" i="65140"/>
  <c r="E86" i="65137"/>
  <c r="I40" i="65077"/>
  <c r="I41" s="1"/>
  <c r="I52" i="65065"/>
  <c r="I37" i="65140" s="1"/>
  <c r="I38" s="1"/>
  <c r="D18" i="304"/>
  <c r="D17"/>
  <c r="J37" i="65093"/>
  <c r="J43" i="65075"/>
  <c r="J44" s="1"/>
  <c r="J40" i="65077"/>
  <c r="J41" s="1"/>
  <c r="J34" i="65068"/>
  <c r="J39" i="65095"/>
  <c r="J40" s="1"/>
  <c r="J35" i="65069"/>
  <c r="O16" i="65065"/>
  <c r="O32"/>
  <c r="J38" i="65140" l="1"/>
  <c r="F114" i="300"/>
  <c r="D19" i="304"/>
  <c r="D16" s="1"/>
  <c r="J35" i="65068"/>
  <c r="J36" i="65069"/>
  <c r="J38" i="65093"/>
  <c r="O15" i="65065"/>
  <c r="D42" i="304" l="1"/>
  <c r="O13" i="65076"/>
  <c r="O28" i="65093"/>
  <c r="N28" i="65079"/>
  <c r="N28" i="65067"/>
  <c r="O28" l="1"/>
  <c r="O28" i="65079"/>
  <c r="G110" i="300"/>
  <c r="K110"/>
  <c r="G111"/>
  <c r="K111"/>
  <c r="F111"/>
  <c r="F110"/>
  <c r="N45" i="65076"/>
  <c r="O45" s="1"/>
  <c r="L111" i="300" l="1"/>
  <c r="L110"/>
  <c r="G98"/>
  <c r="G99"/>
  <c r="G87"/>
  <c r="G88"/>
  <c r="G82"/>
  <c r="G83"/>
  <c r="G84"/>
  <c r="G85"/>
  <c r="G70"/>
  <c r="G71"/>
  <c r="G72"/>
  <c r="G73"/>
  <c r="G76"/>
  <c r="G77"/>
  <c r="G61"/>
  <c r="G65"/>
  <c r="G66"/>
  <c r="G68"/>
  <c r="G52"/>
  <c r="G54"/>
  <c r="G55"/>
  <c r="G56"/>
  <c r="G57"/>
  <c r="G58"/>
  <c r="G59"/>
  <c r="L39"/>
  <c r="G10"/>
  <c r="G11"/>
  <c r="G12"/>
  <c r="G13"/>
  <c r="G101" l="1"/>
  <c r="G51"/>
  <c r="G60"/>
  <c r="G69"/>
  <c r="G81"/>
  <c r="G86"/>
  <c r="G109"/>
  <c r="E38" i="304" s="1"/>
  <c r="G97" i="300"/>
  <c r="G9"/>
  <c r="N13" i="65094"/>
  <c r="N32" i="65095"/>
  <c r="N31" i="65093"/>
  <c r="O31" s="1"/>
  <c r="O31" i="65080"/>
  <c r="O29" i="65078"/>
  <c r="O28" i="65077"/>
  <c r="N34"/>
  <c r="O34" s="1"/>
  <c r="N32" i="65076"/>
  <c r="O29" i="65075"/>
  <c r="N37"/>
  <c r="O28" i="65066"/>
  <c r="O32" i="65095" l="1"/>
  <c r="O13" i="65094"/>
  <c r="O32" i="65076"/>
  <c r="O37" i="65075"/>
  <c r="E26" i="304"/>
  <c r="E23"/>
  <c r="E25"/>
  <c r="E28"/>
  <c r="E29"/>
  <c r="E33"/>
  <c r="G15" i="300"/>
  <c r="G50"/>
  <c r="E27" i="304" l="1"/>
  <c r="E24"/>
  <c r="G7" i="300"/>
  <c r="E36" i="304" l="1"/>
  <c r="N16" i="65122"/>
  <c r="L48" i="300"/>
  <c r="F48"/>
  <c r="D29" i="65124"/>
  <c r="N8" i="65080"/>
  <c r="E21" i="304"/>
  <c r="N28" i="65085"/>
  <c r="N13" i="65098"/>
  <c r="N8"/>
  <c r="N13" i="65096"/>
  <c r="N8"/>
  <c r="N13" i="65071"/>
  <c r="N8"/>
  <c r="N13" i="65105"/>
  <c r="N13" i="65097"/>
  <c r="N8"/>
  <c r="N13" i="65095"/>
  <c r="N8"/>
  <c r="N8" i="65094"/>
  <c r="N13" i="65093"/>
  <c r="N8"/>
  <c r="N13" i="65089"/>
  <c r="N8"/>
  <c r="N13" i="65088"/>
  <c r="N8"/>
  <c r="N13" i="65087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N13" i="65079"/>
  <c r="N8"/>
  <c r="N13" i="65078"/>
  <c r="N8"/>
  <c r="N13" i="65077"/>
  <c r="N8"/>
  <c r="N16" i="65076"/>
  <c r="N11"/>
  <c r="N13" i="65115"/>
  <c r="N8"/>
  <c r="N13" i="65100"/>
  <c r="N8"/>
  <c r="N13" i="65074"/>
  <c r="N8"/>
  <c r="N13" i="65070"/>
  <c r="N8"/>
  <c r="N8" i="65069"/>
  <c r="N13" i="65068"/>
  <c r="N8"/>
  <c r="N13" i="65123"/>
  <c r="N8"/>
  <c r="N13" i="65099"/>
  <c r="N8"/>
  <c r="N13" i="65067"/>
  <c r="N8"/>
  <c r="N13" i="65066"/>
  <c r="O13" s="1"/>
  <c r="N8"/>
  <c r="O8" s="1"/>
  <c r="N18" i="65065"/>
  <c r="N13"/>
  <c r="N13" i="16"/>
  <c r="N8"/>
  <c r="G72" i="65137"/>
  <c r="G65"/>
  <c r="G64"/>
  <c r="L18" i="300"/>
  <c r="L19"/>
  <c r="E45" i="65125"/>
  <c r="F45"/>
  <c r="G10" i="65137"/>
  <c r="G12"/>
  <c r="G13"/>
  <c r="G14"/>
  <c r="G15"/>
  <c r="G16"/>
  <c r="E17"/>
  <c r="G17" s="1"/>
  <c r="F17"/>
  <c r="G18"/>
  <c r="G19"/>
  <c r="G20"/>
  <c r="G21"/>
  <c r="G22"/>
  <c r="G27"/>
  <c r="G28"/>
  <c r="G31"/>
  <c r="G33"/>
  <c r="G34"/>
  <c r="G35"/>
  <c r="G36"/>
  <c r="G37"/>
  <c r="G38"/>
  <c r="E40"/>
  <c r="G40" s="1"/>
  <c r="F40"/>
  <c r="G41"/>
  <c r="G42"/>
  <c r="G43"/>
  <c r="G44"/>
  <c r="G45"/>
  <c r="G46"/>
  <c r="E47"/>
  <c r="F47"/>
  <c r="G47"/>
  <c r="G48"/>
  <c r="G49"/>
  <c r="G50"/>
  <c r="G51"/>
  <c r="G52"/>
  <c r="G53"/>
  <c r="E54"/>
  <c r="G54" s="1"/>
  <c r="F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20"/>
  <c r="D20"/>
  <c r="C21"/>
  <c r="D21"/>
  <c r="C22"/>
  <c r="D22"/>
  <c r="C23"/>
  <c r="D23"/>
  <c r="C24"/>
  <c r="D24"/>
  <c r="D25"/>
  <c r="C26"/>
  <c r="D26"/>
  <c r="C27"/>
  <c r="D27"/>
  <c r="C28"/>
  <c r="D28"/>
  <c r="C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D42"/>
  <c r="N16" i="65105"/>
  <c r="F42" i="65124" s="1"/>
  <c r="N28" i="65105"/>
  <c r="N16" i="65098"/>
  <c r="N28"/>
  <c r="N16" i="65097"/>
  <c r="N28"/>
  <c r="J40" i="65124" s="1"/>
  <c r="N16" i="65096"/>
  <c r="N28"/>
  <c r="N16" i="65095"/>
  <c r="N16" i="65094"/>
  <c r="N28"/>
  <c r="N16" i="65093"/>
  <c r="G36" i="65124"/>
  <c r="N16" i="65089"/>
  <c r="N28"/>
  <c r="N16" i="65088"/>
  <c r="N28"/>
  <c r="N16" i="65087"/>
  <c r="N28"/>
  <c r="J33" i="65124" s="1"/>
  <c r="N16" i="65086"/>
  <c r="N28"/>
  <c r="N16" i="65085"/>
  <c r="N16" i="65084"/>
  <c r="N28"/>
  <c r="N16" i="65083"/>
  <c r="N28"/>
  <c r="N28" i="65122"/>
  <c r="N16" i="65081"/>
  <c r="N28"/>
  <c r="N16" i="65082"/>
  <c r="N28"/>
  <c r="N16" i="65080"/>
  <c r="N41"/>
  <c r="O41" s="1"/>
  <c r="N16" i="65079"/>
  <c r="G24" i="65124"/>
  <c r="N38" i="65079"/>
  <c r="O38" s="1"/>
  <c r="N16" i="65078"/>
  <c r="O32"/>
  <c r="N16" i="65077"/>
  <c r="J22" i="65124"/>
  <c r="N8" i="65076"/>
  <c r="O8" s="1"/>
  <c r="N19"/>
  <c r="N37"/>
  <c r="O37" s="1"/>
  <c r="N41"/>
  <c r="O41" s="1"/>
  <c r="K21" i="65124"/>
  <c r="J20"/>
  <c r="N16" i="65115"/>
  <c r="N28"/>
  <c r="N16" i="65100"/>
  <c r="N28"/>
  <c r="N16" i="65074"/>
  <c r="O28"/>
  <c r="N16" i="65071"/>
  <c r="N29"/>
  <c r="D17" i="65125" s="1"/>
  <c r="C17" s="1"/>
  <c r="N16" i="65070"/>
  <c r="N30"/>
  <c r="N17" i="65069"/>
  <c r="F13" i="65124" s="1"/>
  <c r="N29" i="65069"/>
  <c r="N16" i="65068"/>
  <c r="N28"/>
  <c r="N16" i="65123"/>
  <c r="N28"/>
  <c r="N16" i="65099"/>
  <c r="N28"/>
  <c r="N16" i="65067"/>
  <c r="N16" i="65066"/>
  <c r="O16" s="1"/>
  <c r="G7" i="65124"/>
  <c r="N31" i="65066"/>
  <c r="O31" s="1"/>
  <c r="N8" i="65065"/>
  <c r="N21"/>
  <c r="N34"/>
  <c r="N43"/>
  <c r="O43" s="1"/>
  <c r="N46"/>
  <c r="N16" i="16"/>
  <c r="J5" i="65124"/>
  <c r="L8" i="300"/>
  <c r="F10"/>
  <c r="K10"/>
  <c r="F11"/>
  <c r="K11"/>
  <c r="F12"/>
  <c r="K12"/>
  <c r="F13"/>
  <c r="K13"/>
  <c r="D25" i="304"/>
  <c r="L26" i="300"/>
  <c r="L27"/>
  <c r="L28"/>
  <c r="L30"/>
  <c r="L32"/>
  <c r="L33"/>
  <c r="L35"/>
  <c r="F36"/>
  <c r="L38"/>
  <c r="F39"/>
  <c r="L41"/>
  <c r="F44"/>
  <c r="L44"/>
  <c r="F45"/>
  <c r="L45"/>
  <c r="L47"/>
  <c r="F52"/>
  <c r="K52"/>
  <c r="F54"/>
  <c r="K54"/>
  <c r="F55"/>
  <c r="K55"/>
  <c r="F56"/>
  <c r="K56"/>
  <c r="L56" s="1"/>
  <c r="F57"/>
  <c r="K57"/>
  <c r="L57" s="1"/>
  <c r="F58"/>
  <c r="K58"/>
  <c r="L58" s="1"/>
  <c r="F59"/>
  <c r="K59"/>
  <c r="F61"/>
  <c r="K61"/>
  <c r="L61" s="1"/>
  <c r="F65"/>
  <c r="K65"/>
  <c r="F66"/>
  <c r="K66"/>
  <c r="L66" s="1"/>
  <c r="L67"/>
  <c r="F68"/>
  <c r="K68"/>
  <c r="L68" s="1"/>
  <c r="F70"/>
  <c r="K70"/>
  <c r="F71"/>
  <c r="K71"/>
  <c r="L71" s="1"/>
  <c r="F72"/>
  <c r="K72"/>
  <c r="F73"/>
  <c r="K73"/>
  <c r="F76"/>
  <c r="K76"/>
  <c r="F77"/>
  <c r="K77"/>
  <c r="L77" s="1"/>
  <c r="F82"/>
  <c r="K82"/>
  <c r="F83"/>
  <c r="K83"/>
  <c r="F84"/>
  <c r="K84"/>
  <c r="L84" s="1"/>
  <c r="F85"/>
  <c r="K85"/>
  <c r="L85" s="1"/>
  <c r="F87"/>
  <c r="K87"/>
  <c r="F88"/>
  <c r="K88"/>
  <c r="D28" i="304"/>
  <c r="F98" i="300"/>
  <c r="K98"/>
  <c r="L98" s="1"/>
  <c r="F99"/>
  <c r="K99"/>
  <c r="L102"/>
  <c r="L103"/>
  <c r="G36" i="304"/>
  <c r="H36"/>
  <c r="F33" i="65124"/>
  <c r="J42"/>
  <c r="D43" i="65125"/>
  <c r="C43" s="1"/>
  <c r="D40"/>
  <c r="C40" s="1"/>
  <c r="G38" i="65124"/>
  <c r="J36"/>
  <c r="D38" i="65125"/>
  <c r="C38" s="1"/>
  <c r="J31" i="65124"/>
  <c r="D33" i="65125"/>
  <c r="C33" s="1"/>
  <c r="D31"/>
  <c r="C31" s="1"/>
  <c r="J27" i="65124"/>
  <c r="D29" i="65125"/>
  <c r="C29" s="1"/>
  <c r="D25"/>
  <c r="C25" s="1"/>
  <c r="G23" i="65124"/>
  <c r="F21"/>
  <c r="D22" i="65125"/>
  <c r="C22" s="1"/>
  <c r="F20" i="65124"/>
  <c r="D19" i="65125"/>
  <c r="C19" s="1"/>
  <c r="J16" i="65124"/>
  <c r="J12"/>
  <c r="D14" i="65125"/>
  <c r="C14" s="1"/>
  <c r="E16" i="65124"/>
  <c r="E5"/>
  <c r="E40"/>
  <c r="E38"/>
  <c r="E37"/>
  <c r="E35"/>
  <c r="E29"/>
  <c r="E28"/>
  <c r="E27"/>
  <c r="E24"/>
  <c r="E20"/>
  <c r="E18"/>
  <c r="E10"/>
  <c r="E8"/>
  <c r="E6"/>
  <c r="E39"/>
  <c r="E7"/>
  <c r="E17"/>
  <c r="G21"/>
  <c r="G22"/>
  <c r="J25"/>
  <c r="F28"/>
  <c r="F37"/>
  <c r="N34" i="65069"/>
  <c r="D8" i="65125"/>
  <c r="C8" s="1"/>
  <c r="D18"/>
  <c r="C18" s="1"/>
  <c r="D23"/>
  <c r="C23" s="1"/>
  <c r="J21" i="65124"/>
  <c r="D34" i="65125"/>
  <c r="C34" s="1"/>
  <c r="J32" i="65124"/>
  <c r="D10" i="65125"/>
  <c r="C10" s="1"/>
  <c r="J8" i="65124"/>
  <c r="D24" i="65125"/>
  <c r="C24" s="1"/>
  <c r="F22" i="65124"/>
  <c r="J29"/>
  <c r="J38"/>
  <c r="F38"/>
  <c r="D44" i="65125"/>
  <c r="C44" s="1"/>
  <c r="J6" i="65124"/>
  <c r="J18"/>
  <c r="D27" i="65125"/>
  <c r="C27" s="1"/>
  <c r="D26"/>
  <c r="C26" s="1"/>
  <c r="D42"/>
  <c r="C42" s="1"/>
  <c r="G25" i="65124"/>
  <c r="C25"/>
  <c r="G20"/>
  <c r="E19" i="304"/>
  <c r="E31"/>
  <c r="E20"/>
  <c r="E18"/>
  <c r="N33" i="65068" l="1"/>
  <c r="O46" i="65065"/>
  <c r="N52"/>
  <c r="L83" i="300"/>
  <c r="L55"/>
  <c r="L99"/>
  <c r="L13"/>
  <c r="L52"/>
  <c r="O16" i="65105"/>
  <c r="O13" i="65098"/>
  <c r="O8"/>
  <c r="O16" i="65097"/>
  <c r="O13"/>
  <c r="O8"/>
  <c r="O16" i="65096"/>
  <c r="O13"/>
  <c r="O8"/>
  <c r="O16" i="65095"/>
  <c r="O13"/>
  <c r="O8"/>
  <c r="O16" i="65094"/>
  <c r="O8"/>
  <c r="O16" i="65093"/>
  <c r="O13"/>
  <c r="O8"/>
  <c r="O16" i="65089"/>
  <c r="O13"/>
  <c r="O8"/>
  <c r="O16" i="65088"/>
  <c r="O13"/>
  <c r="O8"/>
  <c r="O16" i="65087"/>
  <c r="N33"/>
  <c r="O33" s="1"/>
  <c r="O8"/>
  <c r="O16" i="65086"/>
  <c r="O13"/>
  <c r="O8"/>
  <c r="O16" i="65085"/>
  <c r="O13"/>
  <c r="O8"/>
  <c r="O13" i="65084"/>
  <c r="O8"/>
  <c r="O13" i="65083"/>
  <c r="O8"/>
  <c r="O16" i="65122"/>
  <c r="O13"/>
  <c r="O8"/>
  <c r="O13" i="65081"/>
  <c r="O8"/>
  <c r="O16" i="65082"/>
  <c r="O13"/>
  <c r="O8"/>
  <c r="L76" i="300"/>
  <c r="L65"/>
  <c r="L59"/>
  <c r="O16" i="65079"/>
  <c r="O13"/>
  <c r="O13" i="65078"/>
  <c r="O8"/>
  <c r="O16" i="65077"/>
  <c r="O13"/>
  <c r="O8"/>
  <c r="L87" i="300"/>
  <c r="O19" i="65076"/>
  <c r="O13" i="65075"/>
  <c r="O16" i="65115"/>
  <c r="O13"/>
  <c r="O8"/>
  <c r="O16" i="65100"/>
  <c r="O13"/>
  <c r="O8"/>
  <c r="N33" i="65074"/>
  <c r="O13"/>
  <c r="O8"/>
  <c r="O13" i="65071"/>
  <c r="O8"/>
  <c r="O30" i="65070"/>
  <c r="O13"/>
  <c r="O8"/>
  <c r="O29" i="65069"/>
  <c r="O17"/>
  <c r="O8"/>
  <c r="F24" i="65137"/>
  <c r="G24" s="1"/>
  <c r="O16" i="65068"/>
  <c r="O13"/>
  <c r="O8"/>
  <c r="O16" i="65123"/>
  <c r="O13"/>
  <c r="O8"/>
  <c r="O16" i="65099"/>
  <c r="O8"/>
  <c r="O13" i="65067"/>
  <c r="O8"/>
  <c r="L73" i="300"/>
  <c r="L72"/>
  <c r="O34" i="65065"/>
  <c r="O21"/>
  <c r="O18"/>
  <c r="L12" i="300"/>
  <c r="L11"/>
  <c r="O16" i="16"/>
  <c r="O13"/>
  <c r="O8"/>
  <c r="N33" i="65088"/>
  <c r="N33" i="65115"/>
  <c r="N34" s="1"/>
  <c r="O16" i="65067"/>
  <c r="N33"/>
  <c r="O33" s="1"/>
  <c r="J9" i="65124"/>
  <c r="N33" i="65099"/>
  <c r="O28" i="65123"/>
  <c r="N33"/>
  <c r="O28" i="65068"/>
  <c r="O28" i="65100"/>
  <c r="N33"/>
  <c r="O28" i="65083"/>
  <c r="N33"/>
  <c r="J30" i="65124"/>
  <c r="N33" i="65084"/>
  <c r="O28" i="65096"/>
  <c r="N33"/>
  <c r="O28" i="65097"/>
  <c r="N33"/>
  <c r="O28" i="65098"/>
  <c r="N33"/>
  <c r="O28" i="65105"/>
  <c r="O28" i="65085"/>
  <c r="N33"/>
  <c r="O28" i="65082"/>
  <c r="N33"/>
  <c r="O28" i="65081"/>
  <c r="N33"/>
  <c r="O28" i="65122"/>
  <c r="N33"/>
  <c r="O28" i="65086"/>
  <c r="N33"/>
  <c r="O28" i="65089"/>
  <c r="N33"/>
  <c r="D39" i="65125"/>
  <c r="C39" s="1"/>
  <c r="N33" i="65094"/>
  <c r="O16" i="65080"/>
  <c r="O16" i="65075"/>
  <c r="F8" i="65124"/>
  <c r="L8" s="1"/>
  <c r="O16" i="65078"/>
  <c r="O13" i="65065"/>
  <c r="O11" i="65076"/>
  <c r="O8" i="65065"/>
  <c r="E31" i="65124"/>
  <c r="E23"/>
  <c r="F23"/>
  <c r="L10" i="300"/>
  <c r="E14" i="65124"/>
  <c r="J10"/>
  <c r="F34"/>
  <c r="F32"/>
  <c r="J26"/>
  <c r="F25"/>
  <c r="F9" i="300"/>
  <c r="D23" i="304" s="1"/>
  <c r="F12" i="65124"/>
  <c r="J41"/>
  <c r="J39"/>
  <c r="D41" i="65125"/>
  <c r="C41" s="1"/>
  <c r="J14" i="65124"/>
  <c r="D16" i="65125"/>
  <c r="C16" s="1"/>
  <c r="N34" i="65071"/>
  <c r="G6" i="65124"/>
  <c r="G43" s="1"/>
  <c r="N50" i="65076"/>
  <c r="O50" s="1"/>
  <c r="E34" i="65124"/>
  <c r="J13"/>
  <c r="E26"/>
  <c r="F39"/>
  <c r="J17"/>
  <c r="J35"/>
  <c r="F5"/>
  <c r="F35"/>
  <c r="L35" s="1"/>
  <c r="E32"/>
  <c r="E15"/>
  <c r="D37" i="65125"/>
  <c r="C37" s="1"/>
  <c r="K97" i="300"/>
  <c r="D30" i="65125"/>
  <c r="C30" s="1"/>
  <c r="N39" i="65077"/>
  <c r="E41" i="65124"/>
  <c r="E30"/>
  <c r="D12" i="65125"/>
  <c r="C12" s="1"/>
  <c r="J28" i="65124"/>
  <c r="L28" s="1"/>
  <c r="F31"/>
  <c r="F24"/>
  <c r="K9" i="300"/>
  <c r="B2" i="65061" s="1"/>
  <c r="N38" i="65095"/>
  <c r="D15" i="65125"/>
  <c r="C15" s="1"/>
  <c r="F11" i="65137"/>
  <c r="E36" i="65124"/>
  <c r="O52" i="65065"/>
  <c r="F10" i="65124"/>
  <c r="N36" i="65093"/>
  <c r="J24" i="65124"/>
  <c r="I21"/>
  <c r="I43" s="1"/>
  <c r="F40"/>
  <c r="L40" s="1"/>
  <c r="F17"/>
  <c r="N35" i="65070"/>
  <c r="N46" i="65080"/>
  <c r="F76" i="65137" s="1"/>
  <c r="J37" i="65124"/>
  <c r="L37" s="1"/>
  <c r="O28" i="65094"/>
  <c r="E12" i="65124"/>
  <c r="J7"/>
  <c r="L105" i="300"/>
  <c r="K101"/>
  <c r="F101"/>
  <c r="O8" i="65079"/>
  <c r="N43"/>
  <c r="O8" i="65075"/>
  <c r="N42"/>
  <c r="F86" i="300"/>
  <c r="F81"/>
  <c r="F69"/>
  <c r="L82"/>
  <c r="K81"/>
  <c r="K69"/>
  <c r="F60"/>
  <c r="F51"/>
  <c r="K60"/>
  <c r="L88"/>
  <c r="K86"/>
  <c r="L54"/>
  <c r="K51"/>
  <c r="D28" i="65125"/>
  <c r="C28" s="1"/>
  <c r="F26" i="65124"/>
  <c r="F18"/>
  <c r="L18" s="1"/>
  <c r="L70" i="300"/>
  <c r="F6" i="65124"/>
  <c r="N39" i="65078"/>
  <c r="J23" i="65124"/>
  <c r="O33" i="65088"/>
  <c r="O8" i="65080"/>
  <c r="H6" i="65124"/>
  <c r="H43" s="1"/>
  <c r="F61" i="65137"/>
  <c r="G61" s="1"/>
  <c r="E22" i="65124"/>
  <c r="L22" s="1"/>
  <c r="F40" i="300"/>
  <c r="L36"/>
  <c r="L34"/>
  <c r="E42" i="65124"/>
  <c r="O13" i="65105"/>
  <c r="F41" i="65124"/>
  <c r="O16" i="65098"/>
  <c r="D36" i="65125"/>
  <c r="C36" s="1"/>
  <c r="O28" i="65088"/>
  <c r="D35" i="65125"/>
  <c r="C35" s="1"/>
  <c r="O28" i="65087"/>
  <c r="E33" i="65124"/>
  <c r="L33" s="1"/>
  <c r="O13" i="65087"/>
  <c r="D32" i="65125"/>
  <c r="C32" s="1"/>
  <c r="O28" i="65084"/>
  <c r="F30" i="65124"/>
  <c r="O16" i="65084"/>
  <c r="F29" i="65124"/>
  <c r="L29" s="1"/>
  <c r="O16" i="65083"/>
  <c r="F27" i="65124"/>
  <c r="L27" s="1"/>
  <c r="O16" i="65081"/>
  <c r="E25" i="65124"/>
  <c r="O13" i="65080"/>
  <c r="E21" i="65124"/>
  <c r="O16" i="65076"/>
  <c r="F97" i="300"/>
  <c r="D29" i="304" s="1"/>
  <c r="D20" i="65125"/>
  <c r="C20" s="1"/>
  <c r="O28" i="65115"/>
  <c r="F16" i="65124"/>
  <c r="L16" s="1"/>
  <c r="O16" i="65074"/>
  <c r="O33"/>
  <c r="J15" i="65124"/>
  <c r="O29" i="65071"/>
  <c r="F15" i="65124"/>
  <c r="O16" i="65071"/>
  <c r="F14" i="65124"/>
  <c r="O16" i="65070"/>
  <c r="E13" i="65124"/>
  <c r="O13" i="65069"/>
  <c r="N35"/>
  <c r="O34"/>
  <c r="D11" i="65125"/>
  <c r="C11" s="1"/>
  <c r="O28" i="65099"/>
  <c r="O33"/>
  <c r="E9" i="65124"/>
  <c r="O13" i="65099"/>
  <c r="D7" i="65125"/>
  <c r="C7" s="1"/>
  <c r="O28" i="16"/>
  <c r="L90" i="300"/>
  <c r="L91"/>
  <c r="L22"/>
  <c r="E77" i="65137"/>
  <c r="L38" i="65124"/>
  <c r="K109" i="300"/>
  <c r="F109"/>
  <c r="L37"/>
  <c r="L5" i="65124"/>
  <c r="E16" i="304"/>
  <c r="E42" s="1"/>
  <c r="H21"/>
  <c r="F36" i="65124"/>
  <c r="J34"/>
  <c r="E8" i="65137"/>
  <c r="D43" i="65124"/>
  <c r="F9"/>
  <c r="F37" i="300"/>
  <c r="F34"/>
  <c r="N36" i="65066"/>
  <c r="O36" s="1"/>
  <c r="D9" i="65125"/>
  <c r="C9" s="1"/>
  <c r="F7" i="65124"/>
  <c r="E23" i="65137"/>
  <c r="N34" i="16"/>
  <c r="E30" i="65137"/>
  <c r="E68"/>
  <c r="L32" i="65124"/>
  <c r="K43"/>
  <c r="F17" i="300"/>
  <c r="F15" s="1"/>
  <c r="D24" i="304" s="1"/>
  <c r="L20" i="65124"/>
  <c r="L40" i="300"/>
  <c r="E37" i="304"/>
  <c r="L7" i="65124" l="1"/>
  <c r="L12"/>
  <c r="L31"/>
  <c r="F69" i="65137"/>
  <c r="G69" s="1"/>
  <c r="F70"/>
  <c r="G70" s="1"/>
  <c r="O33" i="65115"/>
  <c r="N51" i="65076"/>
  <c r="N52" s="1"/>
  <c r="O52" s="1"/>
  <c r="G29" i="304"/>
  <c r="L17" i="65124"/>
  <c r="N44" i="65079"/>
  <c r="O44" s="1"/>
  <c r="L41" i="65124"/>
  <c r="O33" i="65098"/>
  <c r="F25" i="65137"/>
  <c r="G25" s="1"/>
  <c r="O36" i="65093"/>
  <c r="O33" i="65089"/>
  <c r="O33" i="65086"/>
  <c r="O33" i="65085"/>
  <c r="O33" i="65084"/>
  <c r="O33" i="65083"/>
  <c r="O33" i="65122"/>
  <c r="O33" i="65081"/>
  <c r="O39" i="65078"/>
  <c r="N40" i="65077"/>
  <c r="N41" s="1"/>
  <c r="G38" i="304"/>
  <c r="L86" i="300"/>
  <c r="N43" i="65075"/>
  <c r="N44" s="1"/>
  <c r="O34" i="65115"/>
  <c r="N34" i="65100"/>
  <c r="O34" s="1"/>
  <c r="N35" i="65071"/>
  <c r="O35" s="1"/>
  <c r="F29" i="65137"/>
  <c r="G29" s="1"/>
  <c r="O35" i="65069"/>
  <c r="O33" i="65123"/>
  <c r="L9" i="300"/>
  <c r="L81"/>
  <c r="L51"/>
  <c r="L60"/>
  <c r="L69"/>
  <c r="F25"/>
  <c r="L34" i="65124"/>
  <c r="O34" i="65071"/>
  <c r="L23" i="65124"/>
  <c r="N34" i="65098"/>
  <c r="L13" i="65124"/>
  <c r="L21"/>
  <c r="L15"/>
  <c r="O38" i="65095"/>
  <c r="L10" i="65124"/>
  <c r="L24"/>
  <c r="L39"/>
  <c r="N39" i="65095"/>
  <c r="N40" s="1"/>
  <c r="L30" i="65124"/>
  <c r="L14"/>
  <c r="O33" i="65068"/>
  <c r="N34"/>
  <c r="L25" i="65124"/>
  <c r="L26"/>
  <c r="L44"/>
  <c r="L97" i="300"/>
  <c r="G23" i="304"/>
  <c r="O39" i="65077"/>
  <c r="O35" i="65070"/>
  <c r="L36" i="65124"/>
  <c r="F86" i="65137"/>
  <c r="N37" i="65093"/>
  <c r="O33" i="65100"/>
  <c r="O33" i="65082"/>
  <c r="F26" i="65137"/>
  <c r="G26" s="1"/>
  <c r="F32"/>
  <c r="G32" s="1"/>
  <c r="F9"/>
  <c r="N40" i="65078"/>
  <c r="N37" i="65140"/>
  <c r="O37" s="1"/>
  <c r="E43" i="65124"/>
  <c r="L21" i="300"/>
  <c r="O42" i="65075"/>
  <c r="N34" i="65089"/>
  <c r="O43" i="65079"/>
  <c r="L6" i="65124"/>
  <c r="N34" i="65122"/>
  <c r="N36" i="65069"/>
  <c r="F50" i="300"/>
  <c r="D27" i="304" s="1"/>
  <c r="L9" i="65124"/>
  <c r="J43"/>
  <c r="O46" i="65080"/>
  <c r="O34" i="16"/>
  <c r="N35"/>
  <c r="H31" i="304"/>
  <c r="D38"/>
  <c r="D37" s="1"/>
  <c r="D39" s="1"/>
  <c r="D45" i="65125"/>
  <c r="F43" i="65124"/>
  <c r="G25" i="304"/>
  <c r="N34" i="65097"/>
  <c r="O33"/>
  <c r="N34" i="65096"/>
  <c r="O33"/>
  <c r="N34" i="65094"/>
  <c r="O33"/>
  <c r="O35" i="65115"/>
  <c r="E32" i="304"/>
  <c r="E34" s="1"/>
  <c r="D33"/>
  <c r="D32" s="1"/>
  <c r="D34" s="1"/>
  <c r="G28"/>
  <c r="G33"/>
  <c r="L101" i="300"/>
  <c r="C45" i="65125"/>
  <c r="L17" i="300"/>
  <c r="L109"/>
  <c r="G11" i="65137"/>
  <c r="K50" i="300"/>
  <c r="E7" i="65137"/>
  <c r="H20" i="304"/>
  <c r="E39"/>
  <c r="N45" i="65079" l="1"/>
  <c r="O51" i="65076"/>
  <c r="O40" i="65077"/>
  <c r="H29" i="304"/>
  <c r="N35" i="65141"/>
  <c r="O35" s="1"/>
  <c r="O45" i="65079"/>
  <c r="O44" i="65075"/>
  <c r="O34" i="65098"/>
  <c r="O34" i="65097"/>
  <c r="O34" i="65096"/>
  <c r="O40" i="65095"/>
  <c r="O39"/>
  <c r="N38" i="65093"/>
  <c r="O34" i="65089"/>
  <c r="O34" i="65122"/>
  <c r="O40" i="65078"/>
  <c r="H38" i="304"/>
  <c r="O43" i="65075"/>
  <c r="O36" i="65069"/>
  <c r="O34" i="65068"/>
  <c r="N38" i="65140"/>
  <c r="H23" i="304"/>
  <c r="H28"/>
  <c r="G32"/>
  <c r="G34" s="1"/>
  <c r="H25"/>
  <c r="N35" i="65098"/>
  <c r="N35" i="65068"/>
  <c r="O37" i="65093"/>
  <c r="N41" i="65078"/>
  <c r="F68" i="65137"/>
  <c r="G68" s="1"/>
  <c r="G76"/>
  <c r="N35" i="65089"/>
  <c r="O41" i="65077"/>
  <c r="G9" i="65137"/>
  <c r="F8"/>
  <c r="G8" s="1"/>
  <c r="N36" i="16"/>
  <c r="O35"/>
  <c r="N35" i="65097"/>
  <c r="F23" i="65137"/>
  <c r="G23" s="1"/>
  <c r="N35" i="65096"/>
  <c r="H33" i="304"/>
  <c r="O34" i="65094"/>
  <c r="N35"/>
  <c r="E22" i="304"/>
  <c r="E30" s="1"/>
  <c r="E35" s="1"/>
  <c r="D26"/>
  <c r="D22" s="1"/>
  <c r="G37"/>
  <c r="G26"/>
  <c r="L25" i="300"/>
  <c r="G27" i="304"/>
  <c r="L50" i="300"/>
  <c r="O35" i="65123"/>
  <c r="O34"/>
  <c r="F7" i="300"/>
  <c r="H18" i="304"/>
  <c r="H32" l="1"/>
  <c r="O38" i="65140"/>
  <c r="O35" i="65098"/>
  <c r="O35" i="65097"/>
  <c r="O35" i="65096"/>
  <c r="O35" i="65094"/>
  <c r="O38" i="65093"/>
  <c r="O35" i="65089"/>
  <c r="O41" i="65078"/>
  <c r="O35" i="65068"/>
  <c r="O36" i="16"/>
  <c r="H27" i="304"/>
  <c r="H34"/>
  <c r="H26"/>
  <c r="F77" i="65137"/>
  <c r="G86"/>
  <c r="E43" i="304"/>
  <c r="E44" s="1"/>
  <c r="D43"/>
  <c r="D44" s="1"/>
  <c r="D30"/>
  <c r="D35" s="1"/>
  <c r="D40" s="1"/>
  <c r="G39"/>
  <c r="H37"/>
  <c r="E40"/>
  <c r="H39" l="1"/>
  <c r="G77" i="65137"/>
  <c r="H19" i="304" l="1"/>
  <c r="O9" i="65105" l="1"/>
  <c r="N8"/>
  <c r="C42" i="65124"/>
  <c r="C43" s="1"/>
  <c r="O8" i="65105" l="1"/>
  <c r="N33"/>
  <c r="L42" i="65124"/>
  <c r="L43" s="1"/>
  <c r="K114" i="300"/>
  <c r="K15"/>
  <c r="C123" l="1"/>
  <c r="K7"/>
  <c r="F39" i="65137"/>
  <c r="F30" s="1"/>
  <c r="F7" s="1"/>
  <c r="N34" i="65105"/>
  <c r="N35" s="1"/>
  <c r="O33"/>
  <c r="L15" i="300"/>
  <c r="G24" i="304"/>
  <c r="O35" i="65105" l="1"/>
  <c r="O34"/>
  <c r="H24" i="304"/>
  <c r="L7" i="300"/>
  <c r="G39" i="65137"/>
  <c r="L114" i="300"/>
  <c r="G22" i="304"/>
  <c r="G30" i="65137"/>
  <c r="G7"/>
  <c r="H22" i="304" l="1"/>
  <c r="G43"/>
  <c r="G53" i="65139"/>
  <c r="H53" s="1"/>
  <c r="H43" i="304" l="1"/>
  <c r="G48" i="65139"/>
  <c r="H48" l="1"/>
  <c r="G47"/>
  <c r="H47" l="1"/>
  <c r="G5"/>
  <c r="H5" l="1"/>
  <c r="G17" i="304"/>
  <c r="G176" i="65139"/>
  <c r="G16" i="304" l="1"/>
  <c r="H17"/>
  <c r="H176" i="65139"/>
  <c r="G246"/>
  <c r="H246" l="1"/>
  <c r="G257"/>
  <c r="H16" i="304"/>
  <c r="G30"/>
  <c r="G42"/>
  <c r="H257" i="65139" l="1"/>
  <c r="D2" i="65061"/>
  <c r="C2" s="1"/>
  <c r="A4" s="1"/>
  <c r="G35" i="304"/>
  <c r="H30"/>
  <c r="H42"/>
  <c r="G44"/>
  <c r="H44" l="1"/>
  <c r="L45" i="65124"/>
  <c r="L46" s="1"/>
  <c r="H35" i="304"/>
  <c r="G40"/>
  <c r="H40" l="1"/>
</calcChain>
</file>

<file path=xl/sharedStrings.xml><?xml version="1.0" encoding="utf-8"?>
<sst xmlns="http://schemas.openxmlformats.org/spreadsheetml/2006/main" count="2839" uniqueCount="953">
  <si>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</si>
  <si>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</si>
  <si>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</si>
  <si>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</si>
  <si>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</si>
  <si>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</si>
  <si>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</si>
  <si>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</si>
  <si>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</si>
  <si>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</si>
  <si>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</si>
  <si>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</si>
  <si>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</si>
  <si>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</si>
  <si>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</si>
  <si>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</si>
  <si>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</si>
  <si>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</si>
  <si>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</si>
  <si>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</si>
  <si>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</si>
  <si>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</si>
  <si>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</si>
  <si>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</si>
  <si>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</si>
  <si>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</si>
  <si>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</si>
  <si>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</si>
  <si>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</si>
  <si>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</si>
  <si>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</si>
  <si>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</si>
  <si>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</si>
  <si>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</si>
  <si>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</si>
  <si>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</si>
  <si>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</si>
  <si>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</si>
  <si>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</si>
  <si>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</si>
  <si>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</si>
  <si>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</si>
  <si>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</si>
  <si>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</si>
  <si>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</si>
  <si>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</si>
  <si>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</si>
  <si>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</si>
  <si>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</si>
  <si>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</si>
  <si>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</si>
  <si>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</si>
  <si>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</si>
  <si>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</si>
  <si>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</si>
  <si>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</si>
  <si>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</si>
  <si>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</si>
  <si>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</si>
  <si>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</si>
  <si>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</si>
  <si>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</si>
  <si>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</si>
  <si>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</si>
  <si>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</si>
  <si>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</si>
  <si>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</si>
  <si>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</si>
  <si>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</si>
  <si>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</si>
  <si>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</si>
  <si>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</si>
  <si>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</si>
  <si>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</si>
  <si>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</si>
  <si>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</si>
  <si>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</si>
  <si>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</si>
  <si>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</si>
  <si>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</si>
  <si>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</si>
  <si>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</si>
  <si>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</si>
  <si>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</si>
  <si>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</si>
  <si>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</si>
  <si>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</si>
  <si>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</si>
  <si>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</si>
  <si>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</si>
  <si>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</si>
  <si>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</si>
  <si>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</si>
  <si>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</si>
  <si>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</si>
  <si>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</si>
  <si>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Grantovi za povratak raseljenih osoba</t>
  </si>
  <si>
    <t>616000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</si>
  <si>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</si>
  <si>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</si>
  <si>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</si>
  <si>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</si>
  <si>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</si>
  <si>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</si>
  <si>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</si>
  <si>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</si>
  <si>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</si>
  <si>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</si>
  <si>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</si>
  <si>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</si>
  <si>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</si>
  <si>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</si>
  <si>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</si>
  <si>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</si>
  <si>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</si>
  <si>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</si>
  <si>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</si>
  <si>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</si>
  <si>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</si>
  <si>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</si>
  <si>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</si>
  <si>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</si>
  <si>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</si>
  <si>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</si>
  <si>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</si>
  <si>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</si>
  <si>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</si>
  <si>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</si>
  <si>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</si>
  <si>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</si>
  <si>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</si>
  <si>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</si>
  <si>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</si>
  <si>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</si>
  <si>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</si>
  <si>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</si>
  <si>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</si>
  <si>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</si>
  <si>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</si>
  <si>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</si>
  <si>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</si>
  <si>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</si>
  <si>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</si>
  <si>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</si>
  <si>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</si>
  <si>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</si>
  <si>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</si>
  <si>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</si>
  <si>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</si>
  <si>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</si>
  <si>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</si>
  <si>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</si>
  <si>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</si>
  <si>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</si>
  <si>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</si>
  <si>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</si>
  <si>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</si>
  <si>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</si>
  <si>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</si>
  <si>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</si>
  <si>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</si>
  <si>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</si>
  <si>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</si>
  <si>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</si>
  <si>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</si>
  <si>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</si>
  <si>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</si>
  <si>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</si>
  <si>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</si>
  <si>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</si>
  <si>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>615100</t>
  </si>
  <si>
    <t>1.Prihodi od poduzetničkih aktivnosti i imovine i prihodi od pozitivnih tečajnih razlika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</si>
  <si>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</si>
  <si>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</si>
  <si>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</si>
  <si>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</si>
  <si>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</si>
  <si>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</si>
  <si>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</si>
  <si>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</si>
  <si>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</si>
  <si>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</si>
  <si>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</si>
  <si>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</si>
  <si>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</si>
  <si>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</si>
  <si>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</si>
  <si>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</si>
  <si>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</si>
  <si>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</si>
  <si>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</si>
  <si>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</si>
  <si>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</si>
  <si>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</si>
  <si>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</si>
  <si>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</si>
  <si>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Sveučilište u Mostaru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</si>
  <si>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</si>
  <si>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</si>
  <si>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</si>
  <si>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</si>
  <si>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</si>
  <si>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</si>
  <si>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</si>
  <si>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</si>
  <si>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</si>
  <si>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</si>
  <si>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</si>
  <si>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</si>
  <si>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</si>
  <si>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</si>
  <si>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</si>
  <si>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</si>
  <si>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</si>
  <si>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</si>
  <si>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</si>
  <si>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</si>
  <si>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</si>
  <si>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</si>
  <si>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</si>
  <si>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</si>
  <si>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</si>
  <si>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</si>
  <si>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</si>
  <si>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</si>
  <si>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</si>
  <si>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</si>
  <si>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</si>
  <si>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</si>
  <si>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</si>
  <si>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</si>
  <si>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</si>
  <si>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</si>
  <si>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</si>
  <si>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</si>
  <si>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</si>
  <si>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</si>
  <si>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</si>
  <si>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</si>
  <si>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</si>
  <si>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</si>
  <si>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</si>
  <si>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</si>
  <si>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</si>
  <si>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</si>
  <si>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</si>
  <si>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</si>
  <si>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</si>
  <si>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</si>
  <si>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</si>
  <si>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</si>
  <si>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</si>
  <si>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</si>
  <si>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</si>
  <si>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</si>
  <si>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</si>
  <si>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</si>
  <si>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</si>
  <si>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</si>
  <si>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</si>
  <si>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</si>
  <si>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</si>
  <si>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</si>
  <si>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</si>
  <si>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</si>
  <si>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</si>
  <si>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</si>
  <si>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</si>
  <si>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</si>
  <si>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</si>
  <si>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</si>
  <si>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</si>
  <si>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</si>
  <si>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</si>
  <si>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</si>
  <si>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</si>
  <si>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</si>
  <si>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</si>
  <si>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</si>
  <si>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</si>
  <si>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</si>
  <si>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</si>
  <si>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</si>
  <si>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</si>
  <si>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</si>
  <si>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</si>
  <si>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</si>
  <si>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</si>
  <si>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</si>
  <si>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</si>
  <si>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</si>
  <si>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</si>
  <si>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</si>
  <si>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</si>
  <si>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</si>
  <si>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</si>
  <si>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</si>
  <si>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</si>
  <si>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</si>
  <si>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</si>
  <si>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</si>
  <si>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</si>
  <si>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</si>
  <si>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</si>
  <si>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</si>
  <si>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</si>
  <si>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</si>
  <si>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</si>
  <si>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</si>
  <si>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</si>
  <si>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</si>
  <si>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</si>
  <si>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 za uređenje poljoprivrednog zemljišta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</si>
  <si>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</si>
  <si>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</si>
  <si>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</si>
  <si>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</si>
  <si>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</si>
  <si>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</si>
  <si>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</si>
  <si>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</si>
  <si>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</si>
  <si>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</si>
  <si>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</si>
  <si>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</si>
  <si>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</si>
  <si>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</si>
  <si>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</si>
  <si>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</si>
  <si>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</si>
  <si>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</si>
  <si>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</si>
  <si>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</si>
  <si>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</si>
  <si>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</si>
  <si>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</si>
  <si>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</si>
  <si>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</si>
  <si>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</si>
  <si>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</si>
  <si>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</si>
  <si>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</si>
  <si>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</si>
  <si>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</si>
  <si>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</si>
  <si>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</si>
  <si>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</si>
  <si>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</si>
  <si>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</si>
  <si>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</si>
  <si>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</si>
  <si>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</si>
  <si>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</si>
  <si>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</si>
  <si>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</si>
  <si>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</si>
  <si>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</si>
  <si>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</si>
  <si>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</si>
  <si>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</si>
  <si>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</si>
  <si>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</si>
  <si>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</si>
  <si>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</si>
  <si>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</si>
  <si>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</si>
  <si>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</si>
  <si>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</si>
  <si>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</si>
  <si>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</si>
  <si>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</si>
  <si>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</si>
  <si>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</si>
  <si>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</si>
  <si>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</si>
  <si>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</si>
  <si>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</si>
  <si>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</si>
  <si>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</si>
  <si>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</si>
  <si>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</si>
  <si>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</si>
  <si>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</si>
  <si>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</si>
  <si>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</si>
  <si>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</si>
  <si>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</si>
  <si>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</si>
  <si>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</si>
  <si>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</si>
  <si>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</si>
  <si>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</si>
  <si>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</si>
  <si>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</si>
  <si>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</si>
  <si>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</si>
  <si>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</si>
  <si>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</si>
  <si>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</si>
  <si>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</si>
  <si>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</si>
  <si>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</si>
  <si>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</si>
  <si>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</si>
  <si>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</si>
  <si>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</si>
  <si>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</si>
  <si>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</si>
  <si>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</si>
  <si>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</si>
  <si>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</si>
  <si>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</si>
  <si>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</si>
  <si>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</si>
  <si>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</si>
  <si>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</si>
  <si>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</si>
  <si>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</si>
  <si>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</si>
  <si>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</si>
  <si>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</si>
  <si>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</si>
  <si>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</si>
  <si>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</si>
  <si>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</si>
  <si>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</si>
  <si>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</si>
  <si>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</si>
  <si>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</si>
  <si>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</si>
  <si>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</si>
  <si>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</si>
  <si>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</si>
  <si>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</si>
  <si>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</si>
  <si>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</si>
  <si>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</si>
  <si>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</si>
  <si>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</si>
  <si>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</si>
  <si>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</si>
  <si>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</si>
  <si>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>URED ZA RAZVOJ I EUROPSKE INTEGRACIJE ŽUPANIJE POSAVSKE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</si>
  <si>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</si>
  <si>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</si>
  <si>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</si>
  <si>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</si>
  <si>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</si>
  <si>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</si>
  <si>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</si>
  <si>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</si>
  <si>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</si>
  <si>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</si>
  <si>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 za zaštitu okoliša</t>
  </si>
  <si>
    <t xml:space="preserve"> o/č Grant za razvoj turizma</t>
  </si>
  <si>
    <t xml:space="preserve"> o/č Grant za sufinanciranje nabavke udžbenika učenicima </t>
  </si>
  <si>
    <t xml:space="preserve"> o/č Isplate stipendija</t>
  </si>
  <si>
    <t xml:space="preserve"> o/č Grant za sufinanciranje osn.i srednjeg obrazovanja djece s 
       posebnim potrebama</t>
  </si>
  <si>
    <t xml:space="preserve"> o/č Grant za zaštitu od prirodnih i drugih nesreća</t>
  </si>
  <si>
    <t xml:space="preserve"> o/č Grant za Crveni križ Županije Posavske</t>
  </si>
  <si>
    <t xml:space="preserve"> o/č Grant za Gospodarsku komoru ŽP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</si>
  <si>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</si>
  <si>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</si>
  <si>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</si>
  <si>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</si>
  <si>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</si>
  <si>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</si>
  <si>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</si>
  <si>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</si>
  <si>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</si>
  <si>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</si>
  <si>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</si>
  <si>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</si>
  <si>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</si>
  <si>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</si>
  <si>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</si>
  <si>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</si>
  <si>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</si>
  <si>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</si>
  <si>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</si>
  <si>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</si>
  <si>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</si>
  <si>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</si>
  <si>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</si>
  <si>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</si>
  <si>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</si>
  <si>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</si>
  <si>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</si>
  <si>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</si>
  <si>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</si>
  <si>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</si>
  <si>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</si>
  <si>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</si>
  <si>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</si>
  <si>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</si>
  <si>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</si>
  <si>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Primljeni tekući grantovi od gradova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</si>
  <si>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</si>
  <si>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</si>
  <si>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</si>
  <si>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</si>
  <si>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</si>
  <si>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</si>
  <si>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</si>
  <si>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</si>
  <si>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</si>
  <si>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</si>
  <si>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</si>
  <si>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</si>
  <si>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</si>
  <si>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</si>
  <si>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</si>
  <si>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</si>
  <si>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</si>
  <si>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</si>
  <si>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</si>
  <si>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</si>
  <si>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</si>
  <si>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</si>
  <si>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</si>
  <si>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</si>
  <si>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</si>
  <si>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</si>
  <si>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</si>
  <si>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</si>
  <si>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</si>
  <si>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</si>
  <si>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</si>
  <si>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</si>
  <si>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</si>
  <si>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</si>
  <si>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</si>
  <si>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>8=6+7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</si>
  <si>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</si>
  <si>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</si>
  <si>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</si>
  <si>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</si>
  <si>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</si>
  <si>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</si>
  <si>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</si>
  <si>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</si>
  <si>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</si>
  <si>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</si>
  <si>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</si>
  <si>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</si>
  <si>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</si>
  <si>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</si>
  <si>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</si>
  <si>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</si>
  <si>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</si>
  <si>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</si>
  <si>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</si>
  <si>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</si>
  <si>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</si>
  <si>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</si>
  <si>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</si>
  <si>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</si>
  <si>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</si>
  <si>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</si>
  <si>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</si>
  <si>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</si>
  <si>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</si>
  <si>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</si>
  <si>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</si>
  <si>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</si>
  <si>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</si>
  <si>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</si>
  <si>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</si>
  <si>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</si>
  <si>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</si>
  <si>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</si>
  <si>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</si>
  <si>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</si>
  <si>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</si>
  <si>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</si>
  <si>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</si>
  <si>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</si>
  <si>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</si>
  <si>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</si>
  <si>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</si>
  <si>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</si>
  <si>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</si>
  <si>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</si>
  <si>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</si>
  <si>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</si>
  <si>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</si>
  <si>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</si>
  <si>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</si>
  <si>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</si>
  <si>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</si>
  <si>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</si>
  <si>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</si>
  <si>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</si>
  <si>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</si>
  <si>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</si>
  <si>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</si>
  <si>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</si>
  <si>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</si>
  <si>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</si>
  <si>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</si>
  <si>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</si>
  <si>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</si>
  <si>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23010001 Uprava za civilnu zaštitu</t>
  </si>
  <si>
    <t xml:space="preserve">      99999999 Riznica</t>
  </si>
  <si>
    <t xml:space="preserve">   Prihodi od iznajmljivanja zemljišta</t>
  </si>
  <si>
    <t>HA6003</t>
  </si>
  <si>
    <t>HA6004</t>
  </si>
  <si>
    <t>Usluge sporta i rekreacije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</si>
  <si>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</si>
  <si>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</si>
  <si>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</si>
  <si>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</si>
  <si>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   20010001 Ministarstvo prosvjete, znanosti, kulture i sporta - 
      Nabavka besplatnih udžbenika</t>
  </si>
  <si>
    <t>KA6012</t>
  </si>
  <si>
    <t>KA6013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</si>
  <si>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</si>
  <si>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</si>
  <si>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</si>
  <si>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</si>
  <si>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</si>
  <si>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</si>
  <si>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</si>
  <si>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</si>
  <si>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</si>
  <si>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</si>
  <si>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</si>
  <si>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</si>
  <si>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</si>
  <si>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</si>
  <si>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</si>
  <si>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</si>
  <si>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</si>
  <si>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</si>
  <si>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</si>
  <si>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</si>
  <si>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</si>
  <si>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</si>
  <si>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</si>
  <si>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</si>
  <si>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</si>
  <si>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</si>
  <si>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</si>
  <si>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</si>
  <si>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</si>
  <si>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</si>
  <si>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</si>
  <si>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</si>
  <si>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</si>
  <si>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</si>
  <si>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</si>
  <si>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</si>
  <si>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</si>
  <si>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</si>
  <si>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</si>
  <si>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</si>
  <si>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</si>
  <si>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</si>
  <si>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</si>
  <si>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</si>
  <si>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</si>
  <si>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</si>
  <si>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</si>
  <si>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</si>
  <si>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</si>
  <si>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</si>
  <si>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</si>
  <si>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</si>
  <si>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</si>
  <si>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</si>
  <si>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</si>
  <si>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</si>
  <si>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</si>
  <si>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</si>
  <si>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URED ZA RASELJENE</t>
  </si>
  <si>
    <t>Ured za raseljene</t>
  </si>
  <si>
    <t xml:space="preserve">   Grant od Federalnog zavoda za zapošljavanje - pripravnici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</si>
  <si>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</si>
  <si>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</si>
  <si>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</si>
  <si>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</si>
  <si>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</si>
  <si>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</si>
  <si>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</si>
  <si>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</si>
  <si>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</si>
  <si>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</si>
  <si>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</si>
  <si>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</si>
  <si>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</si>
  <si>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</si>
  <si>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</si>
  <si>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</si>
  <si>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</si>
  <si>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</si>
  <si>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</si>
  <si>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</si>
  <si>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</si>
  <si>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</si>
  <si>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</si>
  <si>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</si>
  <si>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</si>
  <si>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</si>
  <si>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</si>
  <si>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</si>
  <si>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</si>
  <si>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</si>
  <si>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</si>
  <si>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</si>
  <si>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</si>
  <si>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</si>
  <si>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</si>
  <si>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</si>
  <si>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</si>
  <si>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</si>
  <si>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</si>
  <si>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</si>
  <si>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</si>
  <si>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</si>
  <si>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</si>
  <si>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</si>
  <si>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</si>
  <si>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</si>
  <si>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</si>
  <si>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</si>
  <si>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</si>
  <si>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</si>
  <si>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</si>
  <si>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</si>
  <si>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</si>
  <si>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</si>
  <si>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</si>
  <si>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</si>
  <si>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</si>
  <si>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Izvršenje Proračuna 01.01.-30.09.20.</t>
  </si>
  <si>
    <t>PRORAČUN za 2021.</t>
  </si>
  <si>
    <t>PRORAČUN za 2020. (NN ŽP 15/19, 6/20, ??720)</t>
  </si>
  <si>
    <t>Povećanje/smanjenje Proračuna za 2020.g.</t>
  </si>
  <si>
    <t>INDEKS 13/9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</si>
  <si>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</si>
  <si>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</si>
  <si>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</si>
  <si>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</si>
  <si>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</si>
  <si>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</si>
  <si>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o/č Ugovorene i dr.pos.usluge - troškovi izvršenja mjere pritvora</t>
  </si>
  <si>
    <t xml:space="preserve"> Vanjske otplate - Koreja</t>
  </si>
  <si>
    <t xml:space="preserve"> Vanjske otplate - Austrija</t>
  </si>
  <si>
    <t xml:space="preserve"> Ugovorene i dr. posebne usluge-sufinanc.prijema vježbenika</t>
  </si>
  <si>
    <t xml:space="preserve"> o/č Ugov.i dr.poseb.usluge-sufinanciranje prijema vježbenika</t>
  </si>
  <si>
    <t xml:space="preserve">   Porez na dobit od poljoprivrednih djelatnosti</t>
  </si>
  <si>
    <t xml:space="preserve">    o/t Prihodi od neizravnih poreza na ime financ.autocesta u FBiH</t>
  </si>
  <si>
    <t xml:space="preserve">    o/t Prihodi od neizravnih poreza koji pripadaju Direkciji cesta</t>
  </si>
  <si>
    <t xml:space="preserve">   Prihodi od iznajmljivanja vozila</t>
  </si>
  <si>
    <t xml:space="preserve">      19010001 Minist.poljopr., vodoprivrede i šumarstva</t>
  </si>
  <si>
    <t xml:space="preserve">   Prihodi po osnovi premije i provizije za izdano jamstvo</t>
  </si>
  <si>
    <t xml:space="preserve">   Prihodi po osnovi obračunate provizije za izdano jamstvo</t>
  </si>
  <si>
    <t xml:space="preserve">      20030001 Osnovna škola Orašje u Orašju - Ured za Hrvate izvan RH</t>
  </si>
  <si>
    <t xml:space="preserve">      99999999 Riznica ŽP - Potpora iz sredstava MMF-a</t>
  </si>
  <si>
    <t xml:space="preserve">      11010001 Vlada ŽP - Brčko Distrikt</t>
  </si>
  <si>
    <t xml:space="preserve">      20010001 Ministarstvo prosvjete, znanosti, kulture i sporta - Ured za 
      obnovu i stambeno zbrinjavanje</t>
  </si>
  <si>
    <t xml:space="preserve">      20020003 ŠC Fra M.Nedića u Orašju- Ured za Hrvate uzvan RH</t>
  </si>
  <si>
    <t xml:space="preserve">      20030005 OŠ S.Radića u Boku - Ured za Hrvate uzvan RH</t>
  </si>
  <si>
    <t xml:space="preserve">     20020003 Školski centar fra Martina Nedića u Orašju - elem.nepogoda</t>
  </si>
  <si>
    <t xml:space="preserve">   Kapitalni grantovi od općina</t>
  </si>
  <si>
    <t xml:space="preserve">      12010001 Zajednička služba Vlade Županije Posavske</t>
  </si>
  <si>
    <t xml:space="preserve">      13010001 Ministarstvo unutarnjih poslova ŽP</t>
  </si>
  <si>
    <t xml:space="preserve">      19010001 Ministarstvo poljoprivrede, vodoprivrede i šumarstva ŽP</t>
  </si>
  <si>
    <t>BA6021</t>
  </si>
  <si>
    <t xml:space="preserve">   Primljeni tekući grantovi od Države</t>
  </si>
  <si>
    <t xml:space="preserve">      99999999 Riznica ŽP - "Sredstva za saniranje ekonomskih šteta"</t>
  </si>
  <si>
    <t xml:space="preserve"> Grant za udruge roditelja djece s posebnim potrebama</t>
  </si>
  <si>
    <t xml:space="preserve"> o/č Grant za udruge roditelja djece s posebnim potrebama</t>
  </si>
  <si>
    <t xml:space="preserve">   9. IZDACI ZA NABAVKU FINANCIJSKE IMOVINE I OTPLATE DUGOVA</t>
  </si>
  <si>
    <t xml:space="preserve">      18010001 Ministarstvo prometa, veza i zaštite okoliša ŽP - Federalno 
      ministarstvo izbjeglih i raseljenih osoba FBiH</t>
  </si>
  <si>
    <t>HA6005</t>
  </si>
  <si>
    <t>BA6019</t>
  </si>
  <si>
    <t xml:space="preserve">      20030005 OŠ V.Nazora u Odžaku - Ured za Hrvate izvan RH</t>
  </si>
  <si>
    <t xml:space="preserve">      20010001 Ministarstvo prosvjete, znanosti, kulture i sporta - Federalno
      ministarstvo prostornog uređenja</t>
  </si>
  <si>
    <t xml:space="preserve">      20030007 OŠ Braće Radića u Domaljevcu -Ured za Hrvate izvan RH</t>
  </si>
  <si>
    <t xml:space="preserve">      20010001 Ministarstvo prosvjete, znanosti, kulture i sporta - Ured za 
      obnovu i stambeno zbrinjavanje RH</t>
  </si>
  <si>
    <t xml:space="preserve">      14020003 Općinski sud u Orašju</t>
  </si>
  <si>
    <t xml:space="preserve">   20030003 OŠ Ruđera Boškovića u Donjoj Mahali</t>
  </si>
  <si>
    <t xml:space="preserve">   20030003 OŠ Orašje u Orašju</t>
  </si>
  <si>
    <t xml:space="preserve">   20030003 OŠ Vladimira Nazora u Odžaku</t>
  </si>
  <si>
    <t xml:space="preserve">   Prihodi od privatizacije</t>
  </si>
  <si>
    <t xml:space="preserve">   Prihodi od privatizacije poduzeća</t>
  </si>
  <si>
    <t>50 (53)</t>
  </si>
  <si>
    <t>42 (46)</t>
  </si>
  <si>
    <r>
      <t xml:space="preserve">    o/t Prihodi od neizravnih poreza na ime financ.autocesta u FBiH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</si>
  <si>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</si>
  <si>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</si>
  <si>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</si>
  <si>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</si>
  <si>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23010001 Uprava za civilnu zaštitu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</si>
  <si>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99999999 Riznica ŽP - Potpora iz sredstava MMF-a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</si>
  <si>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ŽP - "Sredstva za saniranje ek.šteta" </t>
    </r>
    <r>
      <rPr>
        <b/>
        <i/>
        <sz val="10"/>
        <color indexed="8"/>
        <rFont val="Arial"/>
        <family val="2"/>
        <charset val="238"/>
      </rPr>
      <t>(razgran.)</t>
    </r>
  </si>
  <si>
    <t xml:space="preserve"> Doprinosi za beneficirani radni staž 1996-1998</t>
  </si>
  <si>
    <t xml:space="preserve"> Grant za financiranje visokog obrazovanja    
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</si>
  <si>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</si>
  <si>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</si>
  <si>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</si>
  <si>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</si>
  <si>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r>
      <rPr>
        <i/>
        <sz val="10"/>
        <rFont val="Arial"/>
        <family val="2"/>
        <charset val="238"/>
      </rPr>
      <t xml:space="preserve">o/č Grant za financiranje visokog obrazovanja    </t>
    </r>
    <r>
      <rPr>
        <sz val="10"/>
        <rFont val="Arial"/>
        <family val="2"/>
        <charset val="238"/>
      </rPr>
      <t xml:space="preserve">
</t>
    </r>
  </si>
  <si>
    <t xml:space="preserve"> o/č Grant za informiranje</t>
  </si>
  <si>
    <t xml:space="preserve"> o/č Grant za financiranje vjerskih zajednica</t>
  </si>
  <si>
    <t xml:space="preserve"> o/č Grant za sport</t>
  </si>
  <si>
    <t xml:space="preserve"> o/č Grant za kulturu</t>
  </si>
  <si>
    <t xml:space="preserve"> Grant političkim strankama</t>
  </si>
  <si>
    <t xml:space="preserve"> Grant neprofitnim organizacijama i udrugama građana</t>
  </si>
  <si>
    <t xml:space="preserve"> o/č Grant političkim strankama</t>
  </si>
  <si>
    <t xml:space="preserve"> o/č Grant neprofitnim organizacijama i udrugama građana</t>
  </si>
  <si>
    <t xml:space="preserve"> Grant nižim razinama vlasti</t>
  </si>
  <si>
    <t xml:space="preserve"> o/č Grant nižim razinama vlasti</t>
  </si>
  <si>
    <t xml:space="preserve"> Grant za zdravstvene potrebe</t>
  </si>
  <si>
    <t xml:space="preserve"> Grant za socijalne potrebe</t>
  </si>
  <si>
    <t xml:space="preserve"> o/č Grant za zdravstvene potrebe</t>
  </si>
  <si>
    <t xml:space="preserve"> o/č Grant za socijalne potrebe</t>
  </si>
  <si>
    <t xml:space="preserve"> Grant za zdravstvene institucije i centre za soc.rad</t>
  </si>
  <si>
    <t xml:space="preserve"> o/č Grant za zdravstvene institucije i centre za soc.rad</t>
  </si>
  <si>
    <t xml:space="preserve"> o/č Grant za sufinanciranje prijevoza učenika</t>
  </si>
  <si>
    <t xml:space="preserve"> Grant za sufinanciranje prijevoza učenika</t>
  </si>
  <si>
    <t xml:space="preserve"> Grant za šumarstvo</t>
  </si>
  <si>
    <t xml:space="preserve"> Grant za poljoprivredu</t>
  </si>
  <si>
    <t xml:space="preserve"> Grant za vodoprivredu</t>
  </si>
  <si>
    <t xml:space="preserve"> o/č Grant za šumarstvo</t>
  </si>
  <si>
    <t xml:space="preserve"> o/č Grant za poljoprivredu</t>
  </si>
  <si>
    <t xml:space="preserve"> o/č Grant za vodoprivredu</t>
  </si>
  <si>
    <t xml:space="preserve"> Grant za branitelje i stradalnike Domovinskog rata</t>
  </si>
  <si>
    <t xml:space="preserve"> o/č Grant za branitelje i stradalnike dom. rata</t>
  </si>
  <si>
    <t>5 (6)</t>
  </si>
  <si>
    <t>ŽUPANIJSKI ARHIV</t>
  </si>
  <si>
    <t>0130</t>
  </si>
  <si>
    <t>45.</t>
  </si>
  <si>
    <t>Ministarstvo pravosuđa i uprave Županije Posavske - Županijski arhiv</t>
  </si>
  <si>
    <t>14 (15)</t>
  </si>
  <si>
    <t xml:space="preserve"> Nabavka opreme - vatrogasna postrojba</t>
  </si>
  <si>
    <t xml:space="preserve">      20010001 Ministarstvo prosvjete, znanosti, kulture i sporta - 
      Podrška programima razvijanja funkcioniranja znanja i vještina djece</t>
  </si>
  <si>
    <t xml:space="preserve">   Naknada za zajedničke profesionalne vatrogasne jedinice iz 
   funkcionalne premije osiguranja motornih vozila</t>
  </si>
  <si>
    <t>43 (44)</t>
  </si>
  <si>
    <t>18 (20)</t>
  </si>
  <si>
    <t xml:space="preserve"> Nabavka mat.i sitn.invent.-obroci za učenike I-V razreda
 osnovnih škola</t>
  </si>
  <si>
    <t>Ministarstvo pravosuđa i uprave ŽP - Županijski arhiv</t>
  </si>
  <si>
    <t xml:space="preserve"> Ukupno za potrošačke jedinice:</t>
  </si>
  <si>
    <t xml:space="preserve"> Kapitalni grant</t>
  </si>
  <si>
    <t xml:space="preserve"> o/č Nabavka materijala i sitnog inventara</t>
  </si>
  <si>
    <t xml:space="preserve"> o/č Nabavka mat.i sitn.invent.-obroci za učenike I-V razreda
 osnovnih škola</t>
  </si>
  <si>
    <t xml:space="preserve"> o/č Naknade troškova zaposlenih</t>
  </si>
  <si>
    <t>DA6001</t>
  </si>
  <si>
    <t>KA6014</t>
  </si>
  <si>
    <t>NA8001</t>
  </si>
  <si>
    <t>Povećanje/smanjenje Proračuna za 2022.g.</t>
  </si>
  <si>
    <t>14=13/9</t>
  </si>
  <si>
    <t>Povećanje/ smanjenje Proračuna za 2022.</t>
  </si>
  <si>
    <t>9=8/4</t>
  </si>
  <si>
    <t>7=6/4</t>
  </si>
  <si>
    <t>6=5/3</t>
  </si>
  <si>
    <t>PRORAČUN za 2022.(NN ŽP 18/21) / Poveć./smanjenje Proračuna za 2022.</t>
  </si>
  <si>
    <t>INDEKS</t>
  </si>
  <si>
    <t>5=4/3</t>
  </si>
  <si>
    <t xml:space="preserve">      23010001 Županijska uprava civilne zaštite - transfer za 
      troškove karantene</t>
  </si>
  <si>
    <t xml:space="preserve">      20010001 Ministarstvo prosvjete, znanosti, kulture i sporta - 
      Poboljšanje kvalitete prakt.nastave u srednjem obrazovanju</t>
  </si>
  <si>
    <t xml:space="preserve">      20030002 OŠ Vladimira Nazora u Odžaku - Fed.ministarstvo 
      raseljenih osoba i izbjeglica</t>
  </si>
  <si>
    <t>46 (48)</t>
  </si>
  <si>
    <t>32 (33)</t>
  </si>
  <si>
    <t>30 (32)</t>
  </si>
  <si>
    <t>Bosna i Hercegovina
Federacija Bosne i 
Hercegovine
Županija Posavska
S K U P Š T I N A</t>
  </si>
  <si>
    <t>Bosnia and Herzegovina
Federation of Bosnia and Herzegovina
Posavina County
THE ASSEMBLY</t>
  </si>
  <si>
    <t>Izdaci za nabavku stalnih sredstava za 2022.g.(po pror.korisn.i izv.financiranja)</t>
  </si>
  <si>
    <t>za 2022. godinu</t>
  </si>
  <si>
    <t>I  OPĆI DIO</t>
  </si>
  <si>
    <t>Članak 1.</t>
  </si>
  <si>
    <t>Proračun Županije Posavske za 2022.godinu sastoji se od:</t>
  </si>
  <si>
    <t>Članak 2.</t>
  </si>
  <si>
    <t xml:space="preserve">     Članak 2. Proračuna mijenja se i glasi:</t>
  </si>
  <si>
    <t>"Prihodi, primici i financiranje" i "Rashodi i izdaci" po grupama utvrđuju se u Računu prihoda i rashoda za 2022.godinu kako slijedi:</t>
  </si>
  <si>
    <t>Izmjene i dopune PRORAČUNA za 2022.g.</t>
  </si>
  <si>
    <t>IZDACI ZA NABAVKU STALNIH SREDSTAVA ŽUPANIJE POSAVSKE ZA 2022.G.(po proračunskim korisnicima i izvorima financiranja)</t>
  </si>
  <si>
    <t>Izmjene i dopune PRORAČUNA za 2022.</t>
  </si>
  <si>
    <t>Članak 4.</t>
  </si>
  <si>
    <t>Članak 4. Proračuna mijenja se i glasi:</t>
  </si>
  <si>
    <t>Članak 5.</t>
  </si>
  <si>
    <t xml:space="preserve">                                                                                                                                      </t>
  </si>
  <si>
    <t xml:space="preserve">Bosna i Hercegovina </t>
  </si>
  <si>
    <t>Federacija Bosne i Hercegovine</t>
  </si>
  <si>
    <t>ŽUPANIJA POSAVSKA</t>
  </si>
  <si>
    <t xml:space="preserve">Skupština </t>
  </si>
  <si>
    <t>Predsjednik</t>
  </si>
  <si>
    <t>Blaž Župarić, v.r.</t>
  </si>
  <si>
    <t>II POSEBAN DIO</t>
  </si>
  <si>
    <t>Članak 3.</t>
  </si>
  <si>
    <t xml:space="preserve">     Članak 3. Proračuna mijenja se i glasi:</t>
  </si>
  <si>
    <t>10 (11)</t>
  </si>
  <si>
    <t>12 (13)</t>
  </si>
  <si>
    <t>28 (30)</t>
  </si>
  <si>
    <t>37 (38)</t>
  </si>
  <si>
    <t xml:space="preserve">      99999999 Riznica ŽP - Minist.reg.razvoja i fondova EU RH</t>
  </si>
  <si>
    <t>53 (57)</t>
  </si>
  <si>
    <t>104 (108)</t>
  </si>
  <si>
    <t xml:space="preserve">      27010001 Kant.tužiteljstvo - IPA 2022</t>
  </si>
  <si>
    <r>
      <t xml:space="preserve">      27010001 Kant.tužiteljstvo - IPA 2021 </t>
    </r>
    <r>
      <rPr>
        <b/>
        <i/>
        <sz val="10"/>
        <color indexed="8"/>
        <rFont val="Arial"/>
        <family val="2"/>
        <charset val="238"/>
      </rPr>
      <t>(razgr.)</t>
    </r>
  </si>
  <si>
    <t>7 (8)</t>
  </si>
  <si>
    <t>220 (222)</t>
  </si>
  <si>
    <t xml:space="preserve"> o/č Naknade troškova zaposlenih - volonteri (14) (10)</t>
  </si>
  <si>
    <t xml:space="preserve"> o/č Ugovorene i druge posebne usluge-volont.rad (14) (10)</t>
  </si>
  <si>
    <t xml:space="preserve"> Kapitalni grant jedinicama lokalne samouprave za razvoj
 poduzetničke infrastrukture</t>
  </si>
  <si>
    <t>FA6005</t>
  </si>
  <si>
    <t>11 (13)</t>
  </si>
  <si>
    <t xml:space="preserve">           o/t 50% za provođenje strukturalnih reformi</t>
  </si>
  <si>
    <t xml:space="preserve">           o/t 50% za financiranje/sufinanciranje infrastrukturnih projekata</t>
  </si>
  <si>
    <t>975 (1011)</t>
  </si>
  <si>
    <t xml:space="preserve">     15010001 Min.gospod.,rada i prost.uređenja-Prostorni plan</t>
  </si>
  <si>
    <t>NN ŽP 9/22</t>
  </si>
  <si>
    <t>Na temelju članka 26. stavak (1.) točka f) Ustava Županije Posavske ("Narodne novine Županije Posavske", broj: 1/96, 3/96, 7/99, 3/00, 5/00, 7/04 i 18/21) i članka 37.(3.) Zakona o proračunima u Federaciji Bosne i Hercegovine ("Službene novine Federacije BiH", broj: 102/13, 9/14, 13/14, 8/15, 91/15, 102/15, 104/16, 5/18, 11/19, 99/19 i 25a/22), Skupština Županije Posavske na XXX. sjednici održanoj dana 20.06.2022. godine usvaja</t>
  </si>
  <si>
    <t>Broj: 01-11-62/22</t>
  </si>
  <si>
    <t>Domaljevac, 20.06.2022. godine</t>
  </si>
  <si>
    <t>PRORAČUN za 2022. (NN ŽP 18/21, 9/22)</t>
  </si>
  <si>
    <t>Izvršenje Proračuna 01.01.-30.06.22.</t>
  </si>
  <si>
    <t>II. Izmjene i dopune PRORAČUNA 
za 2022.g.</t>
  </si>
  <si>
    <t>II. IZMJENE I DOPUNE PRORAČUNA ŽUPANIJE POSAVSKE</t>
  </si>
  <si>
    <t xml:space="preserve">     U Proračunu Županije Posavske za 2022. godinu ("Narodne novine Županije Posavske", broj: 18/21, 9/22) članak 1. mijenja se i glasi: </t>
  </si>
  <si>
    <t>PRORAČUN za 
2022.godinu (NN ŽP 18/21, 9/22)</t>
  </si>
  <si>
    <t>Izvršenje PRORAČUNA za 01.01.-30.06.22.g</t>
  </si>
  <si>
    <t>II. Izmjene i dopune PRORAČUNA za 
2022.g.</t>
  </si>
  <si>
    <r>
      <t>II. IZMJENE I DOPUNE 
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2022. godinu</t>
    </r>
  </si>
  <si>
    <r>
      <t xml:space="preserve">Domaljevac, </t>
    </r>
    <r>
      <rPr>
        <b/>
        <sz val="12"/>
        <color rgb="FFFF0000"/>
        <rFont val="Arial"/>
        <family val="2"/>
        <charset val="238"/>
      </rPr>
      <t>lipanj</t>
    </r>
    <r>
      <rPr>
        <b/>
        <sz val="12"/>
        <rFont val="Arial"/>
        <family val="2"/>
      </rPr>
      <t xml:space="preserve"> 2022. godine</t>
    </r>
  </si>
  <si>
    <t>II. Izmjene i dopune Proračuna ŽP za 2022. g.(po korisn.i ek.klasif.izdataka)</t>
  </si>
  <si>
    <t>Funkc.klasifik.rashoda i izdataka II. Izmjena i dopuna Proračuna ŽP za 2022. g.</t>
  </si>
  <si>
    <t>Izvršenje 
Proračuna 
01.01.-30.06.22.</t>
  </si>
  <si>
    <t>II. Izmjene i dopune 
PRORAČUNA za 2022.g.</t>
  </si>
  <si>
    <t>II. IZMJENE I DOPUNE PRORAČUNA ŽUPANIJE POSAVSKE ZA 2022.GODINU (po korisnicima i ekonomskim klasifikacijama izdataka)</t>
  </si>
  <si>
    <t>FUNKCIJSKA KLASIFIKACIJA RASHODA I IZDATAKA II. IZMJENA I DOPUNA PRORAČUNA ŽUPANIJE POSAVSKE ZA 2022.GODINU</t>
  </si>
  <si>
    <t xml:space="preserve">     II. Izmjene i dopune Proračuna Županije Posavske za 2022. godinu stupaju na snagu narednog dana od dana objave u "Narodnim novinama Županije Posavske".</t>
  </si>
  <si>
    <t>26 (29)</t>
  </si>
  <si>
    <t>13 (14)</t>
  </si>
  <si>
    <t>47 (47)</t>
  </si>
  <si>
    <t>11 (12)</t>
  </si>
  <si>
    <t xml:space="preserve">   Naplate premija osiguranja</t>
  </si>
  <si>
    <t xml:space="preserve">      23010001 Županijska uprava civilne zaštite - utopljavanje zgrade</t>
  </si>
  <si>
    <t xml:space="preserve">      24010001 Kantonalni sud Odžak - utopljavanje zgrade</t>
  </si>
  <si>
    <t>Izvršenje Proračuna 01.01.-30.09.22.</t>
  </si>
  <si>
    <t>Zahtjev za II. Izmjene i dopune 
PRORAČUNA za 2022.g.</t>
  </si>
  <si>
    <t xml:space="preserve"> Ugovorene i dr. posebne usluge-volonteri (14) (8)</t>
  </si>
  <si>
    <t xml:space="preserve"> Naknade troškova zaposlenih - volonteri (14) (8)</t>
  </si>
  <si>
    <t>216 (218)</t>
  </si>
  <si>
    <t>9 (10)</t>
  </si>
  <si>
    <t>40 (45)</t>
  </si>
  <si>
    <t>52 (55)</t>
  </si>
  <si>
    <t>103 (109)</t>
  </si>
  <si>
    <t>30 (30)</t>
  </si>
  <si>
    <t>37 (37)</t>
  </si>
  <si>
    <t>18 (19)</t>
  </si>
  <si>
    <t>30 (31)</t>
  </si>
  <si>
    <t>949 (980)</t>
  </si>
</sst>
</file>

<file path=xl/styles.xml><?xml version="1.0" encoding="utf-8"?>
<styleSheet xmlns="http://schemas.openxmlformats.org/spreadsheetml/2006/main">
  <numFmts count="6">
    <numFmt numFmtId="6" formatCode="#,##0\ &quot;kn&quot;;[Red]\-#,##0\ &quot;kn&quot;"/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5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5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01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3" fontId="0" fillId="0" borderId="0" xfId="0" applyNumberFormat="1"/>
    <xf numFmtId="0" fontId="10" fillId="0" borderId="0" xfId="3" applyFont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4" fontId="2" fillId="0" borderId="0" xfId="3" applyNumberFormat="1"/>
    <xf numFmtId="4" fontId="2" fillId="0" borderId="20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0" applyNumberFormat="1" applyFont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8" fillId="0" borderId="0" xfId="0" applyFont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4" fillId="0" borderId="4" xfId="3" applyFont="1" applyBorder="1"/>
    <xf numFmtId="3" fontId="24" fillId="0" borderId="4" xfId="3" applyNumberFormat="1" applyFont="1" applyBorder="1"/>
    <xf numFmtId="4" fontId="24" fillId="0" borderId="19" xfId="3" applyNumberFormat="1" applyFont="1" applyBorder="1" applyAlignment="1">
      <alignment horizontal="right"/>
    </xf>
    <xf numFmtId="0" fontId="24" fillId="0" borderId="4" xfId="3" applyFont="1" applyFill="1" applyBorder="1"/>
    <xf numFmtId="0" fontId="2" fillId="0" borderId="4" xfId="0" applyFont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4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4" fillId="0" borderId="3" xfId="3" applyFont="1" applyFill="1" applyBorder="1" applyAlignment="1">
      <alignment horizontal="right" vertical="top"/>
    </xf>
    <xf numFmtId="0" fontId="2" fillId="0" borderId="3" xfId="3" applyFont="1" applyBorder="1"/>
    <xf numFmtId="0" fontId="3" fillId="0" borderId="14" xfId="3" applyFont="1" applyBorder="1" applyAlignment="1">
      <alignment horizontal="right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3" fontId="24" fillId="0" borderId="4" xfId="3" applyNumberFormat="1" applyFont="1" applyBorder="1"/>
    <xf numFmtId="0" fontId="2" fillId="0" borderId="14" xfId="3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4" xfId="3" applyFont="1" applyFill="1" applyBorder="1" applyAlignment="1">
      <alignment horizontal="center"/>
    </xf>
    <xf numFmtId="0" fontId="28" fillId="0" borderId="4" xfId="3" applyFont="1" applyBorder="1" applyAlignment="1">
      <alignment horizontal="center" vertical="center"/>
    </xf>
    <xf numFmtId="0" fontId="28" fillId="0" borderId="12" xfId="3" applyFont="1" applyFill="1" applyBorder="1" applyAlignment="1">
      <alignment horizontal="center"/>
    </xf>
    <xf numFmtId="0" fontId="28" fillId="0" borderId="11" xfId="3" applyFont="1" applyBorder="1" applyAlignment="1">
      <alignment horizontal="center"/>
    </xf>
    <xf numFmtId="0" fontId="28" fillId="0" borderId="10" xfId="3" applyFont="1" applyBorder="1" applyAlignment="1">
      <alignment horizontal="center"/>
    </xf>
    <xf numFmtId="0" fontId="28" fillId="0" borderId="12" xfId="3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6" fillId="0" borderId="10" xfId="3" applyFont="1" applyBorder="1" applyAlignment="1">
      <alignment horizontal="center" vertical="top"/>
    </xf>
    <xf numFmtId="0" fontId="29" fillId="0" borderId="10" xfId="3" applyFont="1" applyBorder="1" applyAlignment="1">
      <alignment horizontal="center" vertical="top"/>
    </xf>
    <xf numFmtId="0" fontId="16" fillId="0" borderId="10" xfId="3" applyFont="1" applyFill="1" applyBorder="1" applyAlignment="1">
      <alignment horizontal="center" vertical="top"/>
    </xf>
    <xf numFmtId="0" fontId="29" fillId="0" borderId="10" xfId="3" applyFont="1" applyFill="1" applyBorder="1" applyAlignment="1">
      <alignment horizontal="center" vertical="top"/>
    </xf>
    <xf numFmtId="0" fontId="16" fillId="0" borderId="10" xfId="3" applyFont="1" applyBorder="1" applyAlignment="1">
      <alignment horizontal="center"/>
    </xf>
    <xf numFmtId="0" fontId="16" fillId="0" borderId="33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6" fillId="0" borderId="12" xfId="3" applyFont="1" applyFill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164" fontId="20" fillId="0" borderId="14" xfId="0" applyNumberFormat="1" applyFont="1" applyBorder="1" applyAlignment="1"/>
    <xf numFmtId="4" fontId="27" fillId="0" borderId="19" xfId="3" applyNumberFormat="1" applyFont="1" applyBorder="1" applyAlignment="1">
      <alignment horizontal="center"/>
    </xf>
    <xf numFmtId="4" fontId="27" fillId="0" borderId="19" xfId="3" applyNumberFormat="1" applyFont="1" applyFill="1" applyBorder="1"/>
    <xf numFmtId="4" fontId="20" fillId="0" borderId="19" xfId="3" applyNumberFormat="1" applyFont="1" applyFill="1" applyBorder="1"/>
    <xf numFmtId="4" fontId="20" fillId="0" borderId="19" xfId="3" applyNumberFormat="1" applyFont="1" applyBorder="1"/>
    <xf numFmtId="4" fontId="20" fillId="0" borderId="20" xfId="3" applyNumberFormat="1" applyFont="1" applyBorder="1"/>
    <xf numFmtId="4" fontId="20" fillId="0" borderId="0" xfId="3" applyNumberFormat="1" applyFont="1"/>
    <xf numFmtId="4" fontId="20" fillId="0" borderId="15" xfId="3" applyNumberFormat="1" applyFont="1" applyBorder="1"/>
    <xf numFmtId="4" fontId="27" fillId="0" borderId="19" xfId="3" applyNumberFormat="1" applyFont="1" applyBorder="1"/>
    <xf numFmtId="49" fontId="28" fillId="0" borderId="4" xfId="0" applyNumberFormat="1" applyFont="1" applyBorder="1" applyAlignment="1">
      <alignment horizontal="center"/>
    </xf>
    <xf numFmtId="49" fontId="28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1" fillId="0" borderId="10" xfId="12" applyNumberFormat="1" applyBorder="1"/>
    <xf numFmtId="3" fontId="3" fillId="3" borderId="10" xfId="12" applyNumberFormat="1" applyFont="1" applyFill="1" applyBorder="1"/>
    <xf numFmtId="3" fontId="4" fillId="0" borderId="10" xfId="12" applyNumberFormat="1" applyFont="1" applyBorder="1"/>
    <xf numFmtId="3" fontId="3" fillId="0" borderId="10" xfId="12" applyNumberFormat="1" applyFont="1" applyBorder="1"/>
    <xf numFmtId="3" fontId="4" fillId="0" borderId="10" xfId="12" applyNumberFormat="1" applyFont="1" applyFill="1" applyBorder="1"/>
    <xf numFmtId="3" fontId="1" fillId="0" borderId="10" xfId="12" applyNumberFormat="1" applyFill="1" applyBorder="1"/>
    <xf numFmtId="3" fontId="3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3" fillId="3" borderId="4" xfId="12" applyNumberFormat="1" applyFont="1" applyFill="1" applyBorder="1"/>
    <xf numFmtId="3" fontId="1" fillId="0" borderId="4" xfId="12" applyNumberFormat="1" applyFill="1" applyBorder="1"/>
    <xf numFmtId="3" fontId="3" fillId="0" borderId="4" xfId="12" applyNumberFormat="1" applyFont="1" applyFill="1" applyBorder="1"/>
    <xf numFmtId="3" fontId="4" fillId="0" borderId="4" xfId="12" applyNumberFormat="1" applyFont="1" applyFill="1" applyBorder="1"/>
    <xf numFmtId="164" fontId="17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2" fillId="0" borderId="0" xfId="3" applyFill="1" applyAlignment="1">
      <alignment vertical="center"/>
    </xf>
    <xf numFmtId="4" fontId="9" fillId="6" borderId="40" xfId="3" applyNumberFormat="1" applyFont="1" applyFill="1" applyBorder="1" applyAlignment="1">
      <alignment horizontal="left"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0" fontId="6" fillId="0" borderId="0" xfId="3" applyFont="1"/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7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0" fillId="0" borderId="0" xfId="0" applyFont="1"/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7" fillId="6" borderId="4" xfId="0" applyFont="1" applyFill="1" applyBorder="1" applyAlignment="1"/>
    <xf numFmtId="3" fontId="27" fillId="6" borderId="4" xfId="0" applyNumberFormat="1" applyFont="1" applyFill="1" applyBorder="1" applyAlignment="1"/>
    <xf numFmtId="2" fontId="27" fillId="6" borderId="4" xfId="0" applyNumberFormat="1" applyFont="1" applyFill="1" applyBorder="1" applyAlignment="1"/>
    <xf numFmtId="0" fontId="20" fillId="0" borderId="4" xfId="0" applyFont="1" applyFill="1" applyBorder="1" applyAlignment="1"/>
    <xf numFmtId="0" fontId="33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/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right" vertical="center"/>
    </xf>
    <xf numFmtId="2" fontId="20" fillId="0" borderId="4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/>
    <xf numFmtId="0" fontId="34" fillId="4" borderId="4" xfId="0" applyFont="1" applyFill="1" applyBorder="1" applyAlignment="1">
      <alignment horizontal="center"/>
    </xf>
    <xf numFmtId="3" fontId="27" fillId="4" borderId="4" xfId="0" applyNumberFormat="1" applyFont="1" applyFill="1" applyBorder="1" applyAlignment="1"/>
    <xf numFmtId="2" fontId="27" fillId="4" borderId="4" xfId="0" applyNumberFormat="1" applyFont="1" applyFill="1" applyBorder="1" applyAlignment="1">
      <alignment horizontal="right" vertical="center"/>
    </xf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Border="1" applyAlignment="1"/>
    <xf numFmtId="0" fontId="20" fillId="0" borderId="21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center" vertical="center"/>
    </xf>
    <xf numFmtId="3" fontId="20" fillId="0" borderId="21" xfId="0" applyNumberFormat="1" applyFont="1" applyFill="1" applyBorder="1" applyAlignment="1">
      <alignment horizontal="right" vertical="center"/>
    </xf>
    <xf numFmtId="2" fontId="20" fillId="0" borderId="21" xfId="0" applyNumberFormat="1" applyFont="1" applyFill="1" applyBorder="1" applyAlignment="1">
      <alignment horizontal="right" vertical="center"/>
    </xf>
    <xf numFmtId="0" fontId="27" fillId="4" borderId="21" xfId="0" applyFont="1" applyFill="1" applyBorder="1" applyAlignment="1">
      <alignment horizontal="left" vertical="center"/>
    </xf>
    <xf numFmtId="0" fontId="34" fillId="4" borderId="21" xfId="0" applyFont="1" applyFill="1" applyBorder="1" applyAlignment="1">
      <alignment horizontal="center" vertical="center"/>
    </xf>
    <xf numFmtId="3" fontId="27" fillId="4" borderId="21" xfId="0" applyNumberFormat="1" applyFont="1" applyFill="1" applyBorder="1" applyAlignment="1"/>
    <xf numFmtId="2" fontId="27" fillId="4" borderId="21" xfId="0" applyNumberFormat="1" applyFont="1" applyFill="1" applyBorder="1" applyAlignment="1">
      <alignment horizontal="right" vertical="center"/>
    </xf>
    <xf numFmtId="0" fontId="27" fillId="4" borderId="22" xfId="0" applyFont="1" applyFill="1" applyBorder="1" applyAlignment="1"/>
    <xf numFmtId="0" fontId="34" fillId="4" borderId="22" xfId="0" applyFont="1" applyFill="1" applyBorder="1" applyAlignment="1">
      <alignment horizontal="center"/>
    </xf>
    <xf numFmtId="3" fontId="27" fillId="4" borderId="22" xfId="0" applyNumberFormat="1" applyFont="1" applyFill="1" applyBorder="1" applyAlignment="1"/>
    <xf numFmtId="2" fontId="27" fillId="4" borderId="22" xfId="0" applyNumberFormat="1" applyFont="1" applyFill="1" applyBorder="1" applyAlignment="1">
      <alignment horizontal="right" vertical="center"/>
    </xf>
    <xf numFmtId="3" fontId="27" fillId="4" borderId="21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wrapText="1"/>
    </xf>
    <xf numFmtId="0" fontId="34" fillId="4" borderId="4" xfId="0" applyFont="1" applyFill="1" applyBorder="1" applyAlignment="1">
      <alignment horizontal="center" wrapText="1"/>
    </xf>
    <xf numFmtId="3" fontId="27" fillId="4" borderId="4" xfId="0" applyNumberFormat="1" applyFont="1" applyFill="1" applyBorder="1" applyAlignment="1">
      <alignment vertical="center"/>
    </xf>
    <xf numFmtId="0" fontId="27" fillId="0" borderId="23" xfId="0" applyFont="1" applyFill="1" applyBorder="1" applyAlignment="1"/>
    <xf numFmtId="0" fontId="34" fillId="0" borderId="23" xfId="0" applyFont="1" applyFill="1" applyBorder="1" applyAlignment="1">
      <alignment horizontal="center"/>
    </xf>
    <xf numFmtId="4" fontId="20" fillId="0" borderId="23" xfId="0" applyNumberFormat="1" applyFont="1" applyFill="1" applyBorder="1" applyAlignment="1"/>
    <xf numFmtId="2" fontId="20" fillId="0" borderId="23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35" fillId="0" borderId="0" xfId="0" applyFont="1"/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 wrapText="1"/>
    </xf>
    <xf numFmtId="0" fontId="35" fillId="0" borderId="0" xfId="0" applyFont="1" applyBorder="1" applyAlignment="1"/>
    <xf numFmtId="0" fontId="17" fillId="0" borderId="3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7" fillId="0" borderId="19" xfId="3" applyFont="1" applyBorder="1" applyAlignment="1">
      <alignment horizontal="center"/>
    </xf>
    <xf numFmtId="0" fontId="0" fillId="0" borderId="41" xfId="0" applyBorder="1"/>
    <xf numFmtId="0" fontId="28" fillId="0" borderId="50" xfId="0" applyFont="1" applyBorder="1" applyAlignment="1">
      <alignment horizontal="center"/>
    </xf>
    <xf numFmtId="0" fontId="28" fillId="0" borderId="0" xfId="0" applyFont="1"/>
    <xf numFmtId="0" fontId="28" fillId="0" borderId="42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7" fillId="6" borderId="4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2" fillId="0" borderId="10" xfId="3" applyBorder="1"/>
    <xf numFmtId="0" fontId="2" fillId="0" borderId="33" xfId="3" applyBorder="1"/>
    <xf numFmtId="3" fontId="3" fillId="0" borderId="18" xfId="3" applyNumberFormat="1" applyFont="1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0" fontId="3" fillId="0" borderId="24" xfId="3" applyFont="1" applyFill="1" applyBorder="1" applyAlignment="1">
      <alignment horizontal="center" vertical="center" wrapText="1"/>
    </xf>
    <xf numFmtId="3" fontId="2" fillId="0" borderId="3" xfId="3" applyNumberFormat="1" applyBorder="1"/>
    <xf numFmtId="3" fontId="3" fillId="0" borderId="3" xfId="3" applyNumberFormat="1" applyFont="1" applyBorder="1"/>
    <xf numFmtId="3" fontId="2" fillId="0" borderId="5" xfId="3" applyNumberFormat="1" applyBorder="1"/>
    <xf numFmtId="3" fontId="2" fillId="0" borderId="8" xfId="3" applyNumberFormat="1" applyBorder="1"/>
    <xf numFmtId="0" fontId="8" fillId="0" borderId="24" xfId="3" applyFont="1" applyFill="1" applyBorder="1" applyAlignment="1">
      <alignment horizontal="center" vertical="center" wrapText="1"/>
    </xf>
    <xf numFmtId="3" fontId="3" fillId="7" borderId="4" xfId="12" applyNumberFormat="1" applyFont="1" applyFill="1" applyBorder="1"/>
    <xf numFmtId="3" fontId="1" fillId="7" borderId="4" xfId="12" applyNumberFormat="1" applyFill="1" applyBorder="1"/>
    <xf numFmtId="0" fontId="3" fillId="0" borderId="12" xfId="3" applyFont="1" applyBorder="1" applyAlignment="1">
      <alignment horizontal="center"/>
    </xf>
    <xf numFmtId="3" fontId="3" fillId="0" borderId="4" xfId="12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4" xfId="3" applyFont="1" applyFill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3" fontId="3" fillId="0" borderId="4" xfId="12" applyNumberFormat="1" applyFont="1" applyBorder="1" applyAlignment="1">
      <alignment horizontal="right"/>
    </xf>
    <xf numFmtId="0" fontId="1" fillId="0" borderId="4" xfId="12" applyBorder="1"/>
    <xf numFmtId="3" fontId="4" fillId="0" borderId="4" xfId="12" applyNumberFormat="1" applyFont="1" applyFill="1" applyBorder="1" applyAlignment="1">
      <alignment vertical="center"/>
    </xf>
    <xf numFmtId="3" fontId="3" fillId="0" borderId="5" xfId="3" applyNumberFormat="1" applyFont="1" applyBorder="1"/>
    <xf numFmtId="3" fontId="2" fillId="0" borderId="18" xfId="3" applyNumberFormat="1" applyBorder="1"/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" fillId="0" borderId="14" xfId="3" applyFont="1" applyBorder="1" applyAlignment="1">
      <alignment horizontal="right"/>
    </xf>
    <xf numFmtId="0" fontId="38" fillId="0" borderId="0" xfId="3" applyFont="1" applyFill="1" applyAlignment="1">
      <alignment vertical="center"/>
    </xf>
    <xf numFmtId="3" fontId="2" fillId="0" borderId="0" xfId="3" applyNumberFormat="1" applyFill="1"/>
    <xf numFmtId="0" fontId="28" fillId="0" borderId="56" xfId="0" applyFont="1" applyBorder="1" applyAlignment="1">
      <alignment horizontal="center"/>
    </xf>
    <xf numFmtId="0" fontId="0" fillId="0" borderId="0" xfId="0"/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3" fontId="8" fillId="0" borderId="4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6" xfId="3" applyBorder="1"/>
    <xf numFmtId="0" fontId="2" fillId="0" borderId="16" xfId="3" applyBorder="1"/>
    <xf numFmtId="0" fontId="3" fillId="0" borderId="11" xfId="3" applyFont="1" applyBorder="1"/>
    <xf numFmtId="49" fontId="26" fillId="0" borderId="4" xfId="3" applyNumberFormat="1" applyFont="1" applyBorder="1" applyAlignment="1">
      <alignment horizontal="center"/>
    </xf>
    <xf numFmtId="49" fontId="26" fillId="0" borderId="4" xfId="3" applyNumberFormat="1" applyFont="1" applyFill="1" applyBorder="1" applyAlignment="1">
      <alignment horizontal="center"/>
    </xf>
    <xf numFmtId="49" fontId="26" fillId="0" borderId="4" xfId="3" applyNumberFormat="1" applyFont="1" applyBorder="1"/>
    <xf numFmtId="49" fontId="28" fillId="0" borderId="8" xfId="3" applyNumberFormat="1" applyFont="1" applyBorder="1" applyAlignment="1">
      <alignment vertical="center"/>
    </xf>
    <xf numFmtId="49" fontId="28" fillId="0" borderId="12" xfId="3" applyNumberFormat="1" applyFont="1" applyBorder="1"/>
    <xf numFmtId="49" fontId="28" fillId="0" borderId="4" xfId="3" applyNumberFormat="1" applyFont="1" applyBorder="1"/>
    <xf numFmtId="49" fontId="28" fillId="0" borderId="4" xfId="3" applyNumberFormat="1" applyFont="1" applyBorder="1" applyAlignment="1">
      <alignment vertical="center" wrapText="1"/>
    </xf>
    <xf numFmtId="49" fontId="16" fillId="0" borderId="10" xfId="0" applyNumberFormat="1" applyFont="1" applyFill="1" applyBorder="1" applyAlignment="1">
      <alignment horizontal="center"/>
    </xf>
    <xf numFmtId="0" fontId="28" fillId="0" borderId="43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3" fillId="0" borderId="8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2" fillId="0" borderId="8" xfId="3" applyFont="1" applyBorder="1"/>
    <xf numFmtId="0" fontId="1" fillId="0" borderId="8" xfId="3" applyFont="1" applyBorder="1"/>
    <xf numFmtId="0" fontId="4" fillId="0" borderId="8" xfId="3" applyFont="1" applyBorder="1"/>
    <xf numFmtId="0" fontId="2" fillId="0" borderId="8" xfId="3" applyFill="1" applyBorder="1"/>
    <xf numFmtId="0" fontId="4" fillId="0" borderId="8" xfId="3" applyFont="1" applyFill="1" applyBorder="1"/>
    <xf numFmtId="0" fontId="4" fillId="0" borderId="8" xfId="3" applyFont="1" applyFill="1" applyBorder="1" applyAlignment="1">
      <alignment vertical="center" wrapText="1"/>
    </xf>
    <xf numFmtId="0" fontId="2" fillId="0" borderId="8" xfId="3" applyFont="1" applyFill="1" applyBorder="1"/>
    <xf numFmtId="0" fontId="10" fillId="0" borderId="8" xfId="3" applyFont="1" applyBorder="1"/>
    <xf numFmtId="0" fontId="0" fillId="0" borderId="25" xfId="0" applyBorder="1" applyAlignment="1">
      <alignment wrapText="1"/>
    </xf>
    <xf numFmtId="3" fontId="1" fillId="0" borderId="3" xfId="12" applyNumberFormat="1" applyFill="1" applyBorder="1" applyProtection="1"/>
    <xf numFmtId="0" fontId="1" fillId="0" borderId="8" xfId="3" applyFont="1" applyFill="1" applyBorder="1"/>
    <xf numFmtId="3" fontId="3" fillId="0" borderId="4" xfId="12" applyNumberFormat="1" applyFont="1" applyFill="1" applyBorder="1" applyProtection="1"/>
    <xf numFmtId="3" fontId="4" fillId="0" borderId="4" xfId="12" applyNumberFormat="1" applyFont="1" applyFill="1" applyBorder="1" applyProtection="1"/>
    <xf numFmtId="3" fontId="1" fillId="0" borderId="4" xfId="12" applyNumberFormat="1" applyFill="1" applyBorder="1" applyProtection="1"/>
    <xf numFmtId="3" fontId="4" fillId="0" borderId="4" xfId="12" applyNumberFormat="1" applyFont="1" applyBorder="1" applyProtection="1"/>
    <xf numFmtId="3" fontId="3" fillId="3" borderId="4" xfId="12" applyNumberFormat="1" applyFont="1" applyFill="1" applyBorder="1" applyProtection="1"/>
    <xf numFmtId="3" fontId="1" fillId="0" borderId="4" xfId="12" applyNumberFormat="1" applyFont="1" applyFill="1" applyBorder="1" applyProtection="1"/>
    <xf numFmtId="3" fontId="3" fillId="0" borderId="4" xfId="12" applyNumberFormat="1" applyFont="1" applyBorder="1" applyProtection="1"/>
    <xf numFmtId="3" fontId="3" fillId="0" borderId="4" xfId="12" applyNumberFormat="1" applyFont="1" applyFill="1" applyBorder="1" applyAlignment="1" applyProtection="1">
      <alignment horizontal="right"/>
    </xf>
    <xf numFmtId="0" fontId="1" fillId="0" borderId="0" xfId="12"/>
    <xf numFmtId="0" fontId="1" fillId="0" borderId="3" xfId="12" applyBorder="1"/>
    <xf numFmtId="0" fontId="28" fillId="0" borderId="4" xfId="12" applyFont="1" applyBorder="1" applyAlignment="1">
      <alignment horizontal="center"/>
    </xf>
    <xf numFmtId="0" fontId="16" fillId="0" borderId="4" xfId="12" applyFont="1" applyFill="1" applyBorder="1" applyAlignment="1">
      <alignment horizontal="center"/>
    </xf>
    <xf numFmtId="3" fontId="6" fillId="6" borderId="18" xfId="12" applyNumberFormat="1" applyFont="1" applyFill="1" applyBorder="1" applyProtection="1"/>
    <xf numFmtId="0" fontId="0" fillId="0" borderId="8" xfId="0" applyFill="1" applyBorder="1"/>
    <xf numFmtId="0" fontId="2" fillId="0" borderId="25" xfId="0" applyFont="1" applyBorder="1" applyAlignment="1">
      <alignment wrapText="1"/>
    </xf>
    <xf numFmtId="0" fontId="1" fillId="0" borderId="4" xfId="12" applyFont="1" applyBorder="1"/>
    <xf numFmtId="0" fontId="1" fillId="0" borderId="8" xfId="3" applyFont="1" applyBorder="1" applyAlignment="1">
      <alignment wrapText="1"/>
    </xf>
    <xf numFmtId="0" fontId="2" fillId="0" borderId="25" xfId="3" applyFill="1" applyBorder="1"/>
    <xf numFmtId="0" fontId="2" fillId="0" borderId="26" xfId="3" applyFont="1" applyBorder="1"/>
    <xf numFmtId="0" fontId="0" fillId="0" borderId="8" xfId="0" applyBorder="1"/>
    <xf numFmtId="0" fontId="24" fillId="0" borderId="3" xfId="12" applyFont="1" applyBorder="1" applyAlignment="1">
      <alignment horizontal="right" vertical="top"/>
    </xf>
    <xf numFmtId="0" fontId="29" fillId="0" borderId="10" xfId="12" applyFont="1" applyFill="1" applyBorder="1" applyAlignment="1">
      <alignment horizontal="center" vertical="top"/>
    </xf>
    <xf numFmtId="0" fontId="24" fillId="0" borderId="0" xfId="0" applyFont="1"/>
    <xf numFmtId="0" fontId="24" fillId="0" borderId="0" xfId="0" applyFont="1" applyFill="1"/>
    <xf numFmtId="3" fontId="24" fillId="0" borderId="0" xfId="0" applyNumberFormat="1" applyFont="1" applyFill="1"/>
    <xf numFmtId="3" fontId="31" fillId="0" borderId="0" xfId="0" applyNumberFormat="1" applyFont="1"/>
    <xf numFmtId="3" fontId="41" fillId="0" borderId="0" xfId="0" applyNumberFormat="1" applyFont="1"/>
    <xf numFmtId="4" fontId="20" fillId="0" borderId="0" xfId="3" applyNumberFormat="1" applyFont="1" applyFill="1"/>
    <xf numFmtId="0" fontId="8" fillId="0" borderId="0" xfId="3" applyFont="1"/>
    <xf numFmtId="0" fontId="8" fillId="0" borderId="7" xfId="3" applyFont="1" applyBorder="1"/>
    <xf numFmtId="3" fontId="1" fillId="0" borderId="0" xfId="3" applyNumberFormat="1" applyFont="1"/>
    <xf numFmtId="0" fontId="28" fillId="0" borderId="4" xfId="3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8" fillId="0" borderId="0" xfId="0" applyNumberFormat="1" applyFont="1"/>
    <xf numFmtId="0" fontId="8" fillId="0" borderId="8" xfId="12" applyFont="1" applyFill="1" applyBorder="1" applyAlignment="1">
      <alignment horizontal="right"/>
    </xf>
    <xf numFmtId="0" fontId="6" fillId="0" borderId="0" xfId="12" applyFont="1" applyAlignment="1">
      <alignment horizontal="left"/>
    </xf>
    <xf numFmtId="3" fontId="1" fillId="0" borderId="0" xfId="12" applyNumberFormat="1"/>
    <xf numFmtId="4" fontId="1" fillId="0" borderId="0" xfId="12" applyNumberFormat="1"/>
    <xf numFmtId="0" fontId="1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4" fontId="7" fillId="0" borderId="0" xfId="12" applyNumberFormat="1" applyFont="1" applyAlignment="1">
      <alignment horizontal="left"/>
    </xf>
    <xf numFmtId="0" fontId="0" fillId="0" borderId="0" xfId="0"/>
    <xf numFmtId="0" fontId="0" fillId="0" borderId="0" xfId="0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3" xfId="12" applyNumberFormat="1" applyFont="1" applyBorder="1"/>
    <xf numFmtId="3" fontId="3" fillId="0" borderId="3" xfId="12" applyNumberFormat="1" applyFont="1" applyFill="1" applyBorder="1" applyAlignment="1">
      <alignment horizontal="right"/>
    </xf>
    <xf numFmtId="3" fontId="3" fillId="0" borderId="10" xfId="12" applyNumberFormat="1" applyFont="1" applyFill="1" applyBorder="1" applyAlignment="1">
      <alignment horizontal="right"/>
    </xf>
    <xf numFmtId="3" fontId="1" fillId="0" borderId="10" xfId="12" applyNumberFormat="1" applyFont="1" applyFill="1" applyBorder="1"/>
    <xf numFmtId="3" fontId="3" fillId="7" borderId="3" xfId="12" applyNumberFormat="1" applyFont="1" applyFill="1" applyBorder="1"/>
    <xf numFmtId="3" fontId="1" fillId="7" borderId="3" xfId="12" applyNumberFormat="1" applyFill="1" applyBorder="1"/>
    <xf numFmtId="3" fontId="3" fillId="0" borderId="3" xfId="12" applyNumberFormat="1" applyFont="1" applyFill="1" applyBorder="1" applyProtection="1"/>
    <xf numFmtId="3" fontId="4" fillId="0" borderId="3" xfId="12" applyNumberFormat="1" applyFont="1" applyFill="1" applyBorder="1" applyProtection="1"/>
    <xf numFmtId="3" fontId="4" fillId="0" borderId="3" xfId="12" applyNumberFormat="1" applyFont="1" applyBorder="1" applyProtection="1"/>
    <xf numFmtId="3" fontId="3" fillId="3" borderId="3" xfId="12" applyNumberFormat="1" applyFont="1" applyFill="1" applyBorder="1" applyProtection="1"/>
    <xf numFmtId="3" fontId="1" fillId="0" borderId="3" xfId="12" applyNumberFormat="1" applyFont="1" applyFill="1" applyBorder="1" applyProtection="1"/>
    <xf numFmtId="3" fontId="3" fillId="0" borderId="3" xfId="12" applyNumberFormat="1" applyFont="1" applyBorder="1" applyProtection="1"/>
    <xf numFmtId="3" fontId="3" fillId="0" borderId="3" xfId="12" applyNumberFormat="1" applyFont="1" applyFill="1" applyBorder="1" applyAlignment="1" applyProtection="1">
      <alignment horizontal="right"/>
    </xf>
    <xf numFmtId="3" fontId="3" fillId="0" borderId="4" xfId="12" applyNumberFormat="1" applyFont="1" applyBorder="1" applyAlignment="1" applyProtection="1">
      <alignment horizontal="right"/>
    </xf>
    <xf numFmtId="3" fontId="3" fillId="0" borderId="3" xfId="12" applyNumberFormat="1" applyFont="1" applyBorder="1" applyAlignment="1">
      <alignment horizontal="right"/>
    </xf>
    <xf numFmtId="0" fontId="3" fillId="0" borderId="4" xfId="12" applyFont="1" applyFill="1" applyBorder="1" applyAlignment="1">
      <alignment horizontal="right"/>
    </xf>
    <xf numFmtId="3" fontId="4" fillId="0" borderId="3" xfId="12" applyNumberFormat="1" applyFont="1" applyFill="1" applyBorder="1" applyAlignment="1">
      <alignment vertical="center"/>
    </xf>
    <xf numFmtId="3" fontId="3" fillId="0" borderId="30" xfId="12" applyNumberFormat="1" applyFont="1" applyFill="1" applyBorder="1"/>
    <xf numFmtId="0" fontId="17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Fill="1" applyBorder="1"/>
    <xf numFmtId="3" fontId="4" fillId="0" borderId="18" xfId="12" applyNumberFormat="1" applyFont="1" applyFill="1" applyBorder="1"/>
    <xf numFmtId="3" fontId="4" fillId="0" borderId="18" xfId="12" applyNumberFormat="1" applyFont="1" applyFill="1" applyBorder="1" applyAlignment="1">
      <alignment vertical="center"/>
    </xf>
    <xf numFmtId="3" fontId="3" fillId="0" borderId="18" xfId="12" applyNumberFormat="1" applyFont="1" applyBorder="1"/>
    <xf numFmtId="0" fontId="2" fillId="0" borderId="18" xfId="3" applyBorder="1"/>
    <xf numFmtId="0" fontId="2" fillId="0" borderId="29" xfId="3" applyBorder="1"/>
    <xf numFmtId="0" fontId="22" fillId="0" borderId="26" xfId="12" applyFont="1" applyFill="1" applyBorder="1" applyAlignment="1">
      <alignment horizontal="center" vertical="center" wrapText="1"/>
    </xf>
    <xf numFmtId="0" fontId="0" fillId="0" borderId="0" xfId="0"/>
    <xf numFmtId="6" fontId="2" fillId="0" borderId="0" xfId="3" applyNumberFormat="1"/>
    <xf numFmtId="0" fontId="28" fillId="0" borderId="4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3" fontId="1" fillId="0" borderId="18" xfId="12" applyNumberFormat="1" applyBorder="1"/>
    <xf numFmtId="3" fontId="8" fillId="0" borderId="18" xfId="3" applyNumberFormat="1" applyFont="1" applyBorder="1"/>
    <xf numFmtId="4" fontId="1" fillId="0" borderId="0" xfId="13" applyNumberFormat="1" applyFont="1" applyFill="1"/>
    <xf numFmtId="4" fontId="0" fillId="0" borderId="0" xfId="0" applyNumberFormat="1" applyFill="1"/>
    <xf numFmtId="43" fontId="0" fillId="0" borderId="0" xfId="0" applyNumberFormat="1" applyFill="1"/>
    <xf numFmtId="4" fontId="6" fillId="0" borderId="0" xfId="0" applyNumberFormat="1" applyFont="1" applyFill="1"/>
    <xf numFmtId="4" fontId="8" fillId="0" borderId="0" xfId="14" applyNumberFormat="1" applyFont="1" applyFill="1"/>
    <xf numFmtId="4" fontId="1" fillId="0" borderId="0" xfId="0" applyNumberFormat="1" applyFont="1" applyFill="1"/>
    <xf numFmtId="4" fontId="25" fillId="0" borderId="0" xfId="2" applyNumberFormat="1" applyFont="1" applyFill="1"/>
    <xf numFmtId="4" fontId="24" fillId="0" borderId="0" xfId="0" applyNumberFormat="1" applyFont="1" applyFill="1"/>
    <xf numFmtId="4" fontId="40" fillId="0" borderId="0" xfId="2" applyNumberFormat="1" applyFont="1" applyFill="1"/>
    <xf numFmtId="0" fontId="0" fillId="0" borderId="0" xfId="0"/>
    <xf numFmtId="0" fontId="28" fillId="0" borderId="47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57" xfId="0" applyFont="1" applyBorder="1" applyAlignment="1">
      <alignment horizontal="left"/>
    </xf>
    <xf numFmtId="0" fontId="28" fillId="0" borderId="58" xfId="0" applyFont="1" applyBorder="1" applyAlignment="1">
      <alignment horizontal="left"/>
    </xf>
    <xf numFmtId="0" fontId="28" fillId="0" borderId="59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0" fillId="0" borderId="0" xfId="0"/>
    <xf numFmtId="0" fontId="1" fillId="0" borderId="8" xfId="3" applyFont="1" applyFill="1" applyBorder="1" applyAlignment="1">
      <alignment wrapText="1"/>
    </xf>
    <xf numFmtId="0" fontId="0" fillId="0" borderId="25" xfId="0" applyFill="1" applyBorder="1"/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8" xfId="0" applyFont="1" applyFill="1" applyBorder="1"/>
    <xf numFmtId="0" fontId="2" fillId="0" borderId="3" xfId="3" applyFill="1" applyBorder="1"/>
    <xf numFmtId="0" fontId="6" fillId="0" borderId="0" xfId="3" applyFont="1" applyFill="1"/>
    <xf numFmtId="3" fontId="3" fillId="6" borderId="18" xfId="3" applyNumberFormat="1" applyFont="1" applyFill="1" applyBorder="1" applyAlignment="1">
      <alignment horizontal="right"/>
    </xf>
    <xf numFmtId="3" fontId="3" fillId="0" borderId="18" xfId="3" applyNumberFormat="1" applyFont="1" applyBorder="1" applyAlignment="1">
      <alignment horizontal="right"/>
    </xf>
    <xf numFmtId="3" fontId="4" fillId="0" borderId="18" xfId="3" applyNumberFormat="1" applyFont="1" applyBorder="1" applyAlignment="1">
      <alignment horizontal="right"/>
    </xf>
    <xf numFmtId="3" fontId="3" fillId="0" borderId="18" xfId="3" applyNumberFormat="1" applyFont="1" applyFill="1" applyBorder="1" applyAlignment="1">
      <alignment horizontal="right"/>
    </xf>
    <xf numFmtId="3" fontId="3" fillId="6" borderId="18" xfId="3" applyNumberFormat="1" applyFont="1" applyFill="1" applyBorder="1"/>
    <xf numFmtId="3" fontId="4" fillId="0" borderId="18" xfId="3" applyNumberFormat="1" applyFont="1" applyBorder="1"/>
    <xf numFmtId="3" fontId="24" fillId="0" borderId="18" xfId="3" applyNumberFormat="1" applyFont="1" applyBorder="1"/>
    <xf numFmtId="3" fontId="2" fillId="0" borderId="18" xfId="3" applyNumberFormat="1" applyFill="1" applyBorder="1"/>
    <xf numFmtId="0" fontId="42" fillId="0" borderId="10" xfId="3" applyFont="1" applyBorder="1" applyAlignment="1">
      <alignment horizontal="center" vertical="top"/>
    </xf>
    <xf numFmtId="0" fontId="24" fillId="0" borderId="3" xfId="3" applyFont="1" applyBorder="1" applyAlignment="1">
      <alignment horizontal="right" vertical="center"/>
    </xf>
    <xf numFmtId="0" fontId="28" fillId="0" borderId="43" xfId="0" applyFont="1" applyBorder="1" applyAlignment="1">
      <alignment horizontal="left"/>
    </xf>
    <xf numFmtId="49" fontId="28" fillId="0" borderId="4" xfId="3" applyNumberFormat="1" applyFont="1" applyBorder="1" applyAlignment="1">
      <alignment vertical="center"/>
    </xf>
    <xf numFmtId="0" fontId="16" fillId="0" borderId="4" xfId="3" applyFont="1" applyFill="1" applyBorder="1" applyAlignment="1">
      <alignment horizontal="center" vertical="center"/>
    </xf>
    <xf numFmtId="0" fontId="42" fillId="0" borderId="10" xfId="3" applyFont="1" applyFill="1" applyBorder="1" applyAlignment="1">
      <alignment horizontal="center" vertical="center"/>
    </xf>
    <xf numFmtId="3" fontId="24" fillId="0" borderId="4" xfId="3" applyNumberFormat="1" applyFont="1" applyBorder="1" applyAlignment="1">
      <alignment vertical="center"/>
    </xf>
    <xf numFmtId="3" fontId="24" fillId="0" borderId="18" xfId="3" applyNumberFormat="1" applyFont="1" applyBorder="1" applyAlignment="1">
      <alignment vertical="center"/>
    </xf>
    <xf numFmtId="4" fontId="24" fillId="0" borderId="19" xfId="3" applyNumberFormat="1" applyFont="1" applyBorder="1" applyAlignment="1">
      <alignment horizontal="right" vertical="center"/>
    </xf>
    <xf numFmtId="49" fontId="24" fillId="0" borderId="3" xfId="0" applyNumberFormat="1" applyFont="1" applyBorder="1" applyAlignment="1">
      <alignment horizontal="right" vertical="center"/>
    </xf>
    <xf numFmtId="49" fontId="29" fillId="0" borderId="10" xfId="0" applyNumberFormat="1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/>
    </xf>
    <xf numFmtId="0" fontId="29" fillId="0" borderId="16" xfId="3" applyFont="1" applyFill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49" fontId="42" fillId="0" borderId="10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17" fillId="0" borderId="10" xfId="3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16" fillId="0" borderId="10" xfId="3" applyNumberFormat="1" applyFont="1" applyBorder="1" applyAlignment="1">
      <alignment horizontal="center" vertical="center"/>
    </xf>
    <xf numFmtId="49" fontId="3" fillId="6" borderId="3" xfId="3" applyNumberFormat="1" applyFont="1" applyFill="1" applyBorder="1" applyAlignment="1">
      <alignment horizontal="center" vertical="center"/>
    </xf>
    <xf numFmtId="49" fontId="17" fillId="6" borderId="10" xfId="3" applyNumberFormat="1" applyFon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 vertical="center"/>
    </xf>
    <xf numFmtId="0" fontId="2" fillId="0" borderId="3" xfId="3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6" borderId="4" xfId="3" applyFont="1" applyFill="1" applyBorder="1" applyAlignment="1">
      <alignment vertical="center"/>
    </xf>
    <xf numFmtId="3" fontId="3" fillId="6" borderId="4" xfId="3" applyNumberFormat="1" applyFont="1" applyFill="1" applyBorder="1" applyAlignment="1">
      <alignment vertical="center"/>
    </xf>
    <xf numFmtId="3" fontId="3" fillId="6" borderId="18" xfId="3" applyNumberFormat="1" applyFont="1" applyFill="1" applyBorder="1" applyAlignment="1">
      <alignment vertical="center"/>
    </xf>
    <xf numFmtId="4" fontId="8" fillId="6" borderId="19" xfId="3" applyNumberFormat="1" applyFont="1" applyFill="1" applyBorder="1" applyAlignment="1">
      <alignment horizontal="right" vertical="center"/>
    </xf>
    <xf numFmtId="3" fontId="4" fillId="0" borderId="4" xfId="3" applyNumberFormat="1" applyFont="1" applyBorder="1" applyAlignment="1">
      <alignment vertical="center"/>
    </xf>
    <xf numFmtId="3" fontId="4" fillId="0" borderId="18" xfId="3" applyNumberFormat="1" applyFont="1" applyBorder="1" applyAlignment="1">
      <alignment vertical="center"/>
    </xf>
    <xf numFmtId="4" fontId="4" fillId="0" borderId="19" xfId="3" applyNumberFormat="1" applyFont="1" applyBorder="1" applyAlignment="1">
      <alignment horizontal="right" vertical="center"/>
    </xf>
    <xf numFmtId="0" fontId="4" fillId="0" borderId="4" xfId="3" applyFont="1" applyFill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4" fillId="0" borderId="4" xfId="3" applyFont="1" applyBorder="1" applyAlignment="1">
      <alignment vertical="center" wrapText="1"/>
    </xf>
    <xf numFmtId="0" fontId="2" fillId="0" borderId="4" xfId="3" applyFill="1" applyBorder="1" applyAlignment="1">
      <alignment vertical="center"/>
    </xf>
    <xf numFmtId="3" fontId="4" fillId="0" borderId="4" xfId="3" applyNumberFormat="1" applyFont="1" applyFill="1" applyBorder="1" applyAlignment="1">
      <alignment vertical="center"/>
    </xf>
    <xf numFmtId="3" fontId="4" fillId="0" borderId="18" xfId="3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4" fillId="0" borderId="4" xfId="3" applyFont="1" applyFill="1" applyBorder="1" applyAlignment="1">
      <alignment vertical="center"/>
    </xf>
    <xf numFmtId="3" fontId="24" fillId="0" borderId="4" xfId="3" applyNumberFormat="1" applyFont="1" applyFill="1" applyBorder="1" applyAlignment="1">
      <alignment vertical="center"/>
    </xf>
    <xf numFmtId="3" fontId="24" fillId="0" borderId="18" xfId="3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 applyProtection="1">
      <alignment vertical="center"/>
      <protection locked="0"/>
    </xf>
    <xf numFmtId="3" fontId="4" fillId="0" borderId="18" xfId="3" applyNumberFormat="1" applyFont="1" applyFill="1" applyBorder="1" applyAlignment="1" applyProtection="1">
      <alignment vertical="center"/>
      <protection locked="0"/>
    </xf>
    <xf numFmtId="3" fontId="24" fillId="0" borderId="4" xfId="3" applyNumberFormat="1" applyFont="1" applyFill="1" applyBorder="1" applyAlignment="1" applyProtection="1">
      <alignment vertical="center"/>
      <protection locked="0"/>
    </xf>
    <xf numFmtId="3" fontId="24" fillId="0" borderId="18" xfId="3" applyNumberFormat="1" applyFont="1" applyFill="1" applyBorder="1" applyAlignment="1" applyProtection="1">
      <alignment vertical="center"/>
      <protection locked="0"/>
    </xf>
    <xf numFmtId="0" fontId="24" fillId="0" borderId="4" xfId="12" applyFont="1" applyFill="1" applyBorder="1" applyAlignment="1">
      <alignment vertical="center"/>
    </xf>
    <xf numFmtId="3" fontId="24" fillId="0" borderId="4" xfId="12" applyNumberFormat="1" applyFont="1" applyBorder="1" applyAlignment="1">
      <alignment vertical="center"/>
    </xf>
    <xf numFmtId="3" fontId="24" fillId="0" borderId="18" xfId="12" applyNumberFormat="1" applyFont="1" applyBorder="1" applyAlignment="1">
      <alignment vertical="center"/>
    </xf>
    <xf numFmtId="4" fontId="24" fillId="0" borderId="19" xfId="12" applyNumberFormat="1" applyFont="1" applyBorder="1" applyAlignment="1">
      <alignment horizontal="right" vertical="center"/>
    </xf>
    <xf numFmtId="3" fontId="2" fillId="0" borderId="4" xfId="3" applyNumberFormat="1" applyFill="1" applyBorder="1" applyAlignment="1">
      <alignment vertical="center"/>
    </xf>
    <xf numFmtId="3" fontId="2" fillId="0" borderId="18" xfId="3" applyNumberFormat="1" applyFill="1" applyBorder="1" applyAlignment="1">
      <alignment vertical="center"/>
    </xf>
    <xf numFmtId="3" fontId="2" fillId="0" borderId="4" xfId="3" applyNumberFormat="1" applyFont="1" applyFill="1" applyBorder="1" applyAlignment="1">
      <alignment vertical="center"/>
    </xf>
    <xf numFmtId="3" fontId="2" fillId="0" borderId="18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" fillId="0" borderId="4" xfId="3" applyFont="1" applyFill="1" applyBorder="1" applyAlignment="1">
      <alignment vertical="center" wrapText="1"/>
    </xf>
    <xf numFmtId="0" fontId="24" fillId="0" borderId="4" xfId="3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3" fontId="2" fillId="0" borderId="4" xfId="3" applyNumberFormat="1" applyFont="1" applyBorder="1" applyAlignment="1">
      <alignment vertical="center"/>
    </xf>
    <xf numFmtId="3" fontId="2" fillId="0" borderId="18" xfId="3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3" fillId="0" borderId="4" xfId="3" applyFont="1" applyBorder="1" applyAlignment="1">
      <alignment vertical="center"/>
    </xf>
    <xf numFmtId="3" fontId="3" fillId="0" borderId="4" xfId="3" applyNumberFormat="1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3" fontId="2" fillId="0" borderId="4" xfId="3" applyNumberFormat="1" applyBorder="1" applyAlignment="1">
      <alignment vertical="center"/>
    </xf>
    <xf numFmtId="3" fontId="2" fillId="0" borderId="18" xfId="3" applyNumberForma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6" fillId="0" borderId="10" xfId="3" applyFont="1" applyBorder="1" applyAlignment="1" applyProtection="1">
      <alignment horizontal="center" vertical="center"/>
      <protection locked="0"/>
    </xf>
    <xf numFmtId="0" fontId="17" fillId="6" borderId="10" xfId="3" applyFont="1" applyFill="1" applyBorder="1" applyAlignment="1" applyProtection="1">
      <alignment horizontal="center" vertical="center"/>
      <protection locked="0"/>
    </xf>
    <xf numFmtId="0" fontId="29" fillId="0" borderId="10" xfId="3" applyFont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vertical="center"/>
    </xf>
    <xf numFmtId="3" fontId="21" fillId="6" borderId="4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3" fontId="8" fillId="6" borderId="8" xfId="0" applyNumberFormat="1" applyFont="1" applyFill="1" applyBorder="1" applyAlignment="1">
      <alignment vertical="center"/>
    </xf>
    <xf numFmtId="3" fontId="21" fillId="6" borderId="8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3" fillId="0" borderId="4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31" fillId="0" borderId="8" xfId="0" applyNumberFormat="1" applyFont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31" fillId="0" borderId="8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21" fillId="0" borderId="8" xfId="0" applyNumberFormat="1" applyFont="1" applyFill="1" applyBorder="1" applyAlignment="1">
      <alignment vertical="center"/>
    </xf>
    <xf numFmtId="0" fontId="44" fillId="0" borderId="4" xfId="0" applyFont="1" applyFill="1" applyBorder="1" applyAlignment="1">
      <alignment vertical="center" wrapText="1"/>
    </xf>
    <xf numFmtId="0" fontId="44" fillId="0" borderId="4" xfId="0" applyFont="1" applyBorder="1" applyAlignment="1">
      <alignment vertical="center"/>
    </xf>
    <xf numFmtId="0" fontId="43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39" fillId="0" borderId="8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right" vertical="center"/>
    </xf>
    <xf numFmtId="0" fontId="43" fillId="0" borderId="12" xfId="0" applyFont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31" fillId="0" borderId="26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6" borderId="4" xfId="1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46" fillId="0" borderId="4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vertical="center"/>
    </xf>
    <xf numFmtId="0" fontId="45" fillId="0" borderId="4" xfId="0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38" fillId="0" borderId="8" xfId="0" applyNumberFormat="1" applyFont="1" applyBorder="1" applyAlignment="1">
      <alignment vertical="center"/>
    </xf>
    <xf numFmtId="3" fontId="41" fillId="0" borderId="8" xfId="0" applyNumberFormat="1" applyFont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45" fillId="0" borderId="4" xfId="11" applyFont="1" applyFill="1" applyBorder="1" applyAlignment="1">
      <alignment vertical="center" wrapText="1"/>
    </xf>
    <xf numFmtId="3" fontId="24" fillId="0" borderId="8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3" fontId="8" fillId="6" borderId="28" xfId="0" applyNumberFormat="1" applyFont="1" applyFill="1" applyBorder="1" applyAlignment="1">
      <alignment vertical="center"/>
    </xf>
    <xf numFmtId="3" fontId="21" fillId="6" borderId="28" xfId="0" applyNumberFormat="1" applyFont="1" applyFill="1" applyBorder="1" applyAlignment="1">
      <alignment vertical="center"/>
    </xf>
    <xf numFmtId="0" fontId="0" fillId="0" borderId="0" xfId="0"/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3" fillId="6" borderId="12" xfId="3" applyFont="1" applyFill="1" applyBorder="1" applyAlignment="1">
      <alignment horizontal="center" vertical="center" wrapText="1"/>
    </xf>
    <xf numFmtId="0" fontId="3" fillId="0" borderId="14" xfId="3" applyFont="1" applyBorder="1" applyAlignment="1">
      <alignment horizontal="right"/>
    </xf>
    <xf numFmtId="0" fontId="0" fillId="0" borderId="0" xfId="0" applyBorder="1" applyAlignment="1"/>
    <xf numFmtId="3" fontId="8" fillId="0" borderId="10" xfId="12" applyNumberFormat="1" applyFont="1" applyFill="1" applyBorder="1"/>
    <xf numFmtId="3" fontId="8" fillId="0" borderId="10" xfId="12" applyNumberFormat="1" applyFont="1" applyFill="1" applyBorder="1" applyAlignment="1">
      <alignment horizontal="right"/>
    </xf>
    <xf numFmtId="3" fontId="2" fillId="0" borderId="33" xfId="3" applyNumberFormat="1" applyBorder="1"/>
    <xf numFmtId="3" fontId="3" fillId="0" borderId="10" xfId="3" applyNumberFormat="1" applyFont="1" applyBorder="1" applyAlignment="1">
      <alignment horizontal="center"/>
    </xf>
    <xf numFmtId="3" fontId="3" fillId="0" borderId="10" xfId="12" applyNumberFormat="1" applyFont="1" applyBorder="1" applyAlignment="1">
      <alignment horizontal="right"/>
    </xf>
    <xf numFmtId="3" fontId="3" fillId="0" borderId="33" xfId="3" applyNumberFormat="1" applyFont="1" applyBorder="1"/>
    <xf numFmtId="3" fontId="3" fillId="0" borderId="25" xfId="12" applyNumberFormat="1" applyFont="1" applyFill="1" applyBorder="1"/>
    <xf numFmtId="3" fontId="3" fillId="7" borderId="10" xfId="12" applyNumberFormat="1" applyFont="1" applyFill="1" applyBorder="1"/>
    <xf numFmtId="3" fontId="4" fillId="7" borderId="10" xfId="12" applyNumberFormat="1" applyFont="1" applyFill="1" applyBorder="1"/>
    <xf numFmtId="3" fontId="1" fillId="7" borderId="10" xfId="12" applyNumberFormat="1" applyFill="1" applyBorder="1"/>
    <xf numFmtId="3" fontId="3" fillId="0" borderId="10" xfId="12" applyNumberFormat="1" applyFont="1" applyFill="1" applyBorder="1" applyProtection="1"/>
    <xf numFmtId="3" fontId="4" fillId="0" borderId="10" xfId="12" applyNumberFormat="1" applyFont="1" applyFill="1" applyBorder="1" applyProtection="1"/>
    <xf numFmtId="3" fontId="1" fillId="0" borderId="10" xfId="12" applyNumberFormat="1" applyFill="1" applyBorder="1" applyProtection="1"/>
    <xf numFmtId="3" fontId="4" fillId="0" borderId="10" xfId="12" applyNumberFormat="1" applyFont="1" applyBorder="1" applyProtection="1"/>
    <xf numFmtId="3" fontId="3" fillId="3" borderId="10" xfId="12" applyNumberFormat="1" applyFont="1" applyFill="1" applyBorder="1" applyProtection="1"/>
    <xf numFmtId="3" fontId="1" fillId="0" borderId="10" xfId="12" applyNumberFormat="1" applyFont="1" applyFill="1" applyBorder="1" applyProtection="1"/>
    <xf numFmtId="3" fontId="3" fillId="0" borderId="10" xfId="12" applyNumberFormat="1" applyFont="1" applyBorder="1" applyProtection="1"/>
    <xf numFmtId="3" fontId="3" fillId="0" borderId="10" xfId="12" applyNumberFormat="1" applyFont="1" applyFill="1" applyBorder="1" applyAlignment="1" applyProtection="1">
      <alignment horizontal="right"/>
    </xf>
    <xf numFmtId="0" fontId="3" fillId="0" borderId="16" xfId="3" applyFont="1" applyBorder="1" applyAlignment="1">
      <alignment horizontal="center"/>
    </xf>
    <xf numFmtId="0" fontId="17" fillId="0" borderId="19" xfId="12" applyFont="1" applyBorder="1" applyAlignment="1">
      <alignment horizontal="center"/>
    </xf>
    <xf numFmtId="3" fontId="3" fillId="6" borderId="8" xfId="3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3" fillId="0" borderId="8" xfId="3" applyNumberFormat="1" applyFont="1" applyFill="1" applyBorder="1" applyAlignment="1">
      <alignment horizontal="right"/>
    </xf>
    <xf numFmtId="3" fontId="3" fillId="6" borderId="8" xfId="3" applyNumberFormat="1" applyFont="1" applyFill="1" applyBorder="1"/>
    <xf numFmtId="3" fontId="4" fillId="0" borderId="8" xfId="3" applyNumberFormat="1" applyFont="1" applyBorder="1"/>
    <xf numFmtId="3" fontId="24" fillId="0" borderId="8" xfId="3" applyNumberFormat="1" applyFont="1" applyBorder="1"/>
    <xf numFmtId="3" fontId="2" fillId="0" borderId="8" xfId="3" applyNumberFormat="1" applyFill="1" applyBorder="1"/>
    <xf numFmtId="3" fontId="3" fillId="6" borderId="8" xfId="3" applyNumberFormat="1" applyFont="1" applyFill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3" fontId="24" fillId="0" borderId="8" xfId="3" applyNumberFormat="1" applyFont="1" applyBorder="1" applyAlignment="1">
      <alignment vertical="center"/>
    </xf>
    <xf numFmtId="3" fontId="4" fillId="0" borderId="8" xfId="3" applyNumberFormat="1" applyFont="1" applyFill="1" applyBorder="1" applyAlignment="1">
      <alignment vertical="center"/>
    </xf>
    <xf numFmtId="3" fontId="24" fillId="0" borderId="8" xfId="3" applyNumberFormat="1" applyFont="1" applyFill="1" applyBorder="1" applyAlignment="1">
      <alignment vertical="center"/>
    </xf>
    <xf numFmtId="3" fontId="4" fillId="0" borderId="8" xfId="3" applyNumberFormat="1" applyFont="1" applyFill="1" applyBorder="1" applyAlignment="1" applyProtection="1">
      <alignment vertical="center"/>
      <protection locked="0"/>
    </xf>
    <xf numFmtId="3" fontId="24" fillId="0" borderId="8" xfId="3" applyNumberFormat="1" applyFont="1" applyFill="1" applyBorder="1" applyAlignment="1" applyProtection="1">
      <alignment vertical="center"/>
      <protection locked="0"/>
    </xf>
    <xf numFmtId="3" fontId="24" fillId="0" borderId="8" xfId="12" applyNumberFormat="1" applyFont="1" applyBorder="1" applyAlignment="1">
      <alignment vertical="center"/>
    </xf>
    <xf numFmtId="3" fontId="2" fillId="0" borderId="8" xfId="3" applyNumberFormat="1" applyFill="1" applyBorder="1" applyAlignment="1">
      <alignment vertical="center"/>
    </xf>
    <xf numFmtId="3" fontId="2" fillId="0" borderId="8" xfId="3" applyNumberFormat="1" applyFont="1" applyFill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3" fontId="3" fillId="0" borderId="8" xfId="3" applyNumberFormat="1" applyFont="1" applyBorder="1" applyAlignment="1">
      <alignment vertical="center"/>
    </xf>
    <xf numFmtId="3" fontId="2" fillId="0" borderId="8" xfId="3" applyNumberFormat="1" applyBorder="1" applyAlignment="1">
      <alignment vertical="center"/>
    </xf>
    <xf numFmtId="0" fontId="3" fillId="6" borderId="24" xfId="3" applyFont="1" applyFill="1" applyBorder="1" applyAlignment="1">
      <alignment horizontal="center" vertical="center" wrapText="1"/>
    </xf>
    <xf numFmtId="0" fontId="12" fillId="6" borderId="2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/>
    </xf>
    <xf numFmtId="3" fontId="3" fillId="6" borderId="3" xfId="3" applyNumberFormat="1" applyFont="1" applyFill="1" applyBorder="1" applyAlignment="1">
      <alignment horizontal="right"/>
    </xf>
    <xf numFmtId="3" fontId="12" fillId="6" borderId="18" xfId="3" applyNumberFormat="1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4" fillId="0" borderId="3" xfId="3" applyNumberFormat="1" applyFont="1" applyFill="1" applyBorder="1" applyAlignment="1">
      <alignment horizontal="right"/>
    </xf>
    <xf numFmtId="3" fontId="6" fillId="6" borderId="18" xfId="3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3" fontId="3" fillId="0" borderId="3" xfId="3" applyNumberFormat="1" applyFont="1" applyFill="1" applyBorder="1" applyAlignment="1">
      <alignment horizontal="right"/>
    </xf>
    <xf numFmtId="3" fontId="3" fillId="6" borderId="3" xfId="3" applyNumberFormat="1" applyFont="1" applyFill="1" applyBorder="1"/>
    <xf numFmtId="3" fontId="12" fillId="6" borderId="18" xfId="3" applyNumberFormat="1" applyFont="1" applyFill="1" applyBorder="1"/>
    <xf numFmtId="3" fontId="4" fillId="0" borderId="3" xfId="3" applyNumberFormat="1" applyFont="1" applyBorder="1"/>
    <xf numFmtId="3" fontId="6" fillId="6" borderId="18" xfId="3" applyNumberFormat="1" applyFont="1" applyFill="1" applyBorder="1"/>
    <xf numFmtId="3" fontId="24" fillId="0" borderId="3" xfId="3" applyNumberFormat="1" applyFont="1" applyBorder="1"/>
    <xf numFmtId="3" fontId="30" fillId="6" borderId="18" xfId="3" applyNumberFormat="1" applyFont="1" applyFill="1" applyBorder="1"/>
    <xf numFmtId="3" fontId="2" fillId="0" borderId="3" xfId="3" applyNumberFormat="1" applyFill="1" applyBorder="1"/>
    <xf numFmtId="3" fontId="3" fillId="6" borderId="3" xfId="3" applyNumberFormat="1" applyFont="1" applyFill="1" applyBorder="1" applyAlignment="1">
      <alignment vertical="center"/>
    </xf>
    <xf numFmtId="3" fontId="12" fillId="6" borderId="18" xfId="3" applyNumberFormat="1" applyFont="1" applyFill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6" fillId="6" borderId="18" xfId="3" applyNumberFormat="1" applyFont="1" applyFill="1" applyBorder="1" applyAlignment="1">
      <alignment vertical="center"/>
    </xf>
    <xf numFmtId="3" fontId="24" fillId="0" borderId="3" xfId="3" applyNumberFormat="1" applyFont="1" applyBorder="1" applyAlignment="1">
      <alignment vertical="center"/>
    </xf>
    <xf numFmtId="3" fontId="39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vertical="center"/>
    </xf>
    <xf numFmtId="3" fontId="24" fillId="0" borderId="3" xfId="3" applyNumberFormat="1" applyFont="1" applyFill="1" applyBorder="1" applyAlignment="1">
      <alignment vertical="center"/>
    </xf>
    <xf numFmtId="3" fontId="30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 applyProtection="1">
      <alignment vertical="center"/>
      <protection locked="0"/>
    </xf>
    <xf numFmtId="3" fontId="6" fillId="6" borderId="18" xfId="3" applyNumberFormat="1" applyFont="1" applyFill="1" applyBorder="1" applyAlignment="1" applyProtection="1">
      <alignment vertical="center"/>
      <protection locked="0"/>
    </xf>
    <xf numFmtId="3" fontId="24" fillId="0" borderId="3" xfId="3" applyNumberFormat="1" applyFont="1" applyFill="1" applyBorder="1" applyAlignment="1" applyProtection="1">
      <alignment vertical="center"/>
      <protection locked="0"/>
    </xf>
    <xf numFmtId="3" fontId="30" fillId="6" borderId="18" xfId="3" applyNumberFormat="1" applyFont="1" applyFill="1" applyBorder="1" applyAlignment="1" applyProtection="1">
      <alignment vertical="center"/>
      <protection locked="0"/>
    </xf>
    <xf numFmtId="3" fontId="24" fillId="0" borderId="3" xfId="12" applyNumberFormat="1" applyFont="1" applyBorder="1" applyAlignment="1">
      <alignment vertical="center"/>
    </xf>
    <xf numFmtId="3" fontId="30" fillId="6" borderId="18" xfId="12" applyNumberFormat="1" applyFont="1" applyFill="1" applyBorder="1" applyAlignment="1">
      <alignment vertical="center"/>
    </xf>
    <xf numFmtId="3" fontId="2" fillId="0" borderId="3" xfId="3" applyNumberFormat="1" applyFill="1" applyBorder="1" applyAlignment="1">
      <alignment vertical="center"/>
    </xf>
    <xf numFmtId="3" fontId="2" fillId="0" borderId="3" xfId="3" applyNumberFormat="1" applyFont="1" applyFill="1" applyBorder="1" applyAlignment="1">
      <alignment vertical="center"/>
    </xf>
    <xf numFmtId="3" fontId="2" fillId="0" borderId="3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3" fontId="2" fillId="0" borderId="3" xfId="3" applyNumberFormat="1" applyBorder="1" applyAlignment="1">
      <alignment vertical="center"/>
    </xf>
    <xf numFmtId="0" fontId="6" fillId="6" borderId="29" xfId="3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8" xfId="12" applyFont="1" applyFill="1" applyBorder="1" applyAlignment="1">
      <alignment horizontal="center" vertical="center" wrapText="1"/>
    </xf>
    <xf numFmtId="4" fontId="48" fillId="0" borderId="0" xfId="5" applyNumberFormat="1" applyFont="1"/>
    <xf numFmtId="3" fontId="8" fillId="0" borderId="8" xfId="3" applyNumberFormat="1" applyFont="1" applyBorder="1"/>
    <xf numFmtId="3" fontId="3" fillId="0" borderId="18" xfId="12" applyNumberFormat="1" applyFont="1" applyBorder="1" applyAlignment="1">
      <alignment horizontal="right"/>
    </xf>
    <xf numFmtId="0" fontId="1" fillId="0" borderId="18" xfId="12" applyFont="1" applyFill="1" applyBorder="1"/>
    <xf numFmtId="0" fontId="8" fillId="0" borderId="18" xfId="12" applyFont="1" applyFill="1" applyBorder="1" applyAlignment="1">
      <alignment horizontal="right"/>
    </xf>
    <xf numFmtId="0" fontId="17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29" xfId="3" applyNumberFormat="1" applyFont="1" applyFill="1" applyBorder="1"/>
    <xf numFmtId="0" fontId="12" fillId="6" borderId="19" xfId="3" applyFont="1" applyFill="1" applyBorder="1" applyAlignment="1">
      <alignment horizontal="center"/>
    </xf>
    <xf numFmtId="3" fontId="12" fillId="6" borderId="19" xfId="3" applyNumberFormat="1" applyFont="1" applyFill="1" applyBorder="1" applyAlignment="1">
      <alignment horizontal="right"/>
    </xf>
    <xf numFmtId="3" fontId="6" fillId="6" borderId="19" xfId="3" applyNumberFormat="1" applyFont="1" applyFill="1" applyBorder="1"/>
    <xf numFmtId="3" fontId="12" fillId="6" borderId="19" xfId="3" applyNumberFormat="1" applyFont="1" applyFill="1" applyBorder="1"/>
    <xf numFmtId="3" fontId="12" fillId="6" borderId="19" xfId="4" applyNumberFormat="1" applyFont="1" applyFill="1" applyBorder="1"/>
    <xf numFmtId="0" fontId="6" fillId="6" borderId="18" xfId="3" applyFont="1" applyFill="1" applyBorder="1"/>
    <xf numFmtId="3" fontId="8" fillId="0" borderId="3" xfId="3" applyNumberFormat="1" applyFont="1" applyBorder="1"/>
    <xf numFmtId="3" fontId="21" fillId="6" borderId="18" xfId="3" applyNumberFormat="1" applyFont="1" applyFill="1" applyBorder="1"/>
    <xf numFmtId="0" fontId="12" fillId="6" borderId="27" xfId="3" applyFont="1" applyFill="1" applyBorder="1" applyAlignment="1" applyProtection="1">
      <alignment horizontal="center" vertical="center" wrapText="1"/>
    </xf>
    <xf numFmtId="0" fontId="17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29" xfId="3" applyNumberFormat="1" applyFont="1" applyFill="1" applyBorder="1" applyProtection="1"/>
    <xf numFmtId="3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 vertical="center" wrapText="1"/>
    </xf>
    <xf numFmtId="3" fontId="6" fillId="6" borderId="18" xfId="12" applyNumberFormat="1" applyFont="1" applyFill="1" applyBorder="1"/>
    <xf numFmtId="3" fontId="12" fillId="6" borderId="18" xfId="12" applyNumberFormat="1" applyFont="1" applyFill="1" applyBorder="1"/>
    <xf numFmtId="0" fontId="12" fillId="6" borderId="18" xfId="3" applyFont="1" applyFill="1" applyBorder="1" applyAlignment="1">
      <alignment horizontal="right"/>
    </xf>
    <xf numFmtId="3" fontId="6" fillId="6" borderId="18" xfId="4" applyNumberFormat="1" applyFont="1" applyFill="1" applyBorder="1" applyAlignment="1">
      <alignment vertical="center"/>
    </xf>
    <xf numFmtId="3" fontId="12" fillId="6" borderId="29" xfId="3" applyNumberFormat="1" applyFont="1" applyFill="1" applyBorder="1"/>
    <xf numFmtId="0" fontId="45" fillId="0" borderId="4" xfId="0" applyFont="1" applyFill="1" applyBorder="1" applyAlignment="1">
      <alignment wrapText="1"/>
    </xf>
    <xf numFmtId="0" fontId="0" fillId="0" borderId="0" xfId="0"/>
    <xf numFmtId="0" fontId="9" fillId="0" borderId="0" xfId="0" applyFont="1" applyAlignment="1">
      <alignment horizontal="center" vertical="top"/>
    </xf>
    <xf numFmtId="0" fontId="28" fillId="0" borderId="43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7" fillId="0" borderId="0" xfId="12" applyFont="1" applyAlignment="1">
      <alignment horizontal="left"/>
    </xf>
    <xf numFmtId="0" fontId="0" fillId="0" borderId="0" xfId="0" applyBorder="1" applyAlignment="1"/>
    <xf numFmtId="0" fontId="3" fillId="2" borderId="17" xfId="12" applyFont="1" applyFill="1" applyBorder="1" applyAlignment="1">
      <alignment horizontal="center" vertical="center" wrapText="1"/>
    </xf>
    <xf numFmtId="4" fontId="21" fillId="6" borderId="18" xfId="0" applyNumberFormat="1" applyFont="1" applyFill="1" applyBorder="1" applyAlignment="1">
      <alignment vertical="center"/>
    </xf>
    <xf numFmtId="4" fontId="8" fillId="6" borderId="18" xfId="0" applyNumberFormat="1" applyFont="1" applyFill="1" applyBorder="1" applyAlignment="1">
      <alignment vertical="center"/>
    </xf>
    <xf numFmtId="4" fontId="8" fillId="0" borderId="18" xfId="0" applyNumberFormat="1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vertical="center"/>
    </xf>
    <xf numFmtId="4" fontId="24" fillId="0" borderId="18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4" fontId="1" fillId="0" borderId="29" xfId="0" applyNumberFormat="1" applyFont="1" applyBorder="1" applyAlignment="1">
      <alignment vertical="center"/>
    </xf>
    <xf numFmtId="4" fontId="21" fillId="6" borderId="62" xfId="0" applyNumberFormat="1" applyFont="1" applyFill="1" applyBorder="1" applyAlignment="1">
      <alignment vertical="center"/>
    </xf>
    <xf numFmtId="4" fontId="2" fillId="0" borderId="63" xfId="3" applyNumberFormat="1" applyBorder="1"/>
    <xf numFmtId="3" fontId="49" fillId="0" borderId="0" xfId="0" applyNumberFormat="1" applyFont="1"/>
    <xf numFmtId="4" fontId="49" fillId="0" borderId="0" xfId="5" applyNumberFormat="1" applyFont="1"/>
    <xf numFmtId="0" fontId="1" fillId="0" borderId="0" xfId="0" applyFont="1" applyAlignment="1">
      <alignment horizontal="left"/>
    </xf>
    <xf numFmtId="3" fontId="1" fillId="0" borderId="65" xfId="0" applyNumberFormat="1" applyFont="1" applyFill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17" fillId="0" borderId="68" xfId="12" applyFont="1" applyBorder="1" applyAlignment="1">
      <alignment horizontal="center"/>
    </xf>
    <xf numFmtId="4" fontId="27" fillId="0" borderId="68" xfId="3" applyNumberFormat="1" applyFont="1" applyBorder="1" applyAlignment="1">
      <alignment horizontal="center"/>
    </xf>
    <xf numFmtId="4" fontId="27" fillId="0" borderId="68" xfId="3" applyNumberFormat="1" applyFont="1" applyFill="1" applyBorder="1"/>
    <xf numFmtId="4" fontId="20" fillId="0" borderId="68" xfId="3" applyNumberFormat="1" applyFont="1" applyFill="1" applyBorder="1"/>
    <xf numFmtId="4" fontId="20" fillId="0" borderId="69" xfId="3" applyNumberFormat="1" applyFont="1" applyBorder="1"/>
    <xf numFmtId="4" fontId="20" fillId="0" borderId="68" xfId="3" applyNumberFormat="1" applyFont="1" applyBorder="1"/>
    <xf numFmtId="4" fontId="20" fillId="0" borderId="68" xfId="12" applyNumberFormat="1" applyFont="1" applyFill="1" applyBorder="1"/>
    <xf numFmtId="4" fontId="27" fillId="0" borderId="69" xfId="3" applyNumberFormat="1" applyFont="1" applyBorder="1"/>
    <xf numFmtId="0" fontId="1" fillId="0" borderId="0" xfId="3" applyFont="1" applyFill="1" applyAlignment="1">
      <alignment horizontal="right"/>
    </xf>
    <xf numFmtId="3" fontId="1" fillId="0" borderId="0" xfId="3" applyNumberFormat="1" applyFont="1" applyAlignment="1">
      <alignment horizontal="center"/>
    </xf>
    <xf numFmtId="0" fontId="3" fillId="0" borderId="3" xfId="12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0" fillId="0" borderId="0" xfId="0"/>
    <xf numFmtId="0" fontId="1" fillId="0" borderId="0" xfId="3" applyFont="1" applyFill="1"/>
    <xf numFmtId="0" fontId="0" fillId="0" borderId="0" xfId="0"/>
    <xf numFmtId="2" fontId="8" fillId="4" borderId="4" xfId="0" applyNumberFormat="1" applyFont="1" applyFill="1" applyBorder="1" applyAlignment="1">
      <alignment horizontal="right" vertical="center"/>
    </xf>
    <xf numFmtId="2" fontId="8" fillId="4" borderId="22" xfId="0" applyNumberFormat="1" applyFont="1" applyFill="1" applyBorder="1" applyAlignment="1">
      <alignment horizontal="right" vertical="center"/>
    </xf>
    <xf numFmtId="0" fontId="28" fillId="0" borderId="43" xfId="0" applyFont="1" applyBorder="1" applyAlignment="1">
      <alignment horizontal="left"/>
    </xf>
    <xf numFmtId="0" fontId="0" fillId="0" borderId="0" xfId="0"/>
    <xf numFmtId="0" fontId="45" fillId="8" borderId="4" xfId="0" applyFont="1" applyFill="1" applyBorder="1" applyAlignment="1">
      <alignment wrapText="1"/>
    </xf>
    <xf numFmtId="3" fontId="39" fillId="8" borderId="8" xfId="0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/>
    </xf>
    <xf numFmtId="0" fontId="28" fillId="0" borderId="43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8" fillId="0" borderId="52" xfId="0" applyFont="1" applyBorder="1" applyAlignment="1">
      <alignment horizontal="left"/>
    </xf>
    <xf numFmtId="0" fontId="28" fillId="0" borderId="53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 wrapText="1"/>
    </xf>
    <xf numFmtId="0" fontId="8" fillId="0" borderId="3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21" fillId="6" borderId="13" xfId="0" applyFont="1" applyFill="1" applyBorder="1" applyAlignment="1">
      <alignment horizontal="right" vertical="center" wrapText="1"/>
    </xf>
    <xf numFmtId="0" fontId="21" fillId="6" borderId="31" xfId="0" applyFont="1" applyFill="1" applyBorder="1" applyAlignment="1">
      <alignment horizontal="right" vertical="center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12" fillId="6" borderId="55" xfId="12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3" fillId="6" borderId="35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6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6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6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54" xfId="3" applyFont="1" applyFill="1" applyBorder="1" applyAlignment="1">
      <alignment horizontal="center" vertical="center" wrapText="1"/>
    </xf>
    <xf numFmtId="0" fontId="3" fillId="6" borderId="26" xfId="3" applyFont="1" applyFill="1" applyBorder="1" applyAlignment="1">
      <alignment horizontal="center" vertical="center" wrapText="1"/>
    </xf>
    <xf numFmtId="4" fontId="26" fillId="6" borderId="64" xfId="12" applyNumberFormat="1" applyFont="1" applyFill="1" applyBorder="1" applyAlignment="1">
      <alignment horizontal="center" vertical="center" wrapText="1"/>
    </xf>
    <xf numFmtId="0" fontId="28" fillId="6" borderId="61" xfId="0" applyFont="1" applyFill="1" applyBorder="1" applyAlignment="1">
      <alignment horizontal="center" vertical="center"/>
    </xf>
    <xf numFmtId="0" fontId="3" fillId="6" borderId="37" xfId="12" applyFont="1" applyFill="1" applyBorder="1" applyAlignment="1">
      <alignment horizontal="center" vertical="center" wrapText="1"/>
    </xf>
    <xf numFmtId="0" fontId="3" fillId="6" borderId="27" xfId="12" applyFont="1" applyFill="1" applyBorder="1" applyAlignment="1">
      <alignment horizontal="center" vertical="center" wrapText="1"/>
    </xf>
    <xf numFmtId="0" fontId="8" fillId="0" borderId="37" xfId="1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6" borderId="38" xfId="3" applyFont="1" applyFill="1" applyBorder="1" applyAlignment="1">
      <alignment horizontal="left" vertical="center"/>
    </xf>
    <xf numFmtId="0" fontId="9" fillId="6" borderId="39" xfId="3" applyFont="1" applyFill="1" applyBorder="1" applyAlignment="1">
      <alignment horizontal="left" vertical="center"/>
    </xf>
    <xf numFmtId="0" fontId="9" fillId="6" borderId="40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37" fillId="0" borderId="55" xfId="12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26" fillId="0" borderId="35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7" fillId="0" borderId="36" xfId="3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7" fillId="0" borderId="36" xfId="3" applyFont="1" applyFill="1" applyBorder="1" applyAlignment="1">
      <alignment horizontal="center" vertical="center" textRotation="90" wrapText="1"/>
    </xf>
    <xf numFmtId="0" fontId="8" fillId="0" borderId="36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" fillId="0" borderId="36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26" fillId="0" borderId="36" xfId="3" applyFont="1" applyFill="1" applyBorder="1" applyAlignment="1">
      <alignment horizontal="center" vertical="center" wrapText="1"/>
    </xf>
    <xf numFmtId="4" fontId="27" fillId="0" borderId="66" xfId="12" applyNumberFormat="1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/>
    </xf>
    <xf numFmtId="0" fontId="26" fillId="0" borderId="36" xfId="3" applyFont="1" applyFill="1" applyBorder="1" applyAlignment="1">
      <alignment horizontal="center" vertical="center" textRotation="90" wrapText="1"/>
    </xf>
    <xf numFmtId="0" fontId="0" fillId="0" borderId="40" xfId="0" applyBorder="1" applyAlignment="1"/>
    <xf numFmtId="0" fontId="8" fillId="0" borderId="36" xfId="3" applyFont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27" fillId="0" borderId="54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7" fillId="0" borderId="36" xfId="3" applyFont="1" applyFill="1" applyBorder="1" applyAlignment="1">
      <alignment horizontal="center" vertical="center" textRotation="90" wrapText="1"/>
    </xf>
    <xf numFmtId="4" fontId="27" fillId="0" borderId="37" xfId="3" applyNumberFormat="1" applyFont="1" applyFill="1" applyBorder="1" applyAlignment="1">
      <alignment horizontal="center" vertical="center" wrapText="1"/>
    </xf>
    <xf numFmtId="0" fontId="37" fillId="0" borderId="55" xfId="3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textRotation="90" wrapText="1"/>
    </xf>
    <xf numFmtId="0" fontId="3" fillId="0" borderId="36" xfId="3" applyFont="1" applyFill="1" applyBorder="1" applyAlignment="1">
      <alignment horizontal="center" vertical="center" textRotation="90" wrapText="1"/>
    </xf>
    <xf numFmtId="0" fontId="27" fillId="0" borderId="36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 wrapText="1"/>
    </xf>
    <xf numFmtId="0" fontId="0" fillId="0" borderId="39" xfId="0" applyBorder="1" applyAlignment="1"/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4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0" fontId="0" fillId="0" borderId="0" xfId="0" applyFill="1" applyAlignment="1"/>
    <xf numFmtId="0" fontId="1" fillId="0" borderId="0" xfId="0" applyFont="1" applyAlignment="1">
      <alignment horizontal="center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" xfId="14" builtinId="3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3" name="Slika 2" descr="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S6" sqref="S6"/>
    </sheetView>
  </sheetViews>
  <sheetFormatPr defaultRowHeight="12.75"/>
  <cols>
    <col min="1" max="14" width="9.7109375" style="855" customWidth="1"/>
    <col min="15" max="16384" width="9.140625" style="855"/>
  </cols>
  <sheetData>
    <row r="1" spans="1:14">
      <c r="A1" s="906"/>
      <c r="B1" s="906"/>
      <c r="C1" s="906"/>
      <c r="D1" s="906"/>
      <c r="E1" s="906"/>
      <c r="F1" s="906"/>
      <c r="G1" s="906"/>
      <c r="H1" s="906"/>
      <c r="I1" s="906"/>
    </row>
    <row r="2" spans="1:14" ht="12.75" customHeight="1">
      <c r="B2" s="262"/>
      <c r="C2" s="263"/>
      <c r="D2" s="907" t="s">
        <v>865</v>
      </c>
      <c r="E2" s="908"/>
      <c r="F2" s="908"/>
      <c r="I2" s="907" t="s">
        <v>866</v>
      </c>
      <c r="J2" s="913"/>
      <c r="K2" s="913"/>
    </row>
    <row r="3" spans="1:14">
      <c r="B3" s="263"/>
      <c r="C3" s="263"/>
      <c r="D3" s="908"/>
      <c r="E3" s="908"/>
      <c r="F3" s="908"/>
      <c r="I3" s="913"/>
      <c r="J3" s="913"/>
      <c r="K3" s="913"/>
    </row>
    <row r="4" spans="1:14">
      <c r="B4" s="263"/>
      <c r="C4" s="263"/>
      <c r="D4" s="908"/>
      <c r="E4" s="908"/>
      <c r="F4" s="908"/>
      <c r="I4" s="913"/>
      <c r="J4" s="913"/>
      <c r="K4" s="913"/>
    </row>
    <row r="5" spans="1:14">
      <c r="B5" s="263"/>
      <c r="C5" s="263"/>
      <c r="D5" s="908"/>
      <c r="E5" s="908"/>
      <c r="F5" s="908"/>
      <c r="I5" s="913"/>
      <c r="J5" s="913"/>
      <c r="K5" s="913"/>
    </row>
    <row r="6" spans="1:14">
      <c r="B6" s="263"/>
      <c r="C6" s="263"/>
      <c r="D6" s="908"/>
      <c r="E6" s="908"/>
      <c r="F6" s="908"/>
      <c r="I6" s="913"/>
      <c r="J6" s="913"/>
      <c r="K6" s="913"/>
    </row>
    <row r="7" spans="1:14">
      <c r="B7" s="263"/>
      <c r="C7" s="263"/>
      <c r="D7" s="908"/>
      <c r="E7" s="908"/>
      <c r="F7" s="908"/>
      <c r="I7" s="913"/>
      <c r="J7" s="913"/>
      <c r="K7" s="913"/>
    </row>
    <row r="8" spans="1:14" ht="13.5" thickBot="1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</row>
    <row r="9" spans="1:14" ht="13.5" thickTop="1"/>
    <row r="12" spans="1:14" ht="18.75">
      <c r="L12" s="914" t="s">
        <v>911</v>
      </c>
      <c r="M12" s="914"/>
      <c r="N12" s="914"/>
    </row>
    <row r="15" spans="1:14" ht="12.75" customHeight="1">
      <c r="A15" s="909" t="s">
        <v>923</v>
      </c>
      <c r="B15" s="910"/>
      <c r="C15" s="910"/>
      <c r="D15" s="910"/>
      <c r="E15" s="910"/>
      <c r="F15" s="910"/>
      <c r="G15" s="910"/>
      <c r="H15" s="910"/>
      <c r="I15" s="910"/>
      <c r="J15" s="910"/>
      <c r="K15" s="910"/>
      <c r="L15" s="911"/>
      <c r="M15" s="911"/>
      <c r="N15" s="911"/>
    </row>
    <row r="16" spans="1:14">
      <c r="A16" s="910"/>
      <c r="B16" s="910"/>
      <c r="C16" s="910"/>
      <c r="D16" s="910"/>
      <c r="E16" s="910"/>
      <c r="F16" s="910"/>
      <c r="G16" s="910"/>
      <c r="H16" s="910"/>
      <c r="I16" s="910"/>
      <c r="J16" s="910"/>
      <c r="K16" s="910"/>
      <c r="L16" s="911"/>
      <c r="M16" s="911"/>
      <c r="N16" s="911"/>
    </row>
    <row r="17" spans="1:14">
      <c r="A17" s="910"/>
      <c r="B17" s="910"/>
      <c r="C17" s="910"/>
      <c r="D17" s="910"/>
      <c r="E17" s="910"/>
      <c r="F17" s="910"/>
      <c r="G17" s="910"/>
      <c r="H17" s="910"/>
      <c r="I17" s="910"/>
      <c r="J17" s="910"/>
      <c r="K17" s="910"/>
      <c r="L17" s="911"/>
      <c r="M17" s="911"/>
      <c r="N17" s="911"/>
    </row>
    <row r="18" spans="1:14">
      <c r="A18" s="910"/>
      <c r="B18" s="910"/>
      <c r="C18" s="910"/>
      <c r="D18" s="910"/>
      <c r="E18" s="910"/>
      <c r="F18" s="910"/>
      <c r="G18" s="910"/>
      <c r="H18" s="910"/>
      <c r="I18" s="910"/>
      <c r="J18" s="910"/>
      <c r="K18" s="910"/>
      <c r="L18" s="911"/>
      <c r="M18" s="911"/>
      <c r="N18" s="911"/>
    </row>
    <row r="19" spans="1:14">
      <c r="A19" s="910"/>
      <c r="B19" s="910"/>
      <c r="C19" s="910"/>
      <c r="D19" s="910"/>
      <c r="E19" s="910"/>
      <c r="F19" s="910"/>
      <c r="G19" s="910"/>
      <c r="H19" s="910"/>
      <c r="I19" s="910"/>
      <c r="J19" s="910"/>
      <c r="K19" s="910"/>
      <c r="L19" s="911"/>
      <c r="M19" s="911"/>
      <c r="N19" s="911"/>
    </row>
    <row r="20" spans="1:14" ht="13.5" customHeight="1">
      <c r="A20" s="910"/>
      <c r="B20" s="910"/>
      <c r="C20" s="910"/>
      <c r="D20" s="910"/>
      <c r="E20" s="910"/>
      <c r="F20" s="910"/>
      <c r="G20" s="910"/>
      <c r="H20" s="910"/>
      <c r="I20" s="910"/>
      <c r="J20" s="910"/>
      <c r="K20" s="910"/>
      <c r="L20" s="911"/>
      <c r="M20" s="911"/>
      <c r="N20" s="911"/>
    </row>
    <row r="38" spans="1:14">
      <c r="A38" s="912" t="s">
        <v>924</v>
      </c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</row>
    <row r="39" spans="1:14">
      <c r="A39" s="90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</row>
    <row r="40" spans="1:14" ht="15.75">
      <c r="A40" s="856"/>
      <c r="B40" s="856"/>
      <c r="C40" s="856"/>
      <c r="D40" s="856"/>
      <c r="E40" s="856"/>
      <c r="F40" s="856"/>
      <c r="G40" s="856"/>
      <c r="H40" s="856"/>
      <c r="I40" s="856"/>
    </row>
  </sheetData>
  <mergeCells count="6">
    <mergeCell ref="A1:I1"/>
    <mergeCell ref="D2:F7"/>
    <mergeCell ref="A15:N20"/>
    <mergeCell ref="A38:N39"/>
    <mergeCell ref="I2:K7"/>
    <mergeCell ref="L12:N12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topLeftCell="A6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425781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630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110</v>
      </c>
      <c r="C7" s="7" t="s">
        <v>79</v>
      </c>
      <c r="D7" s="7" t="s">
        <v>113</v>
      </c>
      <c r="E7" s="422" t="s">
        <v>706</v>
      </c>
      <c r="F7" s="5"/>
      <c r="G7" s="165"/>
      <c r="H7" s="5"/>
      <c r="I7" s="5"/>
      <c r="J7" s="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32">
        <f t="shared" ref="I8:J8" si="0">SUM(I9:I12)</f>
        <v>65900</v>
      </c>
      <c r="J8" s="232">
        <f t="shared" si="0"/>
        <v>65900</v>
      </c>
      <c r="K8" s="737">
        <f>SUM(K9:K12)</f>
        <v>47080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56850</v>
      </c>
      <c r="J9" s="240">
        <v>56850</v>
      </c>
      <c r="K9" s="495">
        <v>41927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v>9050</v>
      </c>
      <c r="J10" s="240">
        <v>9050</v>
      </c>
      <c r="K10" s="495">
        <v>5153</v>
      </c>
      <c r="L10" s="364"/>
      <c r="M10" s="240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35">
        <v>0</v>
      </c>
      <c r="J11" s="235">
        <v>0</v>
      </c>
      <c r="K11" s="495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8.1" customHeight="1">
      <c r="B12" s="10"/>
      <c r="C12" s="11"/>
      <c r="D12" s="11"/>
      <c r="E12" s="168"/>
      <c r="F12" s="182"/>
      <c r="G12" s="201"/>
      <c r="H12" s="435"/>
      <c r="I12" s="235"/>
      <c r="J12" s="235"/>
      <c r="K12" s="495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32">
        <f t="shared" ref="I13:J13" si="3">I14</f>
        <v>6000</v>
      </c>
      <c r="J13" s="232">
        <f t="shared" si="3"/>
        <v>6000</v>
      </c>
      <c r="K13" s="737">
        <f>K14</f>
        <v>4402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5">
        <v>6000</v>
      </c>
      <c r="J14" s="235">
        <v>6000</v>
      </c>
      <c r="K14" s="495">
        <v>4402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8.1" customHeight="1">
      <c r="B15" s="10"/>
      <c r="C15" s="11"/>
      <c r="D15" s="11"/>
      <c r="E15" s="168"/>
      <c r="F15" s="182"/>
      <c r="G15" s="201"/>
      <c r="H15" s="24"/>
      <c r="I15" s="235"/>
      <c r="J15" s="235"/>
      <c r="K15" s="495"/>
      <c r="L15" s="365"/>
      <c r="M15" s="236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J16" si="4">SUM(I17:I26)</f>
        <v>800</v>
      </c>
      <c r="J16" s="232">
        <f t="shared" si="4"/>
        <v>800</v>
      </c>
      <c r="K16" s="737">
        <f>SUM(K17:K26)</f>
        <v>204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7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35">
        <v>300</v>
      </c>
      <c r="J17" s="235">
        <v>300</v>
      </c>
      <c r="K17" s="495">
        <v>0</v>
      </c>
      <c r="L17" s="365"/>
      <c r="M17" s="236"/>
      <c r="N17" s="828">
        <f t="shared" ref="N17:N26" si="5">SUM(L17:M17)</f>
        <v>0</v>
      </c>
      <c r="O17" s="887">
        <f t="shared" si="1"/>
        <v>0</v>
      </c>
    </row>
    <row r="18" spans="1:17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35">
        <v>0</v>
      </c>
      <c r="J18" s="235">
        <v>0</v>
      </c>
      <c r="K18" s="495">
        <v>0</v>
      </c>
      <c r="L18" s="365"/>
      <c r="M18" s="236"/>
      <c r="N18" s="828">
        <f t="shared" si="5"/>
        <v>0</v>
      </c>
      <c r="O18" s="887" t="str">
        <f t="shared" si="1"/>
        <v/>
      </c>
    </row>
    <row r="19" spans="1:17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35">
        <v>0</v>
      </c>
      <c r="J19" s="235">
        <v>0</v>
      </c>
      <c r="K19" s="495">
        <v>0</v>
      </c>
      <c r="L19" s="365"/>
      <c r="M19" s="236"/>
      <c r="N19" s="828">
        <f t="shared" si="5"/>
        <v>0</v>
      </c>
      <c r="O19" s="887" t="str">
        <f t="shared" si="1"/>
        <v/>
      </c>
    </row>
    <row r="20" spans="1:17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35">
        <v>0</v>
      </c>
      <c r="J20" s="235">
        <v>0</v>
      </c>
      <c r="K20" s="495">
        <v>0</v>
      </c>
      <c r="L20" s="365"/>
      <c r="M20" s="236"/>
      <c r="N20" s="828">
        <f t="shared" si="5"/>
        <v>0</v>
      </c>
      <c r="O20" s="887" t="str">
        <f t="shared" si="1"/>
        <v/>
      </c>
    </row>
    <row r="21" spans="1:17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35">
        <v>0</v>
      </c>
      <c r="J21" s="235">
        <v>0</v>
      </c>
      <c r="K21" s="495">
        <v>0</v>
      </c>
      <c r="L21" s="365"/>
      <c r="M21" s="236"/>
      <c r="N21" s="828">
        <f t="shared" si="5"/>
        <v>0</v>
      </c>
      <c r="O21" s="887" t="str">
        <f t="shared" si="1"/>
        <v/>
      </c>
    </row>
    <row r="22" spans="1:17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35">
        <v>0</v>
      </c>
      <c r="J22" s="235">
        <v>0</v>
      </c>
      <c r="K22" s="495">
        <v>0</v>
      </c>
      <c r="L22" s="365"/>
      <c r="M22" s="236"/>
      <c r="N22" s="828">
        <f t="shared" si="5"/>
        <v>0</v>
      </c>
      <c r="O22" s="887" t="str">
        <f t="shared" si="1"/>
        <v/>
      </c>
    </row>
    <row r="23" spans="1:17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35">
        <v>0</v>
      </c>
      <c r="J23" s="235">
        <v>0</v>
      </c>
      <c r="K23" s="495">
        <v>0</v>
      </c>
      <c r="L23" s="365"/>
      <c r="M23" s="236"/>
      <c r="N23" s="828">
        <f t="shared" si="5"/>
        <v>0</v>
      </c>
      <c r="O23" s="887" t="str">
        <f t="shared" si="1"/>
        <v/>
      </c>
    </row>
    <row r="24" spans="1:17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35">
        <v>0</v>
      </c>
      <c r="J24" s="235">
        <v>0</v>
      </c>
      <c r="K24" s="495">
        <v>0</v>
      </c>
      <c r="L24" s="365"/>
      <c r="M24" s="236"/>
      <c r="N24" s="828">
        <f t="shared" si="5"/>
        <v>0</v>
      </c>
      <c r="O24" s="887" t="str">
        <f t="shared" si="1"/>
        <v/>
      </c>
      <c r="Q24" s="45"/>
    </row>
    <row r="25" spans="1:17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35">
        <v>500</v>
      </c>
      <c r="J25" s="235">
        <v>500</v>
      </c>
      <c r="K25" s="495">
        <v>204</v>
      </c>
      <c r="L25" s="365"/>
      <c r="M25" s="236"/>
      <c r="N25" s="828">
        <f t="shared" si="5"/>
        <v>0</v>
      </c>
      <c r="O25" s="887">
        <f t="shared" si="1"/>
        <v>0</v>
      </c>
    </row>
    <row r="26" spans="1:17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6"/>
      <c r="M26" s="238"/>
      <c r="N26" s="828">
        <f t="shared" si="5"/>
        <v>0</v>
      </c>
      <c r="O26" s="887" t="str">
        <f t="shared" si="1"/>
        <v/>
      </c>
    </row>
    <row r="27" spans="1:17" s="1" customFormat="1" ht="8.1" customHeight="1">
      <c r="A27" s="163"/>
      <c r="B27" s="12"/>
      <c r="C27" s="8"/>
      <c r="D27" s="8"/>
      <c r="E27" s="421"/>
      <c r="F27" s="192"/>
      <c r="G27" s="212"/>
      <c r="H27" s="25"/>
      <c r="I27" s="235"/>
      <c r="J27" s="235"/>
      <c r="K27" s="495"/>
      <c r="L27" s="365"/>
      <c r="M27" s="236"/>
      <c r="N27" s="791"/>
      <c r="O27" s="887" t="str">
        <f t="shared" si="1"/>
        <v/>
      </c>
    </row>
    <row r="28" spans="1:17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2">
        <f t="shared" ref="I28:M28" si="6">SUM(I29:I30)</f>
        <v>500</v>
      </c>
      <c r="J28" s="232">
        <f t="shared" si="6"/>
        <v>500</v>
      </c>
      <c r="K28" s="737">
        <f t="shared" si="6"/>
        <v>0</v>
      </c>
      <c r="L28" s="492">
        <f t="shared" si="6"/>
        <v>0</v>
      </c>
      <c r="M28" s="237">
        <f t="shared" si="6"/>
        <v>0</v>
      </c>
      <c r="N28" s="789">
        <f t="shared" ref="N28" si="7">SUM(N29:N30)</f>
        <v>0</v>
      </c>
      <c r="O28" s="887">
        <f t="shared" si="1"/>
        <v>0</v>
      </c>
    </row>
    <row r="29" spans="1:17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5">
        <v>0</v>
      </c>
      <c r="J29" s="235">
        <v>0</v>
      </c>
      <c r="K29" s="495">
        <v>0</v>
      </c>
      <c r="L29" s="364"/>
      <c r="M29" s="240"/>
      <c r="N29" s="828">
        <f t="shared" ref="N29:N30" si="8">SUM(L29:M29)</f>
        <v>0</v>
      </c>
      <c r="O29" s="887" t="str">
        <f t="shared" si="1"/>
        <v/>
      </c>
    </row>
    <row r="30" spans="1:17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35">
        <v>500</v>
      </c>
      <c r="J30" s="235">
        <v>500</v>
      </c>
      <c r="K30" s="495">
        <v>0</v>
      </c>
      <c r="L30" s="365"/>
      <c r="M30" s="236"/>
      <c r="N30" s="828">
        <f t="shared" si="8"/>
        <v>0</v>
      </c>
      <c r="O30" s="887">
        <f t="shared" si="1"/>
        <v>0</v>
      </c>
    </row>
    <row r="31" spans="1:17" ht="8.1" customHeight="1">
      <c r="B31" s="10"/>
      <c r="C31" s="11"/>
      <c r="D31" s="11"/>
      <c r="E31" s="168"/>
      <c r="F31" s="182"/>
      <c r="G31" s="201"/>
      <c r="H31" s="24"/>
      <c r="I31" s="232"/>
      <c r="J31" s="232"/>
      <c r="K31" s="737"/>
      <c r="L31" s="492"/>
      <c r="M31" s="237"/>
      <c r="N31" s="789"/>
      <c r="O31" s="887" t="str">
        <f t="shared" si="1"/>
        <v/>
      </c>
    </row>
    <row r="32" spans="1:17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2">
        <v>2</v>
      </c>
      <c r="J32" s="232">
        <v>2</v>
      </c>
      <c r="K32" s="737">
        <v>2</v>
      </c>
      <c r="L32" s="492"/>
      <c r="M32" s="237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25" t="s">
        <v>105</v>
      </c>
      <c r="I33" s="170">
        <f t="shared" ref="I33:K33" si="9">I8+I13+I16+I28</f>
        <v>73200</v>
      </c>
      <c r="J33" s="170">
        <f t="shared" si="9"/>
        <v>73200</v>
      </c>
      <c r="K33" s="158">
        <f t="shared" si="9"/>
        <v>51686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/>
      <c r="J34" s="15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8.1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F39" s="184"/>
      <c r="G39" s="203"/>
      <c r="N39" s="258"/>
    </row>
    <row r="40" spans="1:15" ht="12.95" customHeight="1">
      <c r="F40" s="184"/>
      <c r="G40" s="203"/>
      <c r="N40" s="258"/>
    </row>
    <row r="41" spans="1:15" ht="12.95" customHeight="1"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topLeftCell="A2" zoomScaleNormal="100" workbookViewId="0">
      <selection activeCell="L13" sqref="L1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628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9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8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336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110</v>
      </c>
      <c r="C7" s="7" t="s">
        <v>79</v>
      </c>
      <c r="D7" s="7" t="s">
        <v>114</v>
      </c>
      <c r="E7" s="422" t="s">
        <v>706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32">
        <f t="shared" ref="I8:J8" si="0">SUM(I9:I12)</f>
        <v>89740</v>
      </c>
      <c r="J8" s="232">
        <f t="shared" si="0"/>
        <v>89740</v>
      </c>
      <c r="K8" s="737">
        <f>SUM(K9:K12)</f>
        <v>66227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77890</v>
      </c>
      <c r="J9" s="240">
        <v>77890</v>
      </c>
      <c r="K9" s="495">
        <v>57453</v>
      </c>
      <c r="L9" s="364"/>
      <c r="M9" s="240"/>
      <c r="N9" s="828">
        <f>SUM(L9:M9)</f>
        <v>0</v>
      </c>
      <c r="O9" s="887">
        <f t="shared" si="1"/>
        <v>0</v>
      </c>
      <c r="P9" s="51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v>11850</v>
      </c>
      <c r="J10" s="240">
        <v>11850</v>
      </c>
      <c r="K10" s="495">
        <v>8774</v>
      </c>
      <c r="L10" s="364"/>
      <c r="M10" s="240"/>
      <c r="N10" s="828">
        <f t="shared" ref="N10:N11" si="2">SUM(L10:M10)</f>
        <v>0</v>
      </c>
      <c r="O10" s="887">
        <f t="shared" si="1"/>
        <v>0</v>
      </c>
      <c r="P10" s="53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35">
        <v>0</v>
      </c>
      <c r="J11" s="235">
        <v>0</v>
      </c>
      <c r="K11" s="495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8.1" customHeight="1">
      <c r="B12" s="10"/>
      <c r="C12" s="11"/>
      <c r="D12" s="11"/>
      <c r="E12" s="168"/>
      <c r="F12" s="182"/>
      <c r="G12" s="201"/>
      <c r="H12" s="435"/>
      <c r="I12" s="235"/>
      <c r="J12" s="235"/>
      <c r="K12" s="495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32">
        <f t="shared" ref="I13:J13" si="3">I14</f>
        <v>8250</v>
      </c>
      <c r="J13" s="232">
        <f t="shared" si="3"/>
        <v>8250</v>
      </c>
      <c r="K13" s="737">
        <f>K14</f>
        <v>6033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5">
        <v>8250</v>
      </c>
      <c r="J14" s="235">
        <v>8250</v>
      </c>
      <c r="K14" s="495">
        <v>6033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8.1" customHeight="1">
      <c r="B15" s="10"/>
      <c r="C15" s="11"/>
      <c r="D15" s="11"/>
      <c r="E15" s="168"/>
      <c r="F15" s="182"/>
      <c r="G15" s="201"/>
      <c r="H15" s="24"/>
      <c r="I15" s="235"/>
      <c r="J15" s="235"/>
      <c r="K15" s="495"/>
      <c r="L15" s="365"/>
      <c r="M15" s="236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J16" si="4">SUM(I17:I26)</f>
        <v>5500</v>
      </c>
      <c r="J16" s="232">
        <f t="shared" si="4"/>
        <v>5500</v>
      </c>
      <c r="K16" s="737">
        <f>SUM(K17:K26)</f>
        <v>1696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35">
        <v>700</v>
      </c>
      <c r="J17" s="235">
        <v>700</v>
      </c>
      <c r="K17" s="495">
        <v>240</v>
      </c>
      <c r="L17" s="364"/>
      <c r="M17" s="240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35">
        <v>0</v>
      </c>
      <c r="J18" s="235">
        <v>0</v>
      </c>
      <c r="K18" s="495">
        <v>0</v>
      </c>
      <c r="L18" s="365"/>
      <c r="M18" s="236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35">
        <v>2500</v>
      </c>
      <c r="J19" s="235">
        <v>2500</v>
      </c>
      <c r="K19" s="495">
        <v>852</v>
      </c>
      <c r="L19" s="365"/>
      <c r="M19" s="236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35">
        <v>300</v>
      </c>
      <c r="J20" s="235">
        <v>300</v>
      </c>
      <c r="K20" s="495">
        <v>49</v>
      </c>
      <c r="L20" s="364"/>
      <c r="M20" s="240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35">
        <v>0</v>
      </c>
      <c r="J21" s="235">
        <v>0</v>
      </c>
      <c r="K21" s="495">
        <v>0</v>
      </c>
      <c r="L21" s="365"/>
      <c r="M21" s="236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35">
        <v>0</v>
      </c>
      <c r="J22" s="235">
        <v>0</v>
      </c>
      <c r="K22" s="495">
        <v>0</v>
      </c>
      <c r="L22" s="365"/>
      <c r="M22" s="236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35">
        <v>500</v>
      </c>
      <c r="J23" s="235">
        <v>500</v>
      </c>
      <c r="K23" s="495">
        <v>0</v>
      </c>
      <c r="L23" s="365"/>
      <c r="M23" s="236"/>
      <c r="N23" s="828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35">
        <v>0</v>
      </c>
      <c r="J24" s="235">
        <v>0</v>
      </c>
      <c r="K24" s="495">
        <v>0</v>
      </c>
      <c r="L24" s="365"/>
      <c r="M24" s="236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35">
        <v>1500</v>
      </c>
      <c r="J25" s="235">
        <v>1500</v>
      </c>
      <c r="K25" s="495">
        <v>555</v>
      </c>
      <c r="L25" s="364"/>
      <c r="M25" s="240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5" s="1" customFormat="1" ht="8.1" customHeight="1">
      <c r="A27" s="163"/>
      <c r="B27" s="12"/>
      <c r="C27" s="8"/>
      <c r="D27" s="8"/>
      <c r="E27" s="421"/>
      <c r="F27" s="192"/>
      <c r="G27" s="212"/>
      <c r="H27" s="25"/>
      <c r="I27" s="235"/>
      <c r="J27" s="235"/>
      <c r="K27" s="495"/>
      <c r="L27" s="364"/>
      <c r="M27" s="240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2">
        <f t="shared" ref="I28:J28" si="6">SUM(I29:I30)</f>
        <v>3500</v>
      </c>
      <c r="J28" s="232">
        <f t="shared" si="6"/>
        <v>3500</v>
      </c>
      <c r="K28" s="737">
        <f>SUM(K29:K30)</f>
        <v>2203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5">
        <v>0</v>
      </c>
      <c r="J29" s="235">
        <v>0</v>
      </c>
      <c r="K29" s="495">
        <v>0</v>
      </c>
      <c r="L29" s="364"/>
      <c r="M29" s="240"/>
      <c r="N29" s="828">
        <f t="shared" ref="N29:N30" si="7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35">
        <v>3500</v>
      </c>
      <c r="J30" s="235">
        <v>3500</v>
      </c>
      <c r="K30" s="495">
        <v>2203</v>
      </c>
      <c r="L30" s="364"/>
      <c r="M30" s="240"/>
      <c r="N30" s="828">
        <f t="shared" si="7"/>
        <v>0</v>
      </c>
      <c r="O30" s="887">
        <f t="shared" si="1"/>
        <v>0</v>
      </c>
    </row>
    <row r="31" spans="1:15" ht="8.1" customHeight="1">
      <c r="B31" s="10"/>
      <c r="C31" s="11"/>
      <c r="D31" s="11"/>
      <c r="E31" s="168"/>
      <c r="F31" s="182"/>
      <c r="G31" s="201"/>
      <c r="H31" s="24"/>
      <c r="I31" s="235"/>
      <c r="J31" s="235"/>
      <c r="K31" s="495"/>
      <c r="L31" s="365"/>
      <c r="M31" s="236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2">
        <v>3</v>
      </c>
      <c r="J32" s="232">
        <v>3</v>
      </c>
      <c r="K32" s="737">
        <v>3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8">I8+I13+I16+I28</f>
        <v>106990</v>
      </c>
      <c r="J33" s="170">
        <f t="shared" si="8"/>
        <v>106990</v>
      </c>
      <c r="K33" s="158">
        <f t="shared" si="8"/>
        <v>76159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374"/>
      <c r="J35" s="170"/>
      <c r="K35" s="158"/>
      <c r="L35" s="377"/>
      <c r="M35" s="170"/>
      <c r="N35" s="789"/>
      <c r="O35" s="887" t="str">
        <f>IF(J35=0,"",N35/J35*100)</f>
        <v/>
      </c>
    </row>
    <row r="36" spans="1:15" ht="8.1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topLeftCell="A12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B2" s="963" t="s">
        <v>442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110</v>
      </c>
      <c r="C7" s="7" t="s">
        <v>79</v>
      </c>
      <c r="D7" s="7" t="s">
        <v>128</v>
      </c>
      <c r="E7" s="422" t="s">
        <v>706</v>
      </c>
      <c r="F7" s="5"/>
      <c r="G7" s="165"/>
      <c r="H7" s="5"/>
      <c r="I7" s="373"/>
      <c r="J7" s="383"/>
      <c r="K7" s="755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32">
        <f t="shared" ref="I8:J8" si="0">SUM(I9:I12)</f>
        <v>181050</v>
      </c>
      <c r="J8" s="232">
        <f t="shared" si="0"/>
        <v>181050</v>
      </c>
      <c r="K8" s="737">
        <f>SUM(K9:K12)</f>
        <v>121977</v>
      </c>
      <c r="L8" s="496">
        <f>SUM(L9:L12)</f>
        <v>0</v>
      </c>
      <c r="M8" s="38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382">
        <v>144840</v>
      </c>
      <c r="J9" s="382">
        <v>144840</v>
      </c>
      <c r="K9" s="746">
        <v>100095</v>
      </c>
      <c r="L9" s="497"/>
      <c r="M9" s="382"/>
      <c r="N9" s="828">
        <f>SUM(L9:M9)</f>
        <v>0</v>
      </c>
      <c r="O9" s="887">
        <f t="shared" si="1"/>
        <v>0</v>
      </c>
      <c r="P9" s="51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382">
        <v>36210</v>
      </c>
      <c r="J10" s="382">
        <v>36210</v>
      </c>
      <c r="K10" s="746">
        <v>21882</v>
      </c>
      <c r="L10" s="497"/>
      <c r="M10" s="382"/>
      <c r="N10" s="828">
        <f t="shared" ref="N10:N11" si="2">SUM(L10:M10)</f>
        <v>0</v>
      </c>
      <c r="O10" s="887">
        <f t="shared" si="1"/>
        <v>0</v>
      </c>
      <c r="P10" s="53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35">
        <v>0</v>
      </c>
      <c r="J11" s="235">
        <v>0</v>
      </c>
      <c r="K11" s="495">
        <v>0</v>
      </c>
      <c r="L11" s="497"/>
      <c r="M11" s="382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35"/>
      <c r="J12" s="235"/>
      <c r="K12" s="495"/>
      <c r="L12" s="497"/>
      <c r="M12" s="38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32">
        <f t="shared" ref="I13:J13" si="3">I14</f>
        <v>15400</v>
      </c>
      <c r="J13" s="232">
        <f t="shared" si="3"/>
        <v>15400</v>
      </c>
      <c r="K13" s="737">
        <f>K14</f>
        <v>10510</v>
      </c>
      <c r="L13" s="496">
        <f>L14</f>
        <v>0</v>
      </c>
      <c r="M13" s="38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5">
        <v>15400</v>
      </c>
      <c r="J14" s="235">
        <v>15400</v>
      </c>
      <c r="K14" s="495">
        <v>10510</v>
      </c>
      <c r="L14" s="497"/>
      <c r="M14" s="38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5"/>
      <c r="J15" s="235"/>
      <c r="K15" s="495"/>
      <c r="L15" s="365"/>
      <c r="M15" s="236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J16" si="4">SUM(I17:I26)</f>
        <v>15500</v>
      </c>
      <c r="J16" s="232">
        <f t="shared" si="4"/>
        <v>15500</v>
      </c>
      <c r="K16" s="737">
        <f>SUM(K17:K26)</f>
        <v>5104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35">
        <v>5000</v>
      </c>
      <c r="J17" s="235">
        <v>5000</v>
      </c>
      <c r="K17" s="495">
        <v>1499</v>
      </c>
      <c r="L17" s="364"/>
      <c r="M17" s="240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35">
        <v>0</v>
      </c>
      <c r="J18" s="235">
        <v>0</v>
      </c>
      <c r="K18" s="495">
        <v>0</v>
      </c>
      <c r="L18" s="365"/>
      <c r="M18" s="236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35">
        <v>500</v>
      </c>
      <c r="J19" s="235">
        <v>500</v>
      </c>
      <c r="K19" s="495">
        <v>0</v>
      </c>
      <c r="L19" s="365"/>
      <c r="M19" s="236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35">
        <v>1000</v>
      </c>
      <c r="J20" s="235">
        <v>1000</v>
      </c>
      <c r="K20" s="495">
        <v>0</v>
      </c>
      <c r="L20" s="364"/>
      <c r="M20" s="240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35">
        <v>0</v>
      </c>
      <c r="J21" s="235">
        <v>0</v>
      </c>
      <c r="K21" s="495">
        <v>0</v>
      </c>
      <c r="L21" s="365"/>
      <c r="M21" s="236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35">
        <v>0</v>
      </c>
      <c r="J22" s="235">
        <v>0</v>
      </c>
      <c r="K22" s="495">
        <v>0</v>
      </c>
      <c r="L22" s="365"/>
      <c r="M22" s="236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35">
        <v>1000</v>
      </c>
      <c r="J23" s="235">
        <v>1000</v>
      </c>
      <c r="K23" s="495">
        <v>0</v>
      </c>
      <c r="L23" s="365"/>
      <c r="M23" s="236"/>
      <c r="N23" s="828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35">
        <v>0</v>
      </c>
      <c r="J24" s="235">
        <v>0</v>
      </c>
      <c r="K24" s="495">
        <v>0</v>
      </c>
      <c r="L24" s="365"/>
      <c r="M24" s="236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35">
        <v>8000</v>
      </c>
      <c r="J25" s="235">
        <v>8000</v>
      </c>
      <c r="K25" s="495">
        <v>3605</v>
      </c>
      <c r="L25" s="364"/>
      <c r="M25" s="240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35"/>
      <c r="J27" s="235"/>
      <c r="K27" s="495"/>
      <c r="L27" s="364"/>
      <c r="M27" s="240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2">
        <f t="shared" ref="I28:J28" si="6">SUM(I29:I30)</f>
        <v>5000</v>
      </c>
      <c r="J28" s="232">
        <f t="shared" si="6"/>
        <v>5000</v>
      </c>
      <c r="K28" s="737">
        <f>SUM(K29:K30)</f>
        <v>0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5">
        <v>0</v>
      </c>
      <c r="J29" s="235">
        <v>0</v>
      </c>
      <c r="K29" s="495">
        <v>0</v>
      </c>
      <c r="L29" s="364"/>
      <c r="M29" s="240"/>
      <c r="N29" s="828">
        <f t="shared" ref="N29:N30" si="7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35">
        <v>5000</v>
      </c>
      <c r="J30" s="235">
        <v>5000</v>
      </c>
      <c r="K30" s="495">
        <v>0</v>
      </c>
      <c r="L30" s="364"/>
      <c r="M30" s="240"/>
      <c r="N30" s="828">
        <f t="shared" si="7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5"/>
      <c r="J31" s="235"/>
      <c r="K31" s="495"/>
      <c r="L31" s="365"/>
      <c r="M31" s="236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56" t="s">
        <v>900</v>
      </c>
      <c r="J32" s="356" t="s">
        <v>900</v>
      </c>
      <c r="K32" s="738" t="s">
        <v>829</v>
      </c>
      <c r="L32" s="493"/>
      <c r="M32" s="384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8">I8+I13+I16+I28</f>
        <v>216950</v>
      </c>
      <c r="J33" s="170">
        <f t="shared" si="8"/>
        <v>216950</v>
      </c>
      <c r="K33" s="158">
        <f t="shared" si="8"/>
        <v>137591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/>
      <c r="J34" s="15"/>
      <c r="K34" s="158"/>
      <c r="L34" s="377"/>
      <c r="M34" s="170"/>
      <c r="N34" s="789"/>
      <c r="O34" s="886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/>
      <c r="J35" s="15"/>
      <c r="K35" s="158"/>
      <c r="L35" s="377"/>
      <c r="M35" s="170"/>
      <c r="N35" s="789"/>
      <c r="O35" s="886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L37" s="892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96"/>
  <sheetViews>
    <sheetView topLeftCell="A4" zoomScaleNormal="100" workbookViewId="0">
      <selection activeCell="L10" sqref="L10"/>
    </sheetView>
  </sheetViews>
  <sheetFormatPr defaultColWidth="9.140625" defaultRowHeight="12.75"/>
  <cols>
    <col min="1" max="1" width="4.42578125" style="166" customWidth="1"/>
    <col min="2" max="2" width="4.7109375" style="166" customWidth="1"/>
    <col min="3" max="3" width="5.140625" style="166" customWidth="1"/>
    <col min="4" max="5" width="5" style="166" customWidth="1"/>
    <col min="6" max="7" width="8.7109375" style="171" customWidth="1"/>
    <col min="8" max="8" width="50.7109375" style="166" customWidth="1"/>
    <col min="9" max="10" width="14.7109375" style="166" customWidth="1"/>
    <col min="11" max="11" width="12.5703125" style="166" customWidth="1"/>
    <col min="12" max="13" width="14.7109375" style="166" customWidth="1"/>
    <col min="14" max="14" width="15.7109375" style="166" customWidth="1"/>
    <col min="15" max="15" width="7.7109375" style="219" customWidth="1"/>
    <col min="16" max="16384" width="9.140625" style="166"/>
  </cols>
  <sheetData>
    <row r="1" spans="2:18" ht="13.5" thickBot="1"/>
    <row r="2" spans="2:18" s="249" customFormat="1" ht="20.100000000000001" customHeight="1" thickTop="1" thickBot="1">
      <c r="B2" s="963" t="s">
        <v>623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2:18" s="163" customFormat="1" ht="8.1" customHeight="1" thickTop="1" thickBot="1">
      <c r="F3" s="164"/>
      <c r="G3" s="164"/>
      <c r="H3" s="966"/>
      <c r="I3" s="966"/>
      <c r="J3" s="409"/>
      <c r="K3" s="735"/>
      <c r="L3" s="76"/>
      <c r="M3" s="76"/>
      <c r="N3" s="76"/>
      <c r="O3" s="213"/>
    </row>
    <row r="4" spans="2:18" s="163" customFormat="1" ht="39" customHeight="1"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87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2:18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88"/>
      <c r="K5" s="962"/>
      <c r="L5" s="380" t="s">
        <v>530</v>
      </c>
      <c r="M5" s="247" t="s">
        <v>531</v>
      </c>
      <c r="N5" s="779" t="s">
        <v>320</v>
      </c>
      <c r="O5" s="982"/>
    </row>
    <row r="6" spans="2:18" s="164" customFormat="1" ht="12.95" customHeight="1"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336">
        <v>9</v>
      </c>
      <c r="K6" s="510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2:18" s="164" customFormat="1" ht="12.95" customHeight="1">
      <c r="B7" s="6" t="s">
        <v>110</v>
      </c>
      <c r="C7" s="7" t="s">
        <v>79</v>
      </c>
      <c r="D7" s="7" t="s">
        <v>129</v>
      </c>
      <c r="E7" s="422" t="s">
        <v>706</v>
      </c>
      <c r="F7" s="165"/>
      <c r="G7" s="165"/>
      <c r="H7" s="165"/>
      <c r="I7" s="165"/>
      <c r="J7" s="373"/>
      <c r="K7" s="511"/>
      <c r="L7" s="4"/>
      <c r="M7" s="165"/>
      <c r="N7" s="826"/>
      <c r="O7" s="885"/>
    </row>
    <row r="8" spans="2:18" s="163" customFormat="1" ht="12.95" customHeight="1">
      <c r="B8" s="169"/>
      <c r="C8" s="8"/>
      <c r="D8" s="8"/>
      <c r="E8" s="8"/>
      <c r="F8" s="181">
        <v>611000</v>
      </c>
      <c r="G8" s="200"/>
      <c r="H8" s="25" t="s">
        <v>140</v>
      </c>
      <c r="I8" s="232">
        <f t="shared" ref="I8:L8" si="0">SUM(I9:I12)</f>
        <v>124260</v>
      </c>
      <c r="J8" s="232">
        <f t="shared" si="0"/>
        <v>124260</v>
      </c>
      <c r="K8" s="360">
        <f t="shared" si="0"/>
        <v>90318</v>
      </c>
      <c r="L8" s="490">
        <f t="shared" si="0"/>
        <v>0</v>
      </c>
      <c r="M8" s="241">
        <f>SUM(M9:M12)</f>
        <v>0</v>
      </c>
      <c r="N8" s="827">
        <f>SUM(N9:N12)</f>
        <v>0</v>
      </c>
      <c r="O8" s="886">
        <f t="shared" ref="O8:O34" si="1">IF(J8=0,"",N8/J8*100)</f>
        <v>0</v>
      </c>
    </row>
    <row r="9" spans="2:18" ht="12.95" customHeight="1">
      <c r="B9" s="167"/>
      <c r="C9" s="168"/>
      <c r="D9" s="168"/>
      <c r="E9" s="168"/>
      <c r="F9" s="182">
        <v>611100</v>
      </c>
      <c r="G9" s="201"/>
      <c r="H9" s="435" t="s">
        <v>161</v>
      </c>
      <c r="I9" s="240">
        <v>100930</v>
      </c>
      <c r="J9" s="240">
        <v>100930</v>
      </c>
      <c r="K9" s="359">
        <v>74390</v>
      </c>
      <c r="L9" s="364"/>
      <c r="M9" s="240"/>
      <c r="N9" s="828">
        <f>SUM(L9:M9)</f>
        <v>0</v>
      </c>
      <c r="O9" s="887">
        <f t="shared" si="1"/>
        <v>0</v>
      </c>
    </row>
    <row r="10" spans="2:18" ht="12.95" customHeight="1">
      <c r="B10" s="167"/>
      <c r="C10" s="168"/>
      <c r="D10" s="168"/>
      <c r="E10" s="168"/>
      <c r="F10" s="182">
        <v>611200</v>
      </c>
      <c r="G10" s="201"/>
      <c r="H10" s="24" t="s">
        <v>162</v>
      </c>
      <c r="I10" s="240">
        <v>23330</v>
      </c>
      <c r="J10" s="240">
        <v>23330</v>
      </c>
      <c r="K10" s="359">
        <v>15928</v>
      </c>
      <c r="L10" s="364"/>
      <c r="M10" s="240"/>
      <c r="N10" s="828">
        <f t="shared" ref="N10:N11" si="2">SUM(L10:M10)</f>
        <v>0</v>
      </c>
      <c r="O10" s="887">
        <f t="shared" si="1"/>
        <v>0</v>
      </c>
    </row>
    <row r="11" spans="2:18" ht="12.95" customHeight="1">
      <c r="B11" s="167"/>
      <c r="C11" s="168"/>
      <c r="D11" s="168"/>
      <c r="E11" s="168"/>
      <c r="F11" s="182">
        <v>611200</v>
      </c>
      <c r="G11" s="201"/>
      <c r="H11" s="442" t="s">
        <v>435</v>
      </c>
      <c r="I11" s="235">
        <v>0</v>
      </c>
      <c r="J11" s="235">
        <v>0</v>
      </c>
      <c r="K11" s="359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2:18" ht="8.1" customHeight="1">
      <c r="B12" s="167"/>
      <c r="C12" s="168"/>
      <c r="D12" s="168"/>
      <c r="E12" s="168"/>
      <c r="F12" s="182"/>
      <c r="G12" s="201"/>
      <c r="H12" s="435"/>
      <c r="I12" s="235"/>
      <c r="J12" s="235"/>
      <c r="K12" s="359"/>
      <c r="L12" s="364"/>
      <c r="M12" s="240"/>
      <c r="N12" s="828"/>
      <c r="O12" s="887" t="str">
        <f t="shared" si="1"/>
        <v/>
      </c>
    </row>
    <row r="13" spans="2:18" s="163" customFormat="1" ht="12.95" customHeight="1">
      <c r="B13" s="169"/>
      <c r="C13" s="8"/>
      <c r="D13" s="8"/>
      <c r="E13" s="8"/>
      <c r="F13" s="181">
        <v>612000</v>
      </c>
      <c r="G13" s="200"/>
      <c r="H13" s="25" t="s">
        <v>139</v>
      </c>
      <c r="I13" s="232">
        <f t="shared" ref="I13:L13" si="3">I14</f>
        <v>10760</v>
      </c>
      <c r="J13" s="232">
        <f t="shared" si="3"/>
        <v>10760</v>
      </c>
      <c r="K13" s="360">
        <f t="shared" si="3"/>
        <v>7811</v>
      </c>
      <c r="L13" s="490">
        <f t="shared" si="3"/>
        <v>0</v>
      </c>
      <c r="M13" s="241">
        <f>M14</f>
        <v>0</v>
      </c>
      <c r="N13" s="827">
        <f>N14</f>
        <v>0</v>
      </c>
      <c r="O13" s="886">
        <f t="shared" si="1"/>
        <v>0</v>
      </c>
      <c r="R13" s="54"/>
    </row>
    <row r="14" spans="2:18" ht="12.95" customHeight="1">
      <c r="B14" s="167"/>
      <c r="C14" s="168"/>
      <c r="D14" s="168"/>
      <c r="E14" s="168"/>
      <c r="F14" s="182">
        <v>612100</v>
      </c>
      <c r="G14" s="201"/>
      <c r="H14" s="437" t="s">
        <v>81</v>
      </c>
      <c r="I14" s="235">
        <v>10760</v>
      </c>
      <c r="J14" s="235">
        <v>10760</v>
      </c>
      <c r="K14" s="359">
        <v>7811</v>
      </c>
      <c r="L14" s="364"/>
      <c r="M14" s="240"/>
      <c r="N14" s="828">
        <f>SUM(L14:M14)</f>
        <v>0</v>
      </c>
      <c r="O14" s="887">
        <f t="shared" si="1"/>
        <v>0</v>
      </c>
      <c r="R14" s="45"/>
    </row>
    <row r="15" spans="2:18" ht="8.1" customHeight="1">
      <c r="B15" s="167"/>
      <c r="C15" s="168"/>
      <c r="D15" s="168"/>
      <c r="E15" s="168"/>
      <c r="F15" s="182"/>
      <c r="G15" s="201"/>
      <c r="H15" s="24"/>
      <c r="I15" s="235"/>
      <c r="J15" s="235"/>
      <c r="K15" s="359"/>
      <c r="L15" s="365"/>
      <c r="M15" s="236"/>
      <c r="N15" s="791"/>
      <c r="O15" s="887" t="str">
        <f t="shared" si="1"/>
        <v/>
      </c>
    </row>
    <row r="16" spans="2:18" s="163" customFormat="1" ht="12.95" customHeight="1">
      <c r="B16" s="169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L16" si="4">SUM(I17:I26)</f>
        <v>5500</v>
      </c>
      <c r="J16" s="232">
        <f t="shared" si="4"/>
        <v>5500</v>
      </c>
      <c r="K16" s="360">
        <f t="shared" si="4"/>
        <v>1977</v>
      </c>
      <c r="L16" s="491">
        <f t="shared" si="4"/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2:16" ht="12.95" customHeight="1">
      <c r="B17" s="167"/>
      <c r="C17" s="168"/>
      <c r="D17" s="168"/>
      <c r="E17" s="168"/>
      <c r="F17" s="182">
        <v>613100</v>
      </c>
      <c r="G17" s="201"/>
      <c r="H17" s="24" t="s">
        <v>82</v>
      </c>
      <c r="I17" s="235">
        <v>500</v>
      </c>
      <c r="J17" s="235">
        <v>500</v>
      </c>
      <c r="K17" s="359">
        <v>50</v>
      </c>
      <c r="L17" s="365"/>
      <c r="M17" s="236"/>
      <c r="N17" s="828">
        <f t="shared" ref="N17:N26" si="5">SUM(L17:M17)</f>
        <v>0</v>
      </c>
      <c r="O17" s="887">
        <f t="shared" si="1"/>
        <v>0</v>
      </c>
    </row>
    <row r="18" spans="2:16" ht="12.95" customHeight="1">
      <c r="B18" s="167"/>
      <c r="C18" s="168"/>
      <c r="D18" s="168"/>
      <c r="E18" s="168"/>
      <c r="F18" s="182">
        <v>613200</v>
      </c>
      <c r="G18" s="201"/>
      <c r="H18" s="24" t="s">
        <v>83</v>
      </c>
      <c r="I18" s="235">
        <v>0</v>
      </c>
      <c r="J18" s="235">
        <v>0</v>
      </c>
      <c r="K18" s="359">
        <v>0</v>
      </c>
      <c r="L18" s="365"/>
      <c r="M18" s="236"/>
      <c r="N18" s="828">
        <f t="shared" si="5"/>
        <v>0</v>
      </c>
      <c r="O18" s="887" t="str">
        <f t="shared" si="1"/>
        <v/>
      </c>
    </row>
    <row r="19" spans="2:16" ht="12.95" customHeight="1">
      <c r="B19" s="167"/>
      <c r="C19" s="168"/>
      <c r="D19" s="168"/>
      <c r="E19" s="168"/>
      <c r="F19" s="182">
        <v>613300</v>
      </c>
      <c r="G19" s="201"/>
      <c r="H19" s="435" t="s">
        <v>163</v>
      </c>
      <c r="I19" s="235">
        <v>2500</v>
      </c>
      <c r="J19" s="235">
        <v>2500</v>
      </c>
      <c r="K19" s="359">
        <v>1202</v>
      </c>
      <c r="L19" s="365"/>
      <c r="M19" s="236"/>
      <c r="N19" s="828">
        <f t="shared" si="5"/>
        <v>0</v>
      </c>
      <c r="O19" s="887">
        <f t="shared" si="1"/>
        <v>0</v>
      </c>
    </row>
    <row r="20" spans="2:16" ht="12.95" customHeight="1">
      <c r="B20" s="167"/>
      <c r="C20" s="168"/>
      <c r="D20" s="168"/>
      <c r="E20" s="168"/>
      <c r="F20" s="182">
        <v>613400</v>
      </c>
      <c r="G20" s="201"/>
      <c r="H20" s="24" t="s">
        <v>142</v>
      </c>
      <c r="I20" s="235">
        <v>600</v>
      </c>
      <c r="J20" s="235">
        <v>600</v>
      </c>
      <c r="K20" s="359">
        <v>327</v>
      </c>
      <c r="L20" s="365"/>
      <c r="M20" s="236"/>
      <c r="N20" s="828">
        <f t="shared" si="5"/>
        <v>0</v>
      </c>
      <c r="O20" s="887">
        <f t="shared" si="1"/>
        <v>0</v>
      </c>
    </row>
    <row r="21" spans="2:16" ht="12.95" customHeight="1">
      <c r="B21" s="167"/>
      <c r="C21" s="168"/>
      <c r="D21" s="168"/>
      <c r="E21" s="168"/>
      <c r="F21" s="182">
        <v>613500</v>
      </c>
      <c r="G21" s="201"/>
      <c r="H21" s="24" t="s">
        <v>84</v>
      </c>
      <c r="I21" s="235">
        <v>0</v>
      </c>
      <c r="J21" s="235">
        <v>0</v>
      </c>
      <c r="K21" s="359">
        <v>0</v>
      </c>
      <c r="L21" s="365"/>
      <c r="M21" s="236"/>
      <c r="N21" s="828">
        <f t="shared" si="5"/>
        <v>0</v>
      </c>
      <c r="O21" s="887" t="str">
        <f t="shared" si="1"/>
        <v/>
      </c>
    </row>
    <row r="22" spans="2:16" ht="12.95" customHeight="1">
      <c r="B22" s="167"/>
      <c r="C22" s="168"/>
      <c r="D22" s="168"/>
      <c r="E22" s="168"/>
      <c r="F22" s="182">
        <v>613600</v>
      </c>
      <c r="G22" s="201"/>
      <c r="H22" s="435" t="s">
        <v>164</v>
      </c>
      <c r="I22" s="235">
        <v>0</v>
      </c>
      <c r="J22" s="235">
        <v>0</v>
      </c>
      <c r="K22" s="359">
        <v>0</v>
      </c>
      <c r="L22" s="365"/>
      <c r="M22" s="236"/>
      <c r="N22" s="828">
        <f t="shared" si="5"/>
        <v>0</v>
      </c>
      <c r="O22" s="887" t="str">
        <f t="shared" si="1"/>
        <v/>
      </c>
    </row>
    <row r="23" spans="2:16" ht="12.95" customHeight="1">
      <c r="B23" s="167"/>
      <c r="C23" s="168"/>
      <c r="D23" s="168"/>
      <c r="E23" s="168"/>
      <c r="F23" s="182">
        <v>613700</v>
      </c>
      <c r="G23" s="201"/>
      <c r="H23" s="24" t="s">
        <v>85</v>
      </c>
      <c r="I23" s="235">
        <v>500</v>
      </c>
      <c r="J23" s="235">
        <v>500</v>
      </c>
      <c r="K23" s="359">
        <v>0</v>
      </c>
      <c r="L23" s="365"/>
      <c r="M23" s="236"/>
      <c r="N23" s="828">
        <f t="shared" si="5"/>
        <v>0</v>
      </c>
      <c r="O23" s="887">
        <f t="shared" si="1"/>
        <v>0</v>
      </c>
    </row>
    <row r="24" spans="2:16" ht="12.95" customHeight="1">
      <c r="B24" s="167"/>
      <c r="C24" s="168"/>
      <c r="D24" s="168"/>
      <c r="E24" s="168"/>
      <c r="F24" s="182">
        <v>613800</v>
      </c>
      <c r="G24" s="201"/>
      <c r="H24" s="24" t="s">
        <v>143</v>
      </c>
      <c r="I24" s="235">
        <v>0</v>
      </c>
      <c r="J24" s="235">
        <v>0</v>
      </c>
      <c r="K24" s="359">
        <v>0</v>
      </c>
      <c r="L24" s="365"/>
      <c r="M24" s="236"/>
      <c r="N24" s="828">
        <f t="shared" si="5"/>
        <v>0</v>
      </c>
      <c r="O24" s="887" t="str">
        <f t="shared" si="1"/>
        <v/>
      </c>
      <c r="P24" s="45"/>
    </row>
    <row r="25" spans="2:16" ht="12.95" customHeight="1">
      <c r="B25" s="167"/>
      <c r="C25" s="168"/>
      <c r="D25" s="168"/>
      <c r="E25" s="168"/>
      <c r="F25" s="182">
        <v>613900</v>
      </c>
      <c r="G25" s="201"/>
      <c r="H25" s="24" t="s">
        <v>144</v>
      </c>
      <c r="I25" s="235">
        <v>1400</v>
      </c>
      <c r="J25" s="235">
        <v>1400</v>
      </c>
      <c r="K25" s="359">
        <v>398</v>
      </c>
      <c r="L25" s="364"/>
      <c r="M25" s="240"/>
      <c r="N25" s="828">
        <f t="shared" si="5"/>
        <v>0</v>
      </c>
      <c r="O25" s="887">
        <f t="shared" si="1"/>
        <v>0</v>
      </c>
    </row>
    <row r="26" spans="2:16" ht="12.95" customHeight="1">
      <c r="B26" s="167"/>
      <c r="C26" s="168"/>
      <c r="D26" s="168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359">
        <v>0</v>
      </c>
      <c r="L26" s="365"/>
      <c r="M26" s="236"/>
      <c r="N26" s="828">
        <f t="shared" si="5"/>
        <v>0</v>
      </c>
      <c r="O26" s="887" t="str">
        <f t="shared" si="1"/>
        <v/>
      </c>
    </row>
    <row r="27" spans="2:16" ht="8.1" customHeight="1">
      <c r="B27" s="167"/>
      <c r="C27" s="168"/>
      <c r="D27" s="168"/>
      <c r="E27" s="168"/>
      <c r="F27" s="182"/>
      <c r="G27" s="201"/>
      <c r="H27" s="24"/>
      <c r="I27" s="232"/>
      <c r="J27" s="232"/>
      <c r="K27" s="360"/>
      <c r="L27" s="492"/>
      <c r="M27" s="237"/>
      <c r="N27" s="789"/>
      <c r="O27" s="887" t="str">
        <f t="shared" si="1"/>
        <v/>
      </c>
    </row>
    <row r="28" spans="2:16" s="163" customFormat="1" ht="12.95" customHeight="1">
      <c r="B28" s="169"/>
      <c r="C28" s="8"/>
      <c r="D28" s="8"/>
      <c r="E28" s="421"/>
      <c r="F28" s="192">
        <v>614000</v>
      </c>
      <c r="G28" s="212"/>
      <c r="H28" s="25" t="s">
        <v>165</v>
      </c>
      <c r="I28" s="232">
        <f t="shared" ref="I28:M28" si="6">SUM(I29:I29)</f>
        <v>150000</v>
      </c>
      <c r="J28" s="232">
        <f t="shared" si="6"/>
        <v>150000</v>
      </c>
      <c r="K28" s="360">
        <f t="shared" si="6"/>
        <v>88605</v>
      </c>
      <c r="L28" s="492">
        <f t="shared" si="6"/>
        <v>0</v>
      </c>
      <c r="M28" s="237">
        <f t="shared" si="6"/>
        <v>0</v>
      </c>
      <c r="N28" s="789">
        <f t="shared" ref="N28" si="7">SUM(N29:N29)</f>
        <v>0</v>
      </c>
      <c r="O28" s="886">
        <f t="shared" si="1"/>
        <v>0</v>
      </c>
    </row>
    <row r="29" spans="2:16" ht="24" customHeight="1">
      <c r="B29" s="167"/>
      <c r="C29" s="168"/>
      <c r="D29" s="24"/>
      <c r="E29" s="24"/>
      <c r="F29" s="222">
        <v>614200</v>
      </c>
      <c r="G29" s="429" t="s">
        <v>622</v>
      </c>
      <c r="H29" s="443" t="s">
        <v>732</v>
      </c>
      <c r="I29" s="235">
        <v>150000</v>
      </c>
      <c r="J29" s="235">
        <v>150000</v>
      </c>
      <c r="K29" s="359">
        <v>88605</v>
      </c>
      <c r="L29" s="364"/>
      <c r="M29" s="240"/>
      <c r="N29" s="828">
        <f>SUM(L29:M29)</f>
        <v>0</v>
      </c>
      <c r="O29" s="887">
        <f t="shared" si="1"/>
        <v>0</v>
      </c>
    </row>
    <row r="30" spans="2:16" ht="8.1" customHeight="1">
      <c r="B30" s="167"/>
      <c r="C30" s="168"/>
      <c r="D30" s="168"/>
      <c r="E30" s="417"/>
      <c r="F30" s="190"/>
      <c r="G30" s="208"/>
      <c r="H30" s="24"/>
      <c r="I30" s="235"/>
      <c r="J30" s="235"/>
      <c r="K30" s="359"/>
      <c r="L30" s="365"/>
      <c r="M30" s="236"/>
      <c r="N30" s="791"/>
      <c r="O30" s="887" t="str">
        <f t="shared" si="1"/>
        <v/>
      </c>
    </row>
    <row r="31" spans="2:16" s="163" customFormat="1" ht="12.95" customHeight="1">
      <c r="B31" s="169"/>
      <c r="C31" s="8"/>
      <c r="D31" s="8"/>
      <c r="E31" s="8"/>
      <c r="F31" s="181">
        <v>821000</v>
      </c>
      <c r="G31" s="200"/>
      <c r="H31" s="25" t="s">
        <v>88</v>
      </c>
      <c r="I31" s="232">
        <f>SUM(I32:I33)</f>
        <v>2000</v>
      </c>
      <c r="J31" s="232">
        <f>SUM(J32:J33)</f>
        <v>2000</v>
      </c>
      <c r="K31" s="360">
        <f t="shared" ref="K31" si="8">SUM(K32:K33)</f>
        <v>937</v>
      </c>
      <c r="L31" s="492">
        <f t="shared" ref="L31" si="9">SUM(L32:L33)</f>
        <v>0</v>
      </c>
      <c r="M31" s="237">
        <f>SUM(M32:M33)</f>
        <v>0</v>
      </c>
      <c r="N31" s="789">
        <f>SUM(N32:N33)</f>
        <v>0</v>
      </c>
      <c r="O31" s="886">
        <f t="shared" si="1"/>
        <v>0</v>
      </c>
    </row>
    <row r="32" spans="2:16" ht="12.95" customHeight="1">
      <c r="B32" s="167"/>
      <c r="C32" s="168"/>
      <c r="D32" s="168"/>
      <c r="E32" s="168"/>
      <c r="F32" s="182">
        <v>821200</v>
      </c>
      <c r="G32" s="201"/>
      <c r="H32" s="24" t="s">
        <v>89</v>
      </c>
      <c r="I32" s="235">
        <v>0</v>
      </c>
      <c r="J32" s="235">
        <v>0</v>
      </c>
      <c r="K32" s="359">
        <v>0</v>
      </c>
      <c r="L32" s="364"/>
      <c r="M32" s="240"/>
      <c r="N32" s="828">
        <f t="shared" ref="N32:N33" si="10">SUM(L32:M32)</f>
        <v>0</v>
      </c>
      <c r="O32" s="887" t="str">
        <f t="shared" si="1"/>
        <v/>
      </c>
    </row>
    <row r="33" spans="1:18" ht="12.95" customHeight="1">
      <c r="B33" s="167"/>
      <c r="C33" s="168"/>
      <c r="D33" s="168"/>
      <c r="E33" s="168"/>
      <c r="F33" s="182">
        <v>821300</v>
      </c>
      <c r="G33" s="201"/>
      <c r="H33" s="24" t="s">
        <v>90</v>
      </c>
      <c r="I33" s="235">
        <v>2000</v>
      </c>
      <c r="J33" s="235">
        <v>2000</v>
      </c>
      <c r="K33" s="359">
        <v>937</v>
      </c>
      <c r="L33" s="365"/>
      <c r="M33" s="236"/>
      <c r="N33" s="828">
        <f t="shared" si="10"/>
        <v>0</v>
      </c>
      <c r="O33" s="887">
        <f t="shared" si="1"/>
        <v>0</v>
      </c>
    </row>
    <row r="34" spans="1:18" ht="8.1" customHeight="1">
      <c r="B34" s="167"/>
      <c r="C34" s="168"/>
      <c r="D34" s="168"/>
      <c r="E34" s="168"/>
      <c r="F34" s="182"/>
      <c r="G34" s="201"/>
      <c r="H34" s="24"/>
      <c r="I34" s="236"/>
      <c r="J34" s="236"/>
      <c r="K34" s="528"/>
      <c r="L34" s="365"/>
      <c r="M34" s="236"/>
      <c r="N34" s="791"/>
      <c r="O34" s="887" t="str">
        <f t="shared" si="1"/>
        <v/>
      </c>
    </row>
    <row r="35" spans="1:18" s="163" customFormat="1" ht="12.95" customHeight="1">
      <c r="B35" s="169"/>
      <c r="C35" s="8"/>
      <c r="D35" s="8"/>
      <c r="E35" s="8"/>
      <c r="F35" s="181"/>
      <c r="G35" s="200"/>
      <c r="H35" s="25" t="s">
        <v>91</v>
      </c>
      <c r="I35" s="241">
        <v>4</v>
      </c>
      <c r="J35" s="241">
        <v>4</v>
      </c>
      <c r="K35" s="514">
        <v>4</v>
      </c>
      <c r="L35" s="490"/>
      <c r="M35" s="241"/>
      <c r="N35" s="789"/>
      <c r="O35" s="887"/>
    </row>
    <row r="36" spans="1:18" s="163" customFormat="1" ht="12.95" customHeight="1">
      <c r="B36" s="169"/>
      <c r="C36" s="8"/>
      <c r="D36" s="8"/>
      <c r="E36" s="8"/>
      <c r="F36" s="181"/>
      <c r="G36" s="200"/>
      <c r="H36" s="8" t="s">
        <v>105</v>
      </c>
      <c r="I36" s="170">
        <f t="shared" ref="I36:N36" si="11">I31+I28+I16+I13+I8</f>
        <v>292520</v>
      </c>
      <c r="J36" s="374">
        <f t="shared" si="11"/>
        <v>292520</v>
      </c>
      <c r="K36" s="363">
        <f t="shared" ref="K36" si="12">K31+K28+K16+K13+K8</f>
        <v>189648</v>
      </c>
      <c r="L36" s="377">
        <f t="shared" si="11"/>
        <v>0</v>
      </c>
      <c r="M36" s="170">
        <f t="shared" si="11"/>
        <v>0</v>
      </c>
      <c r="N36" s="789">
        <f t="shared" si="11"/>
        <v>0</v>
      </c>
      <c r="O36" s="886">
        <f>IF(J36=0,"",N36/J36*100)</f>
        <v>0</v>
      </c>
    </row>
    <row r="37" spans="1:18" s="163" customFormat="1" ht="12.95" customHeight="1">
      <c r="B37" s="169"/>
      <c r="C37" s="8"/>
      <c r="D37" s="8"/>
      <c r="E37" s="8"/>
      <c r="F37" s="181"/>
      <c r="G37" s="200"/>
      <c r="H37" s="8" t="s">
        <v>92</v>
      </c>
      <c r="I37" s="170">
        <f>I36+'5'!I33+'4'!I33+'3'!I33+'4 (S)'!I36+'2'!I52</f>
        <v>3477290</v>
      </c>
      <c r="J37" s="374">
        <f>J36+'5'!J33+'4'!J33+'3'!J33+'4 (S)'!J36+'2'!J52</f>
        <v>3397290</v>
      </c>
      <c r="K37" s="363">
        <f>K36+'5'!K33+'4'!K33+'3'!K33+'4 (S)'!K36+'2'!K52</f>
        <v>2254885</v>
      </c>
      <c r="L37" s="377">
        <f>L36+'5'!L33+'4'!L33+'3'!L33+'4 (S)'!L36+'2'!L52</f>
        <v>0</v>
      </c>
      <c r="M37" s="170">
        <f>M36+'5'!M33+'4'!M33+'3'!M33+'4 (S)'!M36+'2'!M52</f>
        <v>0</v>
      </c>
      <c r="N37" s="789">
        <f>N36+'5'!N33+'4'!N33+'3'!N33+'4 (S)'!N36+'2'!N52</f>
        <v>0</v>
      </c>
      <c r="O37" s="886">
        <f t="shared" ref="O37:O38" si="13">IF(J37=0,"",N37/J37*100)</f>
        <v>0</v>
      </c>
    </row>
    <row r="38" spans="1:18" s="163" customFormat="1" ht="12.95" customHeight="1">
      <c r="B38" s="169"/>
      <c r="C38" s="8"/>
      <c r="D38" s="8"/>
      <c r="E38" s="8"/>
      <c r="F38" s="181"/>
      <c r="G38" s="200"/>
      <c r="H38" s="8" t="s">
        <v>93</v>
      </c>
      <c r="I38" s="416">
        <f>I37</f>
        <v>3477290</v>
      </c>
      <c r="J38" s="821">
        <f t="shared" ref="J38:N38" si="14">J37</f>
        <v>3397290</v>
      </c>
      <c r="K38" s="529">
        <f t="shared" ref="K38" si="15">K37</f>
        <v>2254885</v>
      </c>
      <c r="L38" s="836">
        <f t="shared" si="14"/>
        <v>0</v>
      </c>
      <c r="M38" s="416">
        <f t="shared" si="14"/>
        <v>0</v>
      </c>
      <c r="N38" s="837">
        <f t="shared" si="14"/>
        <v>0</v>
      </c>
      <c r="O38" s="886">
        <f t="shared" si="13"/>
        <v>0</v>
      </c>
    </row>
    <row r="39" spans="1:18" ht="8.1" customHeight="1" thickBot="1">
      <c r="B39" s="16"/>
      <c r="C39" s="17"/>
      <c r="D39" s="17"/>
      <c r="E39" s="17"/>
      <c r="F39" s="183"/>
      <c r="G39" s="202"/>
      <c r="H39" s="17"/>
      <c r="I39" s="17"/>
      <c r="J39" s="27"/>
      <c r="K39" s="519"/>
      <c r="L39" s="16"/>
      <c r="M39" s="17"/>
      <c r="N39" s="815"/>
      <c r="O39" s="888"/>
    </row>
    <row r="40" spans="1:18" ht="12.95" customHeight="1">
      <c r="F40" s="184"/>
      <c r="G40" s="203"/>
      <c r="N40" s="258"/>
    </row>
    <row r="41" spans="1:18" ht="12.95" customHeight="1">
      <c r="B41" s="45"/>
      <c r="F41" s="184"/>
      <c r="G41" s="203"/>
      <c r="N41" s="258"/>
    </row>
    <row r="42" spans="1:18" ht="12.95" customHeight="1">
      <c r="F42" s="184"/>
      <c r="G42" s="203"/>
      <c r="N42" s="258"/>
    </row>
    <row r="43" spans="1:18" ht="12.95" customHeight="1">
      <c r="F43" s="184"/>
      <c r="G43" s="203"/>
      <c r="N43" s="258"/>
    </row>
    <row r="44" spans="1:18" ht="12.95" customHeight="1">
      <c r="F44" s="184"/>
      <c r="G44" s="203"/>
      <c r="N44" s="258"/>
    </row>
    <row r="45" spans="1:18" ht="12.95" customHeight="1">
      <c r="F45" s="184"/>
      <c r="G45" s="203"/>
      <c r="N45" s="258"/>
    </row>
    <row r="46" spans="1:18" ht="12.95" customHeight="1">
      <c r="F46" s="184"/>
      <c r="G46" s="203"/>
      <c r="N46" s="258"/>
    </row>
    <row r="47" spans="1:18" ht="12.95" customHeight="1">
      <c r="F47" s="184"/>
      <c r="G47" s="203"/>
      <c r="N47" s="258"/>
    </row>
    <row r="48" spans="1:18" s="219" customFormat="1" ht="12.95" customHeight="1">
      <c r="A48" s="166"/>
      <c r="B48" s="166"/>
      <c r="C48" s="166"/>
      <c r="D48" s="166"/>
      <c r="E48" s="166"/>
      <c r="F48" s="184"/>
      <c r="G48" s="203"/>
      <c r="H48" s="166"/>
      <c r="I48" s="166"/>
      <c r="J48" s="166"/>
      <c r="K48" s="166"/>
      <c r="L48" s="166"/>
      <c r="M48" s="166"/>
      <c r="N48" s="258"/>
      <c r="P48" s="166"/>
      <c r="Q48" s="166"/>
      <c r="R48" s="166"/>
    </row>
    <row r="49" spans="1:18" s="219" customFormat="1" ht="12.95" customHeight="1">
      <c r="A49" s="166"/>
      <c r="B49" s="166"/>
      <c r="C49" s="166"/>
      <c r="D49" s="166"/>
      <c r="E49" s="166"/>
      <c r="F49" s="184"/>
      <c r="G49" s="203"/>
      <c r="H49" s="166"/>
      <c r="I49" s="166"/>
      <c r="J49" s="166"/>
      <c r="K49" s="166"/>
      <c r="L49" s="166"/>
      <c r="M49" s="166"/>
      <c r="N49" s="258"/>
      <c r="P49" s="166"/>
      <c r="Q49" s="166"/>
      <c r="R49" s="166"/>
    </row>
    <row r="50" spans="1:18" s="219" customFormat="1" ht="12.95" customHeight="1">
      <c r="A50" s="166"/>
      <c r="B50" s="166"/>
      <c r="C50" s="166"/>
      <c r="D50" s="166"/>
      <c r="E50" s="166"/>
      <c r="F50" s="184"/>
      <c r="G50" s="203"/>
      <c r="H50" s="166"/>
      <c r="I50" s="166"/>
      <c r="J50" s="166"/>
      <c r="K50" s="166"/>
      <c r="L50" s="166"/>
      <c r="M50" s="166"/>
      <c r="N50" s="258"/>
      <c r="P50" s="166"/>
      <c r="Q50" s="166"/>
      <c r="R50" s="166"/>
    </row>
    <row r="51" spans="1:18" s="219" customFormat="1" ht="12.95" customHeight="1">
      <c r="A51" s="166"/>
      <c r="B51" s="166"/>
      <c r="C51" s="166"/>
      <c r="D51" s="166"/>
      <c r="E51" s="166"/>
      <c r="F51" s="184"/>
      <c r="G51" s="203"/>
      <c r="H51" s="166"/>
      <c r="I51" s="166"/>
      <c r="J51" s="166"/>
      <c r="K51" s="166"/>
      <c r="L51" s="166"/>
      <c r="M51" s="166"/>
      <c r="N51" s="258"/>
      <c r="P51" s="166"/>
      <c r="Q51" s="166"/>
      <c r="R51" s="166"/>
    </row>
    <row r="52" spans="1:18" s="219" customFormat="1" ht="12.95" customHeight="1">
      <c r="A52" s="166"/>
      <c r="B52" s="166"/>
      <c r="C52" s="166"/>
      <c r="D52" s="166"/>
      <c r="E52" s="166"/>
      <c r="F52" s="184"/>
      <c r="G52" s="203"/>
      <c r="H52" s="166"/>
      <c r="I52" s="166"/>
      <c r="J52" s="166"/>
      <c r="K52" s="166"/>
      <c r="L52" s="166"/>
      <c r="M52" s="166"/>
      <c r="N52" s="258"/>
      <c r="P52" s="166"/>
      <c r="Q52" s="166"/>
      <c r="R52" s="166"/>
    </row>
    <row r="53" spans="1:18" s="219" customFormat="1" ht="12.95" customHeight="1">
      <c r="A53" s="166"/>
      <c r="B53" s="166"/>
      <c r="C53" s="166"/>
      <c r="D53" s="166"/>
      <c r="E53" s="166"/>
      <c r="F53" s="184"/>
      <c r="G53" s="203"/>
      <c r="H53" s="166"/>
      <c r="I53" s="166"/>
      <c r="J53" s="166"/>
      <c r="K53" s="166"/>
      <c r="L53" s="166"/>
      <c r="M53" s="166"/>
      <c r="N53" s="258"/>
      <c r="P53" s="166"/>
      <c r="Q53" s="166"/>
      <c r="R53" s="166"/>
    </row>
    <row r="54" spans="1:18" s="219" customFormat="1" ht="12.95" customHeight="1">
      <c r="A54" s="166"/>
      <c r="B54" s="166"/>
      <c r="C54" s="166"/>
      <c r="D54" s="166"/>
      <c r="E54" s="166"/>
      <c r="F54" s="184"/>
      <c r="G54" s="203"/>
      <c r="H54" s="166"/>
      <c r="I54" s="166"/>
      <c r="J54" s="166"/>
      <c r="K54" s="166"/>
      <c r="L54" s="166"/>
      <c r="M54" s="166"/>
      <c r="N54" s="258"/>
      <c r="P54" s="166"/>
      <c r="Q54" s="166"/>
      <c r="R54" s="166"/>
    </row>
    <row r="55" spans="1:18" s="219" customFormat="1" ht="12.95" customHeight="1">
      <c r="A55" s="166"/>
      <c r="B55" s="166"/>
      <c r="C55" s="166"/>
      <c r="D55" s="166"/>
      <c r="E55" s="166"/>
      <c r="F55" s="184"/>
      <c r="G55" s="203"/>
      <c r="H55" s="166"/>
      <c r="I55" s="166"/>
      <c r="J55" s="166"/>
      <c r="K55" s="166"/>
      <c r="L55" s="166"/>
      <c r="M55" s="166"/>
      <c r="N55" s="258"/>
      <c r="P55" s="166"/>
      <c r="Q55" s="166"/>
      <c r="R55" s="166"/>
    </row>
    <row r="56" spans="1:18" s="219" customFormat="1" ht="12.95" customHeight="1">
      <c r="A56" s="166"/>
      <c r="B56" s="166"/>
      <c r="C56" s="166"/>
      <c r="D56" s="166"/>
      <c r="E56" s="166"/>
      <c r="F56" s="184"/>
      <c r="G56" s="203"/>
      <c r="H56" s="166"/>
      <c r="I56" s="166"/>
      <c r="J56" s="166"/>
      <c r="K56" s="166"/>
      <c r="L56" s="166"/>
      <c r="M56" s="166"/>
      <c r="N56" s="258"/>
      <c r="P56" s="166"/>
      <c r="Q56" s="166"/>
      <c r="R56" s="166"/>
    </row>
    <row r="57" spans="1:18" s="219" customFormat="1" ht="12.95" customHeight="1">
      <c r="A57" s="166"/>
      <c r="B57" s="166"/>
      <c r="C57" s="166"/>
      <c r="D57" s="166"/>
      <c r="E57" s="166"/>
      <c r="F57" s="184"/>
      <c r="G57" s="203"/>
      <c r="H57" s="166"/>
      <c r="I57" s="166"/>
      <c r="J57" s="166"/>
      <c r="K57" s="166"/>
      <c r="L57" s="166"/>
      <c r="M57" s="166"/>
      <c r="N57" s="258"/>
      <c r="P57" s="166"/>
      <c r="Q57" s="166"/>
      <c r="R57" s="166"/>
    </row>
    <row r="58" spans="1:18" s="219" customFormat="1" ht="12.95" customHeight="1">
      <c r="A58" s="166"/>
      <c r="B58" s="166"/>
      <c r="C58" s="166"/>
      <c r="D58" s="166"/>
      <c r="E58" s="166"/>
      <c r="F58" s="184"/>
      <c r="G58" s="203"/>
      <c r="H58" s="166"/>
      <c r="I58" s="166"/>
      <c r="J58" s="166"/>
      <c r="K58" s="166"/>
      <c r="L58" s="166"/>
      <c r="M58" s="166"/>
      <c r="N58" s="258"/>
      <c r="P58" s="166"/>
      <c r="Q58" s="166"/>
      <c r="R58" s="166"/>
    </row>
    <row r="59" spans="1:18" s="219" customFormat="1" ht="12.95" customHeight="1">
      <c r="A59" s="166"/>
      <c r="B59" s="166"/>
      <c r="C59" s="166"/>
      <c r="D59" s="166"/>
      <c r="E59" s="166"/>
      <c r="F59" s="184"/>
      <c r="G59" s="203"/>
      <c r="H59" s="166"/>
      <c r="I59" s="166"/>
      <c r="J59" s="166"/>
      <c r="K59" s="166"/>
      <c r="L59" s="166"/>
      <c r="M59" s="166"/>
      <c r="N59" s="258"/>
      <c r="P59" s="166"/>
      <c r="Q59" s="166"/>
      <c r="R59" s="166"/>
    </row>
    <row r="60" spans="1:18" s="219" customFormat="1" ht="17.100000000000001" customHeight="1">
      <c r="A60" s="166"/>
      <c r="B60" s="166"/>
      <c r="C60" s="166"/>
      <c r="D60" s="166"/>
      <c r="E60" s="166"/>
      <c r="F60" s="184"/>
      <c r="G60" s="203"/>
      <c r="H60" s="166"/>
      <c r="I60" s="166"/>
      <c r="J60" s="166"/>
      <c r="K60" s="166"/>
      <c r="L60" s="166"/>
      <c r="M60" s="166"/>
      <c r="N60" s="258"/>
      <c r="P60" s="166"/>
      <c r="Q60" s="166"/>
      <c r="R60" s="166"/>
    </row>
    <row r="61" spans="1:18" s="219" customFormat="1" ht="14.25">
      <c r="A61" s="166"/>
      <c r="B61" s="166"/>
      <c r="C61" s="166"/>
      <c r="D61" s="166"/>
      <c r="E61" s="166"/>
      <c r="F61" s="184"/>
      <c r="G61" s="203"/>
      <c r="H61" s="166"/>
      <c r="I61" s="166"/>
      <c r="J61" s="166"/>
      <c r="K61" s="166"/>
      <c r="L61" s="166"/>
      <c r="M61" s="166"/>
      <c r="N61" s="258"/>
      <c r="P61" s="166"/>
      <c r="Q61" s="166"/>
      <c r="R61" s="166"/>
    </row>
    <row r="62" spans="1:18" s="219" customFormat="1" ht="14.25">
      <c r="A62" s="166"/>
      <c r="B62" s="166"/>
      <c r="C62" s="166"/>
      <c r="D62" s="166"/>
      <c r="E62" s="166"/>
      <c r="F62" s="184"/>
      <c r="G62" s="203"/>
      <c r="H62" s="166"/>
      <c r="I62" s="166"/>
      <c r="J62" s="166"/>
      <c r="K62" s="166"/>
      <c r="L62" s="166"/>
      <c r="M62" s="166"/>
      <c r="N62" s="258"/>
      <c r="P62" s="166"/>
      <c r="Q62" s="166"/>
      <c r="R62" s="166"/>
    </row>
    <row r="63" spans="1:18" s="219" customFormat="1" ht="14.25">
      <c r="A63" s="166"/>
      <c r="B63" s="166"/>
      <c r="C63" s="166"/>
      <c r="D63" s="166"/>
      <c r="E63" s="166"/>
      <c r="F63" s="184"/>
      <c r="G63" s="203"/>
      <c r="H63" s="166"/>
      <c r="I63" s="166"/>
      <c r="J63" s="166"/>
      <c r="K63" s="166"/>
      <c r="L63" s="166"/>
      <c r="M63" s="166"/>
      <c r="N63" s="258"/>
      <c r="P63" s="166"/>
      <c r="Q63" s="166"/>
      <c r="R63" s="166"/>
    </row>
    <row r="64" spans="1:18" s="219" customFormat="1" ht="14.25">
      <c r="A64" s="166"/>
      <c r="B64" s="166"/>
      <c r="C64" s="166"/>
      <c r="D64" s="166"/>
      <c r="E64" s="166"/>
      <c r="F64" s="184"/>
      <c r="G64" s="203"/>
      <c r="H64" s="166"/>
      <c r="I64" s="166"/>
      <c r="J64" s="166"/>
      <c r="K64" s="166"/>
      <c r="L64" s="166"/>
      <c r="M64" s="166"/>
      <c r="N64" s="258"/>
      <c r="P64" s="166"/>
      <c r="Q64" s="166"/>
      <c r="R64" s="166"/>
    </row>
    <row r="65" spans="1:18" s="219" customFormat="1" ht="14.25">
      <c r="A65" s="166"/>
      <c r="B65" s="166"/>
      <c r="C65" s="166"/>
      <c r="D65" s="166"/>
      <c r="E65" s="166"/>
      <c r="F65" s="184"/>
      <c r="G65" s="203"/>
      <c r="H65" s="166"/>
      <c r="I65" s="166"/>
      <c r="J65" s="166"/>
      <c r="K65" s="166"/>
      <c r="L65" s="166"/>
      <c r="M65" s="166"/>
      <c r="N65" s="258"/>
      <c r="P65" s="166"/>
      <c r="Q65" s="166"/>
      <c r="R65" s="166"/>
    </row>
    <row r="66" spans="1:18" s="219" customFormat="1" ht="14.25">
      <c r="A66" s="166"/>
      <c r="B66" s="166"/>
      <c r="C66" s="166"/>
      <c r="D66" s="166"/>
      <c r="E66" s="166"/>
      <c r="F66" s="184"/>
      <c r="G66" s="203"/>
      <c r="H66" s="166"/>
      <c r="I66" s="166"/>
      <c r="J66" s="166"/>
      <c r="K66" s="166"/>
      <c r="L66" s="166"/>
      <c r="M66" s="166"/>
      <c r="N66" s="258"/>
      <c r="P66" s="166"/>
      <c r="Q66" s="166"/>
      <c r="R66" s="166"/>
    </row>
    <row r="67" spans="1:18" s="219" customFormat="1" ht="14.25">
      <c r="A67" s="166"/>
      <c r="B67" s="166"/>
      <c r="C67" s="166"/>
      <c r="D67" s="166"/>
      <c r="E67" s="166"/>
      <c r="F67" s="184"/>
      <c r="G67" s="203"/>
      <c r="H67" s="166"/>
      <c r="I67" s="166"/>
      <c r="J67" s="166"/>
      <c r="K67" s="166"/>
      <c r="L67" s="166"/>
      <c r="M67" s="166"/>
      <c r="N67" s="258"/>
      <c r="P67" s="166"/>
      <c r="Q67" s="166"/>
      <c r="R67" s="166"/>
    </row>
    <row r="68" spans="1:18" s="219" customFormat="1" ht="14.25">
      <c r="A68" s="166"/>
      <c r="B68" s="166"/>
      <c r="C68" s="166"/>
      <c r="D68" s="166"/>
      <c r="E68" s="166"/>
      <c r="F68" s="184"/>
      <c r="G68" s="203"/>
      <c r="H68" s="166"/>
      <c r="I68" s="166"/>
      <c r="J68" s="166"/>
      <c r="K68" s="166"/>
      <c r="L68" s="166"/>
      <c r="M68" s="166"/>
      <c r="N68" s="258"/>
      <c r="P68" s="166"/>
      <c r="Q68" s="166"/>
      <c r="R68" s="166"/>
    </row>
    <row r="69" spans="1:18" s="219" customFormat="1" ht="14.25">
      <c r="A69" s="166"/>
      <c r="B69" s="166"/>
      <c r="C69" s="166"/>
      <c r="D69" s="166"/>
      <c r="E69" s="166"/>
      <c r="F69" s="184"/>
      <c r="G69" s="203"/>
      <c r="H69" s="166"/>
      <c r="I69" s="166"/>
      <c r="J69" s="166"/>
      <c r="K69" s="166"/>
      <c r="L69" s="166"/>
      <c r="M69" s="166"/>
      <c r="N69" s="258"/>
      <c r="P69" s="166"/>
      <c r="Q69" s="166"/>
      <c r="R69" s="166"/>
    </row>
    <row r="70" spans="1:18" s="219" customFormat="1" ht="14.25">
      <c r="A70" s="166"/>
      <c r="B70" s="166"/>
      <c r="C70" s="166"/>
      <c r="D70" s="166"/>
      <c r="E70" s="166"/>
      <c r="F70" s="184"/>
      <c r="G70" s="203"/>
      <c r="H70" s="166"/>
      <c r="I70" s="166"/>
      <c r="J70" s="166"/>
      <c r="K70" s="166"/>
      <c r="L70" s="166"/>
      <c r="M70" s="166"/>
      <c r="N70" s="258"/>
      <c r="P70" s="166"/>
      <c r="Q70" s="166"/>
      <c r="R70" s="166"/>
    </row>
    <row r="71" spans="1:18" s="219" customFormat="1" ht="14.25">
      <c r="A71" s="166"/>
      <c r="B71" s="166"/>
      <c r="C71" s="166"/>
      <c r="D71" s="166"/>
      <c r="E71" s="166"/>
      <c r="F71" s="184"/>
      <c r="G71" s="203"/>
      <c r="H71" s="166"/>
      <c r="I71" s="166"/>
      <c r="J71" s="166"/>
      <c r="K71" s="166"/>
      <c r="L71" s="166"/>
      <c r="M71" s="166"/>
      <c r="N71" s="258"/>
      <c r="P71" s="166"/>
      <c r="Q71" s="166"/>
      <c r="R71" s="166"/>
    </row>
    <row r="72" spans="1:18" s="219" customFormat="1" ht="14.25">
      <c r="A72" s="166"/>
      <c r="B72" s="166"/>
      <c r="C72" s="166"/>
      <c r="D72" s="166"/>
      <c r="E72" s="166"/>
      <c r="F72" s="184"/>
      <c r="G72" s="203"/>
      <c r="H72" s="166"/>
      <c r="I72" s="166"/>
      <c r="J72" s="166"/>
      <c r="K72" s="166"/>
      <c r="L72" s="166"/>
      <c r="M72" s="166"/>
      <c r="N72" s="258"/>
      <c r="P72" s="166"/>
      <c r="Q72" s="166"/>
      <c r="R72" s="166"/>
    </row>
    <row r="73" spans="1:18" s="219" customFormat="1" ht="14.25">
      <c r="A73" s="166"/>
      <c r="B73" s="166"/>
      <c r="C73" s="166"/>
      <c r="D73" s="166"/>
      <c r="E73" s="166"/>
      <c r="F73" s="184"/>
      <c r="G73" s="203"/>
      <c r="H73" s="166"/>
      <c r="I73" s="166"/>
      <c r="J73" s="166"/>
      <c r="K73" s="166"/>
      <c r="L73" s="166"/>
      <c r="M73" s="166"/>
      <c r="N73" s="258"/>
      <c r="P73" s="166"/>
      <c r="Q73" s="166"/>
      <c r="R73" s="166"/>
    </row>
    <row r="74" spans="1:18" s="219" customFormat="1" ht="14.25">
      <c r="A74" s="166"/>
      <c r="B74" s="166"/>
      <c r="C74" s="166"/>
      <c r="D74" s="166"/>
      <c r="E74" s="166"/>
      <c r="F74" s="184"/>
      <c r="G74" s="184"/>
      <c r="H74" s="166"/>
      <c r="I74" s="166"/>
      <c r="J74" s="166"/>
      <c r="K74" s="166"/>
      <c r="L74" s="166"/>
      <c r="M74" s="166"/>
      <c r="N74" s="258"/>
      <c r="P74" s="166"/>
      <c r="Q74" s="166"/>
      <c r="R74" s="166"/>
    </row>
    <row r="75" spans="1:18" s="219" customFormat="1" ht="14.25">
      <c r="A75" s="166"/>
      <c r="B75" s="166"/>
      <c r="C75" s="166"/>
      <c r="D75" s="166"/>
      <c r="E75" s="166"/>
      <c r="F75" s="184"/>
      <c r="G75" s="184"/>
      <c r="H75" s="166"/>
      <c r="I75" s="166"/>
      <c r="J75" s="166"/>
      <c r="K75" s="166"/>
      <c r="L75" s="166"/>
      <c r="M75" s="166"/>
      <c r="N75" s="258"/>
      <c r="P75" s="166"/>
      <c r="Q75" s="166"/>
      <c r="R75" s="166"/>
    </row>
    <row r="76" spans="1:18" s="219" customFormat="1" ht="14.25">
      <c r="A76" s="166"/>
      <c r="B76" s="166"/>
      <c r="C76" s="166"/>
      <c r="D76" s="166"/>
      <c r="E76" s="166"/>
      <c r="F76" s="184"/>
      <c r="G76" s="184"/>
      <c r="H76" s="166"/>
      <c r="I76" s="166"/>
      <c r="J76" s="166"/>
      <c r="K76" s="166"/>
      <c r="L76" s="166"/>
      <c r="M76" s="166"/>
      <c r="N76" s="258"/>
      <c r="P76" s="166"/>
      <c r="Q76" s="166"/>
      <c r="R76" s="166"/>
    </row>
    <row r="77" spans="1:18" s="219" customFormat="1" ht="14.25">
      <c r="A77" s="166"/>
      <c r="B77" s="166"/>
      <c r="C77" s="166"/>
      <c r="D77" s="166"/>
      <c r="E77" s="166"/>
      <c r="F77" s="184"/>
      <c r="G77" s="184"/>
      <c r="H77" s="166"/>
      <c r="I77" s="166"/>
      <c r="J77" s="166"/>
      <c r="K77" s="166"/>
      <c r="L77" s="166"/>
      <c r="M77" s="166"/>
      <c r="N77" s="258"/>
      <c r="P77" s="166"/>
      <c r="Q77" s="166"/>
      <c r="R77" s="166"/>
    </row>
    <row r="78" spans="1:18" s="219" customFormat="1" ht="14.25">
      <c r="A78" s="166"/>
      <c r="B78" s="166"/>
      <c r="C78" s="166"/>
      <c r="D78" s="166"/>
      <c r="E78" s="166"/>
      <c r="F78" s="184"/>
      <c r="G78" s="184"/>
      <c r="H78" s="166"/>
      <c r="I78" s="166"/>
      <c r="J78" s="166"/>
      <c r="K78" s="166"/>
      <c r="L78" s="166"/>
      <c r="M78" s="166"/>
      <c r="N78" s="258"/>
      <c r="P78" s="166"/>
      <c r="Q78" s="166"/>
      <c r="R78" s="166"/>
    </row>
    <row r="79" spans="1:18" s="219" customFormat="1" ht="14.25">
      <c r="A79" s="166"/>
      <c r="B79" s="166"/>
      <c r="C79" s="166"/>
      <c r="D79" s="166"/>
      <c r="E79" s="166"/>
      <c r="F79" s="184"/>
      <c r="G79" s="184"/>
      <c r="H79" s="166"/>
      <c r="I79" s="166"/>
      <c r="J79" s="166"/>
      <c r="K79" s="166"/>
      <c r="L79" s="166"/>
      <c r="M79" s="166"/>
      <c r="N79" s="258"/>
      <c r="P79" s="166"/>
      <c r="Q79" s="166"/>
      <c r="R79" s="166"/>
    </row>
    <row r="80" spans="1:18" s="219" customFormat="1" ht="14.25">
      <c r="A80" s="166"/>
      <c r="B80" s="166"/>
      <c r="C80" s="166"/>
      <c r="D80" s="166"/>
      <c r="E80" s="166"/>
      <c r="F80" s="184"/>
      <c r="G80" s="184"/>
      <c r="H80" s="166"/>
      <c r="I80" s="166"/>
      <c r="J80" s="166"/>
      <c r="K80" s="166"/>
      <c r="L80" s="166"/>
      <c r="M80" s="166"/>
      <c r="N80" s="258"/>
      <c r="P80" s="166"/>
      <c r="Q80" s="166"/>
      <c r="R80" s="166"/>
    </row>
    <row r="81" spans="1:18" s="219" customFormat="1" ht="14.25">
      <c r="A81" s="166"/>
      <c r="B81" s="166"/>
      <c r="C81" s="166"/>
      <c r="D81" s="166"/>
      <c r="E81" s="166"/>
      <c r="F81" s="184"/>
      <c r="G81" s="184"/>
      <c r="H81" s="166"/>
      <c r="I81" s="166"/>
      <c r="J81" s="166"/>
      <c r="K81" s="166"/>
      <c r="L81" s="166"/>
      <c r="M81" s="166"/>
      <c r="N81" s="258"/>
      <c r="P81" s="166"/>
      <c r="Q81" s="166"/>
      <c r="R81" s="166"/>
    </row>
    <row r="82" spans="1:18" s="219" customFormat="1" ht="14.25">
      <c r="A82" s="166"/>
      <c r="B82" s="166"/>
      <c r="C82" s="166"/>
      <c r="D82" s="166"/>
      <c r="E82" s="166"/>
      <c r="F82" s="184"/>
      <c r="G82" s="184"/>
      <c r="H82" s="166"/>
      <c r="I82" s="166"/>
      <c r="J82" s="166"/>
      <c r="K82" s="166"/>
      <c r="L82" s="166"/>
      <c r="M82" s="166"/>
      <c r="N82" s="258"/>
      <c r="P82" s="166"/>
      <c r="Q82" s="166"/>
      <c r="R82" s="166"/>
    </row>
    <row r="83" spans="1:18" s="219" customFormat="1" ht="14.25">
      <c r="A83" s="166"/>
      <c r="B83" s="166"/>
      <c r="C83" s="166"/>
      <c r="D83" s="166"/>
      <c r="E83" s="166"/>
      <c r="F83" s="184"/>
      <c r="G83" s="184"/>
      <c r="H83" s="166"/>
      <c r="I83" s="166"/>
      <c r="J83" s="166"/>
      <c r="K83" s="166"/>
      <c r="L83" s="166"/>
      <c r="M83" s="166"/>
      <c r="N83" s="258"/>
      <c r="P83" s="166"/>
      <c r="Q83" s="166"/>
      <c r="R83" s="166"/>
    </row>
    <row r="84" spans="1:18" s="219" customFormat="1" ht="14.25">
      <c r="A84" s="166"/>
      <c r="B84" s="166"/>
      <c r="C84" s="166"/>
      <c r="D84" s="166"/>
      <c r="E84" s="166"/>
      <c r="F84" s="184"/>
      <c r="G84" s="184"/>
      <c r="H84" s="166"/>
      <c r="I84" s="166"/>
      <c r="J84" s="166"/>
      <c r="K84" s="166"/>
      <c r="L84" s="166"/>
      <c r="M84" s="166"/>
      <c r="N84" s="258"/>
      <c r="P84" s="166"/>
      <c r="Q84" s="166"/>
      <c r="R84" s="166"/>
    </row>
    <row r="85" spans="1:18" s="219" customFormat="1" ht="14.25">
      <c r="A85" s="166"/>
      <c r="B85" s="166"/>
      <c r="C85" s="166"/>
      <c r="D85" s="166"/>
      <c r="E85" s="166"/>
      <c r="F85" s="184"/>
      <c r="G85" s="184"/>
      <c r="H85" s="166"/>
      <c r="I85" s="166"/>
      <c r="J85" s="166"/>
      <c r="K85" s="166"/>
      <c r="L85" s="166"/>
      <c r="M85" s="166"/>
      <c r="N85" s="258"/>
      <c r="P85" s="166"/>
      <c r="Q85" s="166"/>
      <c r="R85" s="166"/>
    </row>
    <row r="86" spans="1:18" s="219" customFormat="1" ht="14.25">
      <c r="A86" s="166"/>
      <c r="B86" s="166"/>
      <c r="C86" s="166"/>
      <c r="D86" s="166"/>
      <c r="E86" s="166"/>
      <c r="F86" s="184"/>
      <c r="G86" s="184"/>
      <c r="H86" s="166"/>
      <c r="I86" s="166"/>
      <c r="J86" s="166"/>
      <c r="K86" s="166"/>
      <c r="L86" s="166"/>
      <c r="M86" s="166"/>
      <c r="N86" s="258"/>
      <c r="P86" s="166"/>
      <c r="Q86" s="166"/>
      <c r="R86" s="166"/>
    </row>
    <row r="87" spans="1:18" s="219" customFormat="1" ht="14.25">
      <c r="A87" s="166"/>
      <c r="B87" s="166"/>
      <c r="C87" s="166"/>
      <c r="D87" s="166"/>
      <c r="E87" s="166"/>
      <c r="F87" s="184"/>
      <c r="G87" s="184"/>
      <c r="H87" s="166"/>
      <c r="I87" s="166"/>
      <c r="J87" s="166"/>
      <c r="K87" s="166"/>
      <c r="L87" s="166"/>
      <c r="M87" s="166"/>
      <c r="N87" s="258"/>
      <c r="P87" s="166"/>
      <c r="Q87" s="166"/>
      <c r="R87" s="166"/>
    </row>
    <row r="88" spans="1:18" s="219" customFormat="1" ht="14.25">
      <c r="A88" s="166"/>
      <c r="B88" s="166"/>
      <c r="C88" s="166"/>
      <c r="D88" s="166"/>
      <c r="E88" s="166"/>
      <c r="F88" s="184"/>
      <c r="G88" s="184"/>
      <c r="H88" s="166"/>
      <c r="I88" s="166"/>
      <c r="J88" s="166"/>
      <c r="K88" s="166"/>
      <c r="L88" s="166"/>
      <c r="M88" s="166"/>
      <c r="N88" s="258"/>
      <c r="P88" s="166"/>
      <c r="Q88" s="166"/>
      <c r="R88" s="166"/>
    </row>
    <row r="89" spans="1:18" s="219" customFormat="1" ht="14.25">
      <c r="A89" s="166"/>
      <c r="B89" s="166"/>
      <c r="C89" s="166"/>
      <c r="D89" s="166"/>
      <c r="E89" s="166"/>
      <c r="F89" s="184"/>
      <c r="G89" s="184"/>
      <c r="H89" s="166"/>
      <c r="I89" s="166"/>
      <c r="J89" s="166"/>
      <c r="K89" s="166"/>
      <c r="L89" s="166"/>
      <c r="M89" s="166"/>
      <c r="N89" s="258"/>
      <c r="P89" s="166"/>
      <c r="Q89" s="166"/>
      <c r="R89" s="166"/>
    </row>
    <row r="90" spans="1:18" s="219" customFormat="1" ht="14.25">
      <c r="A90" s="166"/>
      <c r="B90" s="166"/>
      <c r="C90" s="166"/>
      <c r="D90" s="166"/>
      <c r="E90" s="166"/>
      <c r="F90" s="184"/>
      <c r="G90" s="184"/>
      <c r="H90" s="166"/>
      <c r="I90" s="166"/>
      <c r="J90" s="166"/>
      <c r="K90" s="166"/>
      <c r="L90" s="166"/>
      <c r="M90" s="166"/>
      <c r="N90" s="258"/>
      <c r="P90" s="166"/>
      <c r="Q90" s="166"/>
      <c r="R90" s="166"/>
    </row>
    <row r="91" spans="1:18" s="219" customFormat="1">
      <c r="A91" s="166"/>
      <c r="B91" s="166"/>
      <c r="C91" s="166"/>
      <c r="D91" s="166"/>
      <c r="E91" s="166"/>
      <c r="F91" s="171"/>
      <c r="G91" s="184"/>
      <c r="H91" s="166"/>
      <c r="I91" s="166"/>
      <c r="J91" s="166"/>
      <c r="K91" s="166"/>
      <c r="L91" s="166"/>
      <c r="M91" s="166"/>
      <c r="N91" s="166"/>
      <c r="P91" s="166"/>
      <c r="Q91" s="166"/>
      <c r="R91" s="166"/>
    </row>
    <row r="92" spans="1:18" s="219" customFormat="1">
      <c r="A92" s="166"/>
      <c r="B92" s="166"/>
      <c r="C92" s="166"/>
      <c r="D92" s="166"/>
      <c r="E92" s="166"/>
      <c r="F92" s="171"/>
      <c r="G92" s="184"/>
      <c r="H92" s="166"/>
      <c r="I92" s="166"/>
      <c r="J92" s="166"/>
      <c r="K92" s="166"/>
      <c r="L92" s="166"/>
      <c r="M92" s="166"/>
      <c r="N92" s="166"/>
      <c r="P92" s="166"/>
      <c r="Q92" s="166"/>
      <c r="R92" s="166"/>
    </row>
    <row r="93" spans="1:18" s="219" customFormat="1">
      <c r="A93" s="166"/>
      <c r="B93" s="166"/>
      <c r="C93" s="166"/>
      <c r="D93" s="166"/>
      <c r="E93" s="166"/>
      <c r="F93" s="171"/>
      <c r="G93" s="184"/>
      <c r="H93" s="166"/>
      <c r="I93" s="166"/>
      <c r="J93" s="166"/>
      <c r="K93" s="166"/>
      <c r="L93" s="166"/>
      <c r="M93" s="166"/>
      <c r="N93" s="166"/>
      <c r="P93" s="166"/>
      <c r="Q93" s="166"/>
      <c r="R93" s="166"/>
    </row>
    <row r="94" spans="1:18" s="219" customFormat="1">
      <c r="A94" s="166"/>
      <c r="B94" s="166"/>
      <c r="C94" s="166"/>
      <c r="D94" s="166"/>
      <c r="E94" s="166"/>
      <c r="F94" s="171"/>
      <c r="G94" s="184"/>
      <c r="H94" s="166"/>
      <c r="I94" s="166"/>
      <c r="J94" s="166"/>
      <c r="K94" s="166"/>
      <c r="L94" s="166"/>
      <c r="M94" s="166"/>
      <c r="N94" s="166"/>
      <c r="P94" s="166"/>
      <c r="Q94" s="166"/>
      <c r="R94" s="166"/>
    </row>
    <row r="95" spans="1:18" s="219" customFormat="1">
      <c r="A95" s="166"/>
      <c r="B95" s="166"/>
      <c r="C95" s="166"/>
      <c r="D95" s="166"/>
      <c r="E95" s="166"/>
      <c r="F95" s="171"/>
      <c r="G95" s="184"/>
      <c r="H95" s="166"/>
      <c r="I95" s="166"/>
      <c r="J95" s="166"/>
      <c r="K95" s="166"/>
      <c r="L95" s="166"/>
      <c r="M95" s="166"/>
      <c r="N95" s="166"/>
      <c r="P95" s="166"/>
      <c r="Q95" s="166"/>
      <c r="R95" s="166"/>
    </row>
    <row r="96" spans="1:18">
      <c r="G96" s="184"/>
    </row>
  </sheetData>
  <mergeCells count="14">
    <mergeCell ref="K4:K5"/>
    <mergeCell ref="B2:O2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topLeftCell="A15" zoomScaleNormal="100" workbookViewId="0">
      <selection activeCell="J28" sqref="J28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8" ht="13.5" thickBot="1"/>
    <row r="2" spans="1:18" s="249" customFormat="1" ht="20.100000000000001" customHeight="1" thickTop="1" thickBot="1">
      <c r="B2" s="963" t="s">
        <v>626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8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8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8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8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8" s="2" customFormat="1" ht="12.95" customHeight="1">
      <c r="A7" s="164"/>
      <c r="B7" s="6" t="s">
        <v>115</v>
      </c>
      <c r="C7" s="7" t="s">
        <v>79</v>
      </c>
      <c r="D7" s="7" t="s">
        <v>80</v>
      </c>
      <c r="E7" s="422" t="s">
        <v>708</v>
      </c>
      <c r="F7" s="5"/>
      <c r="G7" s="165"/>
      <c r="H7" s="5"/>
      <c r="I7" s="5"/>
      <c r="J7" s="5"/>
      <c r="K7" s="178"/>
      <c r="L7" s="4"/>
      <c r="M7" s="165"/>
      <c r="N7" s="826"/>
      <c r="O7" s="885"/>
    </row>
    <row r="8" spans="1:18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32">
        <f t="shared" ref="I8:J8" si="0">SUM(I9:I12)</f>
        <v>404080</v>
      </c>
      <c r="J8" s="232">
        <f t="shared" si="0"/>
        <v>404080</v>
      </c>
      <c r="K8" s="737">
        <f>SUM(K9:K12)</f>
        <v>299882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8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324440</v>
      </c>
      <c r="J9" s="240">
        <v>324440</v>
      </c>
      <c r="K9" s="495">
        <v>239872</v>
      </c>
      <c r="L9" s="364"/>
      <c r="M9" s="240"/>
      <c r="N9" s="828">
        <f>SUM(L9:M9)</f>
        <v>0</v>
      </c>
      <c r="O9" s="887">
        <f t="shared" si="1"/>
        <v>0</v>
      </c>
      <c r="P9" s="45"/>
    </row>
    <row r="10" spans="1:18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v>79640</v>
      </c>
      <c r="J10" s="240">
        <v>79640</v>
      </c>
      <c r="K10" s="495">
        <v>60010</v>
      </c>
      <c r="L10" s="364"/>
      <c r="M10" s="240"/>
      <c r="N10" s="828">
        <f t="shared" ref="N10:N11" si="2">SUM(L10:M10)</f>
        <v>0</v>
      </c>
      <c r="O10" s="887">
        <f t="shared" si="1"/>
        <v>0</v>
      </c>
    </row>
    <row r="11" spans="1:18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35">
        <v>0</v>
      </c>
      <c r="J11" s="235">
        <v>0</v>
      </c>
      <c r="K11" s="495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8" ht="12.95" customHeight="1">
      <c r="B12" s="10"/>
      <c r="C12" s="11"/>
      <c r="D12" s="11"/>
      <c r="E12" s="168"/>
      <c r="F12" s="182"/>
      <c r="G12" s="201"/>
      <c r="H12" s="435"/>
      <c r="I12" s="235"/>
      <c r="J12" s="235"/>
      <c r="K12" s="495"/>
      <c r="L12" s="364"/>
      <c r="M12" s="240"/>
      <c r="N12" s="828"/>
      <c r="O12" s="887" t="str">
        <f t="shared" si="1"/>
        <v/>
      </c>
      <c r="Q12" s="45"/>
    </row>
    <row r="13" spans="1:18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32">
        <f t="shared" ref="I13:J13" si="3">I14</f>
        <v>34850</v>
      </c>
      <c r="J13" s="232">
        <f t="shared" si="3"/>
        <v>34850</v>
      </c>
      <c r="K13" s="737">
        <f>K14</f>
        <v>25607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  <c r="Q13" s="54"/>
      <c r="R13" s="54"/>
    </row>
    <row r="14" spans="1:18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5">
        <v>34850</v>
      </c>
      <c r="J14" s="235">
        <v>34850</v>
      </c>
      <c r="K14" s="495">
        <v>25607</v>
      </c>
      <c r="L14" s="364"/>
      <c r="M14" s="240"/>
      <c r="N14" s="828">
        <f>SUM(L14:M14)</f>
        <v>0</v>
      </c>
      <c r="O14" s="887">
        <f t="shared" si="1"/>
        <v>0</v>
      </c>
    </row>
    <row r="15" spans="1:18" ht="12.95" customHeight="1">
      <c r="B15" s="10"/>
      <c r="C15" s="11"/>
      <c r="D15" s="11"/>
      <c r="E15" s="168"/>
      <c r="F15" s="182"/>
      <c r="G15" s="201"/>
      <c r="H15" s="24"/>
      <c r="I15" s="235"/>
      <c r="J15" s="235"/>
      <c r="K15" s="495"/>
      <c r="L15" s="364"/>
      <c r="M15" s="240"/>
      <c r="N15" s="791"/>
      <c r="O15" s="887" t="str">
        <f t="shared" si="1"/>
        <v/>
      </c>
    </row>
    <row r="16" spans="1:18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J16" si="4">SUM(I17:I26)</f>
        <v>438000</v>
      </c>
      <c r="J16" s="232">
        <f t="shared" si="4"/>
        <v>438000</v>
      </c>
      <c r="K16" s="737">
        <f>SUM(K17:K26)</f>
        <v>304062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35">
        <v>5000</v>
      </c>
      <c r="J17" s="235">
        <v>5000</v>
      </c>
      <c r="K17" s="495">
        <v>4056</v>
      </c>
      <c r="L17" s="364"/>
      <c r="M17" s="240"/>
      <c r="N17" s="828">
        <f t="shared" ref="N17:N26" si="5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35">
        <v>80000</v>
      </c>
      <c r="J18" s="235">
        <v>80000</v>
      </c>
      <c r="K18" s="495">
        <v>51925</v>
      </c>
      <c r="L18" s="365"/>
      <c r="M18" s="236"/>
      <c r="N18" s="828">
        <f t="shared" si="5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35">
        <v>50000</v>
      </c>
      <c r="J19" s="235">
        <v>57000</v>
      </c>
      <c r="K19" s="495">
        <v>47863</v>
      </c>
      <c r="L19" s="365"/>
      <c r="M19" s="236"/>
      <c r="N19" s="828">
        <f t="shared" si="5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35">
        <v>94000</v>
      </c>
      <c r="J20" s="235">
        <v>94000</v>
      </c>
      <c r="K20" s="495">
        <v>68301</v>
      </c>
      <c r="L20" s="365"/>
      <c r="M20" s="236"/>
      <c r="N20" s="828">
        <f t="shared" si="5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35">
        <v>90000</v>
      </c>
      <c r="J21" s="235">
        <v>90000</v>
      </c>
      <c r="K21" s="495">
        <v>55016</v>
      </c>
      <c r="L21" s="365"/>
      <c r="M21" s="236"/>
      <c r="N21" s="828">
        <f t="shared" si="5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35">
        <v>0</v>
      </c>
      <c r="J22" s="235">
        <v>0</v>
      </c>
      <c r="K22" s="495">
        <v>0</v>
      </c>
      <c r="L22" s="365"/>
      <c r="M22" s="236"/>
      <c r="N22" s="828">
        <f t="shared" si="5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35">
        <v>40000</v>
      </c>
      <c r="J23" s="235">
        <v>40000</v>
      </c>
      <c r="K23" s="495">
        <v>24472</v>
      </c>
      <c r="L23" s="365"/>
      <c r="M23" s="236"/>
      <c r="N23" s="828">
        <f t="shared" si="5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35">
        <v>9000</v>
      </c>
      <c r="J24" s="235">
        <v>9000</v>
      </c>
      <c r="K24" s="495">
        <v>4409</v>
      </c>
      <c r="L24" s="365"/>
      <c r="M24" s="236"/>
      <c r="N24" s="828">
        <f t="shared" si="5"/>
        <v>0</v>
      </c>
      <c r="O24" s="887">
        <f t="shared" si="1"/>
        <v>0</v>
      </c>
      <c r="P24" s="45"/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35">
        <v>70000</v>
      </c>
      <c r="J25" s="235">
        <v>63000</v>
      </c>
      <c r="K25" s="495">
        <v>48020</v>
      </c>
      <c r="L25" s="364"/>
      <c r="M25" s="240"/>
      <c r="N25" s="828">
        <f t="shared" si="5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6"/>
      <c r="M26" s="238"/>
      <c r="N26" s="828">
        <f t="shared" si="5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35"/>
      <c r="J27" s="235"/>
      <c r="K27" s="495"/>
      <c r="L27" s="365"/>
      <c r="M27" s="236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2">
        <f t="shared" ref="I28:J28" si="6">SUM(I29:I30)</f>
        <v>35000</v>
      </c>
      <c r="J28" s="232">
        <f t="shared" si="6"/>
        <v>35000</v>
      </c>
      <c r="K28" s="737">
        <f>SUM(K29:K30)</f>
        <v>8474</v>
      </c>
      <c r="L28" s="492">
        <f>SUM(L29:L30)</f>
        <v>0</v>
      </c>
      <c r="M28" s="237">
        <f>SUM(M29:M30)</f>
        <v>0</v>
      </c>
      <c r="N28" s="789">
        <f>SUM(N29:N30)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5">
        <v>0</v>
      </c>
      <c r="J29" s="235">
        <v>0</v>
      </c>
      <c r="K29" s="495">
        <v>0</v>
      </c>
      <c r="L29" s="364"/>
      <c r="M29" s="240"/>
      <c r="N29" s="828">
        <f t="shared" ref="N29:N30" si="7">SUM(L29:M29)</f>
        <v>0</v>
      </c>
      <c r="O29" s="887" t="str">
        <f t="shared" si="1"/>
        <v/>
      </c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35">
        <v>35000</v>
      </c>
      <c r="J30" s="235">
        <v>35000</v>
      </c>
      <c r="K30" s="495">
        <v>8474</v>
      </c>
      <c r="L30" s="364"/>
      <c r="M30" s="240"/>
      <c r="N30" s="828">
        <f t="shared" si="7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32"/>
      <c r="J31" s="232"/>
      <c r="K31" s="737"/>
      <c r="L31" s="492"/>
      <c r="M31" s="237"/>
      <c r="N31" s="789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2">
        <v>19</v>
      </c>
      <c r="J32" s="232">
        <v>19</v>
      </c>
      <c r="K32" s="737">
        <v>19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J33" si="8">I8+I13+I16+I28</f>
        <v>911930</v>
      </c>
      <c r="J33" s="170">
        <f t="shared" si="8"/>
        <v>911930</v>
      </c>
      <c r="K33" s="158">
        <f t="shared" ref="K33" si="9">K8+K13+K16+K28</f>
        <v>638025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>
        <f t="shared" ref="I34:K35" si="10">I33</f>
        <v>911930</v>
      </c>
      <c r="J34" s="15">
        <f t="shared" si="10"/>
        <v>911930</v>
      </c>
      <c r="K34" s="158">
        <f t="shared" si="10"/>
        <v>638025</v>
      </c>
      <c r="L34" s="377">
        <f t="shared" ref="L34:N35" si="11">L33</f>
        <v>0</v>
      </c>
      <c r="M34" s="170">
        <f t="shared" si="11"/>
        <v>0</v>
      </c>
      <c r="N34" s="789">
        <f t="shared" si="11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si="10"/>
        <v>911930</v>
      </c>
      <c r="J35" s="15">
        <f t="shared" si="10"/>
        <v>911930</v>
      </c>
      <c r="K35" s="158">
        <f t="shared" si="10"/>
        <v>638025</v>
      </c>
      <c r="L35" s="377">
        <f t="shared" si="11"/>
        <v>0</v>
      </c>
      <c r="M35" s="170">
        <f t="shared" si="11"/>
        <v>0</v>
      </c>
      <c r="N35" s="789">
        <f t="shared" si="11"/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L37" s="408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7"/>
  <sheetViews>
    <sheetView topLeftCell="A19" zoomScaleNormal="100" workbookViewId="0">
      <selection activeCell="K29" sqref="K29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116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117</v>
      </c>
      <c r="C7" s="7" t="s">
        <v>79</v>
      </c>
      <c r="D7" s="7" t="s">
        <v>80</v>
      </c>
      <c r="E7" s="422" t="s">
        <v>709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6604350</v>
      </c>
      <c r="J8" s="241">
        <f t="shared" si="0"/>
        <v>6604350</v>
      </c>
      <c r="K8" s="231">
        <f>SUM(K9:K12)</f>
        <v>4732357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2" si="1">IF(J8=0,"",N8/J8*100)</f>
        <v>0</v>
      </c>
      <c r="Q8" s="52"/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5677200</v>
      </c>
      <c r="J9" s="240">
        <v>5677200</v>
      </c>
      <c r="K9" s="230">
        <v>4029456</v>
      </c>
      <c r="L9" s="364"/>
      <c r="M9" s="240"/>
      <c r="N9" s="828">
        <f>SUM(L9:M9)</f>
        <v>0</v>
      </c>
      <c r="O9" s="887">
        <f t="shared" si="1"/>
        <v>0</v>
      </c>
      <c r="P9" s="59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v>927150</v>
      </c>
      <c r="J10" s="240">
        <v>927150</v>
      </c>
      <c r="K10" s="230">
        <v>702901</v>
      </c>
      <c r="L10" s="364"/>
      <c r="M10" s="240"/>
      <c r="N10" s="828">
        <f t="shared" ref="N10:N11" si="2">SUM(L10:M10)</f>
        <v>0</v>
      </c>
      <c r="O10" s="887">
        <f t="shared" si="1"/>
        <v>0</v>
      </c>
      <c r="P10" s="60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0"/>
      <c r="J12" s="240"/>
      <c r="K12" s="230"/>
      <c r="L12" s="364"/>
      <c r="M12" s="240"/>
      <c r="N12" s="828"/>
      <c r="O12" s="887" t="str">
        <f t="shared" si="1"/>
        <v/>
      </c>
      <c r="P12" s="60"/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>SUM(I14:I15)</f>
        <v>980620</v>
      </c>
      <c r="J13" s="241">
        <f>SUM(J14:J15)</f>
        <v>980620</v>
      </c>
      <c r="K13" s="231">
        <f t="shared" ref="K13" si="3">SUM(K14:K15)</f>
        <v>670407</v>
      </c>
      <c r="L13" s="490">
        <f t="shared" ref="L13:N13" si="4">SUM(L14:L15)</f>
        <v>0</v>
      </c>
      <c r="M13" s="241">
        <f t="shared" si="4"/>
        <v>0</v>
      </c>
      <c r="N13" s="827">
        <f t="shared" si="4"/>
        <v>0</v>
      </c>
      <c r="O13" s="886">
        <f t="shared" si="1"/>
        <v>0</v>
      </c>
      <c r="P13" s="61"/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v>880620</v>
      </c>
      <c r="J14" s="240">
        <v>880620</v>
      </c>
      <c r="K14" s="230">
        <f>670407-45413</f>
        <v>624994</v>
      </c>
      <c r="L14" s="364"/>
      <c r="M14" s="240"/>
      <c r="N14" s="828">
        <f>SUM(L14:M14)</f>
        <v>0</v>
      </c>
      <c r="O14" s="887">
        <f t="shared" si="1"/>
        <v>0</v>
      </c>
      <c r="P14" s="59"/>
    </row>
    <row r="15" spans="1:17" s="166" customFormat="1" ht="12.95" customHeight="1">
      <c r="B15" s="167"/>
      <c r="C15" s="168"/>
      <c r="D15" s="168"/>
      <c r="E15" s="168"/>
      <c r="F15" s="182">
        <v>612100</v>
      </c>
      <c r="G15" s="204" t="s">
        <v>847</v>
      </c>
      <c r="H15" s="445" t="s">
        <v>796</v>
      </c>
      <c r="I15" s="240">
        <v>100000</v>
      </c>
      <c r="J15" s="240">
        <v>100000</v>
      </c>
      <c r="K15" s="230">
        <v>45413</v>
      </c>
      <c r="L15" s="364"/>
      <c r="M15" s="240"/>
      <c r="N15" s="828">
        <f>SUM(L15:M15)</f>
        <v>0</v>
      </c>
      <c r="O15" s="887">
        <f t="shared" ref="O15" si="5">IF(J15=0,"",N15/J15*100)</f>
        <v>0</v>
      </c>
      <c r="P15" s="59"/>
    </row>
    <row r="16" spans="1:17" ht="12.95" customHeight="1">
      <c r="B16" s="10"/>
      <c r="C16" s="11"/>
      <c r="D16" s="11"/>
      <c r="E16" s="168"/>
      <c r="F16" s="182"/>
      <c r="G16" s="201"/>
      <c r="H16" s="435"/>
      <c r="I16" s="240"/>
      <c r="J16" s="240"/>
      <c r="K16" s="230"/>
      <c r="L16" s="364"/>
      <c r="M16" s="240"/>
      <c r="N16" s="791"/>
      <c r="O16" s="887" t="str">
        <f t="shared" si="1"/>
        <v/>
      </c>
      <c r="P16" s="60"/>
    </row>
    <row r="17" spans="1:16" s="1" customFormat="1" ht="12.95" customHeight="1">
      <c r="A17" s="163"/>
      <c r="B17" s="12"/>
      <c r="C17" s="8"/>
      <c r="D17" s="8"/>
      <c r="E17" s="8"/>
      <c r="F17" s="181">
        <v>613000</v>
      </c>
      <c r="G17" s="200"/>
      <c r="H17" s="25" t="s">
        <v>141</v>
      </c>
      <c r="I17" s="241">
        <f t="shared" ref="I17:N17" si="6">SUM(I18:I27)</f>
        <v>999000</v>
      </c>
      <c r="J17" s="241">
        <f t="shared" si="6"/>
        <v>999000</v>
      </c>
      <c r="K17" s="231">
        <f t="shared" si="6"/>
        <v>596969</v>
      </c>
      <c r="L17" s="490">
        <f t="shared" si="6"/>
        <v>0</v>
      </c>
      <c r="M17" s="241">
        <f t="shared" si="6"/>
        <v>0</v>
      </c>
      <c r="N17" s="789">
        <f t="shared" si="6"/>
        <v>0</v>
      </c>
      <c r="O17" s="886">
        <f t="shared" si="1"/>
        <v>0</v>
      </c>
    </row>
    <row r="18" spans="1:16" ht="12.95" customHeight="1">
      <c r="B18" s="10"/>
      <c r="C18" s="11"/>
      <c r="D18" s="11"/>
      <c r="E18" s="168"/>
      <c r="F18" s="182">
        <v>613100</v>
      </c>
      <c r="G18" s="201"/>
      <c r="H18" s="24" t="s">
        <v>82</v>
      </c>
      <c r="I18" s="240">
        <v>12000</v>
      </c>
      <c r="J18" s="240">
        <v>12000</v>
      </c>
      <c r="K18" s="230">
        <v>5717</v>
      </c>
      <c r="L18" s="364"/>
      <c r="M18" s="240"/>
      <c r="N18" s="828">
        <f t="shared" ref="N18:N27" si="7">SUM(L18:M18)</f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613200</v>
      </c>
      <c r="G19" s="201"/>
      <c r="H19" s="24" t="s">
        <v>83</v>
      </c>
      <c r="I19" s="240">
        <v>78000</v>
      </c>
      <c r="J19" s="240">
        <v>78000</v>
      </c>
      <c r="K19" s="230">
        <v>46258</v>
      </c>
      <c r="L19" s="364"/>
      <c r="M19" s="240"/>
      <c r="N19" s="828">
        <f t="shared" si="7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613300</v>
      </c>
      <c r="G20" s="201"/>
      <c r="H20" s="435" t="s">
        <v>163</v>
      </c>
      <c r="I20" s="240">
        <v>81000</v>
      </c>
      <c r="J20" s="240">
        <v>81000</v>
      </c>
      <c r="K20" s="230">
        <v>58088</v>
      </c>
      <c r="L20" s="364"/>
      <c r="M20" s="240"/>
      <c r="N20" s="828">
        <f t="shared" si="7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613400</v>
      </c>
      <c r="G21" s="201"/>
      <c r="H21" s="24" t="s">
        <v>142</v>
      </c>
      <c r="I21" s="240">
        <v>208000</v>
      </c>
      <c r="J21" s="240">
        <v>208000</v>
      </c>
      <c r="K21" s="230">
        <v>145378</v>
      </c>
      <c r="L21" s="364"/>
      <c r="M21" s="240"/>
      <c r="N21" s="828">
        <f t="shared" si="7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613500</v>
      </c>
      <c r="G22" s="201"/>
      <c r="H22" s="24" t="s">
        <v>84</v>
      </c>
      <c r="I22" s="240">
        <v>135000</v>
      </c>
      <c r="J22" s="240">
        <v>135000</v>
      </c>
      <c r="K22" s="230">
        <v>108646</v>
      </c>
      <c r="L22" s="364"/>
      <c r="M22" s="240"/>
      <c r="N22" s="828">
        <f t="shared" si="7"/>
        <v>0</v>
      </c>
      <c r="O22" s="887">
        <f t="shared" si="1"/>
        <v>0</v>
      </c>
    </row>
    <row r="23" spans="1:16" ht="12.95" customHeight="1">
      <c r="B23" s="10"/>
      <c r="C23" s="11"/>
      <c r="D23" s="11"/>
      <c r="E23" s="168"/>
      <c r="F23" s="182">
        <v>613600</v>
      </c>
      <c r="G23" s="201"/>
      <c r="H23" s="435" t="s">
        <v>164</v>
      </c>
      <c r="I23" s="240">
        <v>27000</v>
      </c>
      <c r="J23" s="240">
        <v>27000</v>
      </c>
      <c r="K23" s="230">
        <v>20250</v>
      </c>
      <c r="L23" s="364"/>
      <c r="M23" s="240"/>
      <c r="N23" s="828">
        <f t="shared" si="7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613700</v>
      </c>
      <c r="G24" s="201"/>
      <c r="H24" s="24" t="s">
        <v>85</v>
      </c>
      <c r="I24" s="240">
        <v>95000</v>
      </c>
      <c r="J24" s="240">
        <v>95000</v>
      </c>
      <c r="K24" s="230">
        <v>58852</v>
      </c>
      <c r="L24" s="364"/>
      <c r="M24" s="240"/>
      <c r="N24" s="828">
        <f t="shared" si="7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613800</v>
      </c>
      <c r="G25" s="201"/>
      <c r="H25" s="24" t="s">
        <v>143</v>
      </c>
      <c r="I25" s="240">
        <v>28000</v>
      </c>
      <c r="J25" s="240">
        <v>28000</v>
      </c>
      <c r="K25" s="230">
        <v>20418</v>
      </c>
      <c r="L25" s="364"/>
      <c r="M25" s="240"/>
      <c r="N25" s="828">
        <f t="shared" si="7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24" t="s">
        <v>144</v>
      </c>
      <c r="I26" s="240">
        <v>335000</v>
      </c>
      <c r="J26" s="240">
        <v>335000</v>
      </c>
      <c r="K26" s="230">
        <v>133362</v>
      </c>
      <c r="L26" s="364"/>
      <c r="M26" s="240"/>
      <c r="N26" s="828">
        <f t="shared" si="7"/>
        <v>0</v>
      </c>
      <c r="O26" s="887">
        <f t="shared" si="1"/>
        <v>0</v>
      </c>
    </row>
    <row r="27" spans="1:16" ht="12.95" customHeight="1">
      <c r="B27" s="10"/>
      <c r="C27" s="11"/>
      <c r="D27" s="11"/>
      <c r="E27" s="168"/>
      <c r="F27" s="182">
        <v>613900</v>
      </c>
      <c r="G27" s="201"/>
      <c r="H27" s="442" t="s">
        <v>436</v>
      </c>
      <c r="I27" s="242">
        <v>0</v>
      </c>
      <c r="J27" s="242">
        <v>0</v>
      </c>
      <c r="K27" s="229">
        <v>0</v>
      </c>
      <c r="L27" s="367"/>
      <c r="M27" s="242"/>
      <c r="N27" s="828">
        <f t="shared" si="7"/>
        <v>0</v>
      </c>
      <c r="O27" s="887" t="str">
        <f t="shared" si="1"/>
        <v/>
      </c>
      <c r="P27" s="51"/>
    </row>
    <row r="28" spans="1:16" s="1" customFormat="1" ht="12.95" customHeight="1">
      <c r="A28" s="163"/>
      <c r="B28" s="12"/>
      <c r="C28" s="8"/>
      <c r="D28" s="8"/>
      <c r="E28" s="421"/>
      <c r="F28" s="192"/>
      <c r="G28" s="212"/>
      <c r="H28" s="25"/>
      <c r="I28" s="240"/>
      <c r="J28" s="240"/>
      <c r="K28" s="230"/>
      <c r="L28" s="364"/>
      <c r="M28" s="240"/>
      <c r="N28" s="791"/>
      <c r="O28" s="887" t="str">
        <f t="shared" si="1"/>
        <v/>
      </c>
    </row>
    <row r="29" spans="1:16" s="1" customFormat="1" ht="12.95" customHeight="1">
      <c r="A29" s="163"/>
      <c r="B29" s="12"/>
      <c r="C29" s="8"/>
      <c r="D29" s="8"/>
      <c r="E29" s="8"/>
      <c r="F29" s="181">
        <v>821000</v>
      </c>
      <c r="G29" s="200"/>
      <c r="H29" s="25" t="s">
        <v>88</v>
      </c>
      <c r="I29" s="241">
        <f t="shared" ref="I29:N29" si="8">SUM(I30:I31)</f>
        <v>170000</v>
      </c>
      <c r="J29" s="241">
        <f t="shared" si="8"/>
        <v>170000</v>
      </c>
      <c r="K29" s="231">
        <f t="shared" si="8"/>
        <v>71239</v>
      </c>
      <c r="L29" s="490">
        <f t="shared" si="8"/>
        <v>0</v>
      </c>
      <c r="M29" s="241">
        <f t="shared" si="8"/>
        <v>0</v>
      </c>
      <c r="N29" s="789">
        <f t="shared" si="8"/>
        <v>0</v>
      </c>
      <c r="O29" s="886">
        <f t="shared" si="1"/>
        <v>0</v>
      </c>
    </row>
    <row r="30" spans="1:16" ht="12.95" customHeight="1">
      <c r="B30" s="10"/>
      <c r="C30" s="11"/>
      <c r="D30" s="11"/>
      <c r="E30" s="168"/>
      <c r="F30" s="182">
        <v>821200</v>
      </c>
      <c r="G30" s="201"/>
      <c r="H30" s="24" t="s">
        <v>89</v>
      </c>
      <c r="I30" s="240">
        <v>100000</v>
      </c>
      <c r="J30" s="240">
        <v>100000</v>
      </c>
      <c r="K30" s="230">
        <v>2340</v>
      </c>
      <c r="L30" s="364"/>
      <c r="M30" s="240"/>
      <c r="N30" s="828">
        <f t="shared" ref="N30:N31" si="9">SUM(L30:M30)</f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>
        <v>821300</v>
      </c>
      <c r="G31" s="201"/>
      <c r="H31" s="24" t="s">
        <v>90</v>
      </c>
      <c r="I31" s="240">
        <v>70000</v>
      </c>
      <c r="J31" s="240">
        <v>70000</v>
      </c>
      <c r="K31" s="230">
        <v>68899</v>
      </c>
      <c r="L31" s="364"/>
      <c r="M31" s="240"/>
      <c r="N31" s="828">
        <f t="shared" si="9"/>
        <v>0</v>
      </c>
      <c r="O31" s="887">
        <f t="shared" si="1"/>
        <v>0</v>
      </c>
    </row>
    <row r="32" spans="1:16" ht="12.95" customHeight="1">
      <c r="B32" s="10"/>
      <c r="C32" s="11"/>
      <c r="D32" s="11"/>
      <c r="E32" s="168"/>
      <c r="F32" s="182"/>
      <c r="G32" s="201"/>
      <c r="H32" s="24"/>
      <c r="I32" s="237"/>
      <c r="J32" s="237"/>
      <c r="K32" s="228"/>
      <c r="L32" s="492"/>
      <c r="M32" s="237"/>
      <c r="N32" s="789"/>
      <c r="O32" s="887" t="str">
        <f t="shared" si="1"/>
        <v/>
      </c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25" t="s">
        <v>91</v>
      </c>
      <c r="I33" s="384" t="s">
        <v>901</v>
      </c>
      <c r="J33" s="384" t="s">
        <v>901</v>
      </c>
      <c r="K33" s="494" t="s">
        <v>943</v>
      </c>
      <c r="L33" s="493"/>
      <c r="M33" s="384"/>
      <c r="N33" s="782"/>
      <c r="O33" s="887"/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105</v>
      </c>
      <c r="I34" s="374">
        <f t="shared" ref="I34:N34" si="10">I8+I13+I17+I29</f>
        <v>8753970</v>
      </c>
      <c r="J34" s="170">
        <f t="shared" si="10"/>
        <v>8753970</v>
      </c>
      <c r="K34" s="158">
        <f t="shared" ref="K34" si="11">K8+K13+K17+K29</f>
        <v>6070972</v>
      </c>
      <c r="L34" s="377">
        <f t="shared" si="10"/>
        <v>0</v>
      </c>
      <c r="M34" s="170">
        <f t="shared" si="10"/>
        <v>0</v>
      </c>
      <c r="N34" s="789">
        <f t="shared" si="10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92</v>
      </c>
      <c r="I35" s="374">
        <f t="shared" ref="I35:K36" si="12">I34</f>
        <v>8753970</v>
      </c>
      <c r="J35" s="170">
        <f t="shared" si="12"/>
        <v>8753970</v>
      </c>
      <c r="K35" s="158">
        <f t="shared" si="12"/>
        <v>6070972</v>
      </c>
      <c r="L35" s="377">
        <f t="shared" ref="L35:N36" si="13">L34</f>
        <v>0</v>
      </c>
      <c r="M35" s="170">
        <f t="shared" si="13"/>
        <v>0</v>
      </c>
      <c r="N35" s="789">
        <f t="shared" si="13"/>
        <v>0</v>
      </c>
      <c r="O35" s="886">
        <f>IF(J35=0,"",N35/J35*100)</f>
        <v>0</v>
      </c>
    </row>
    <row r="36" spans="1:15" s="1" customFormat="1" ht="12.95" customHeight="1">
      <c r="A36" s="163"/>
      <c r="B36" s="12"/>
      <c r="C36" s="8"/>
      <c r="D36" s="8"/>
      <c r="E36" s="8"/>
      <c r="F36" s="181"/>
      <c r="G36" s="200"/>
      <c r="H36" s="8" t="s">
        <v>93</v>
      </c>
      <c r="I36" s="15">
        <f t="shared" si="12"/>
        <v>8753970</v>
      </c>
      <c r="J36" s="15">
        <f t="shared" si="12"/>
        <v>8753970</v>
      </c>
      <c r="K36" s="158">
        <f t="shared" si="12"/>
        <v>6070972</v>
      </c>
      <c r="L36" s="377">
        <f t="shared" si="13"/>
        <v>0</v>
      </c>
      <c r="M36" s="170">
        <f t="shared" si="13"/>
        <v>0</v>
      </c>
      <c r="N36" s="789">
        <f t="shared" si="13"/>
        <v>0</v>
      </c>
      <c r="O36" s="886">
        <f>IF(J36=0,"",N36/J36*100)</f>
        <v>0</v>
      </c>
    </row>
    <row r="37" spans="1:15" ht="12.95" customHeight="1" thickBot="1">
      <c r="B37" s="16"/>
      <c r="C37" s="17"/>
      <c r="D37" s="17"/>
      <c r="E37" s="17"/>
      <c r="F37" s="183"/>
      <c r="G37" s="202"/>
      <c r="H37" s="17"/>
      <c r="I37" s="17"/>
      <c r="J37" s="17"/>
      <c r="K37" s="362"/>
      <c r="L37" s="16"/>
      <c r="M37" s="17"/>
      <c r="N37" s="815"/>
      <c r="O37" s="888"/>
    </row>
    <row r="38" spans="1:15" ht="12.95" customHeight="1">
      <c r="F38" s="184"/>
      <c r="G38" s="203"/>
      <c r="L38" s="406"/>
      <c r="N38" s="258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B42" s="45"/>
      <c r="F42" s="184"/>
      <c r="G42" s="203"/>
      <c r="N42" s="258"/>
    </row>
    <row r="43" spans="1:15" ht="12.95" customHeight="1">
      <c r="B43" s="45"/>
      <c r="F43" s="184"/>
      <c r="G43" s="203"/>
      <c r="N43" s="258"/>
    </row>
    <row r="44" spans="1:15" ht="12.95" customHeight="1">
      <c r="B44" s="45"/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2.95" customHeight="1">
      <c r="F60" s="184"/>
      <c r="G60" s="203"/>
      <c r="N60" s="258"/>
    </row>
    <row r="61" spans="6:14" ht="17.100000000000001" customHeight="1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203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 ht="14.25">
      <c r="F91" s="184"/>
      <c r="G91" s="184"/>
      <c r="N91" s="258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  <row r="97" spans="7:7">
      <c r="G97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topLeftCell="A4" zoomScaleNormal="100" workbookViewId="0">
      <selection activeCell="L17" sqref="L17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639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92" t="s">
        <v>530</v>
      </c>
      <c r="M5" s="386" t="s">
        <v>531</v>
      </c>
      <c r="N5" s="838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93">
        <v>11</v>
      </c>
      <c r="M6" s="387">
        <v>12</v>
      </c>
      <c r="N6" s="839" t="s">
        <v>707</v>
      </c>
      <c r="O6" s="884" t="s">
        <v>851</v>
      </c>
    </row>
    <row r="7" spans="1:17" s="2" customFormat="1" ht="12.95" customHeight="1">
      <c r="A7" s="164"/>
      <c r="B7" s="6" t="s">
        <v>118</v>
      </c>
      <c r="C7" s="7" t="s">
        <v>79</v>
      </c>
      <c r="D7" s="7" t="s">
        <v>80</v>
      </c>
      <c r="E7" s="422" t="s">
        <v>710</v>
      </c>
      <c r="F7" s="5"/>
      <c r="G7" s="165"/>
      <c r="H7" s="5"/>
      <c r="I7" s="385"/>
      <c r="J7" s="71"/>
      <c r="K7" s="740"/>
      <c r="L7" s="394"/>
      <c r="M7" s="388"/>
      <c r="N7" s="840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446">
        <f t="shared" ref="I8:J8" si="0">SUM(I9:I12)</f>
        <v>179940</v>
      </c>
      <c r="J8" s="446">
        <f t="shared" si="0"/>
        <v>179940</v>
      </c>
      <c r="K8" s="747">
        <f>SUM(K9:K12)</f>
        <v>127687</v>
      </c>
      <c r="L8" s="498">
        <f>SUM(L9:L12)</f>
        <v>0</v>
      </c>
      <c r="M8" s="446">
        <f>SUM(M9:M12)</f>
        <v>0</v>
      </c>
      <c r="N8" s="841">
        <f>SUM(N9:N12)</f>
        <v>0</v>
      </c>
      <c r="O8" s="886">
        <f t="shared" ref="O8:O33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447">
        <v>154090</v>
      </c>
      <c r="J9" s="447">
        <v>154090</v>
      </c>
      <c r="K9" s="748">
        <v>109254</v>
      </c>
      <c r="L9" s="499"/>
      <c r="M9" s="447"/>
      <c r="N9" s="842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447">
        <v>25850</v>
      </c>
      <c r="J10" s="447">
        <v>25850</v>
      </c>
      <c r="K10" s="748">
        <v>18433</v>
      </c>
      <c r="L10" s="499"/>
      <c r="M10" s="447"/>
      <c r="N10" s="842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448">
        <v>0</v>
      </c>
      <c r="J11" s="448">
        <v>0</v>
      </c>
      <c r="K11" s="749">
        <v>0</v>
      </c>
      <c r="L11" s="444"/>
      <c r="M11" s="448"/>
      <c r="N11" s="842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447"/>
      <c r="J12" s="447"/>
      <c r="K12" s="748"/>
      <c r="L12" s="499"/>
      <c r="M12" s="447"/>
      <c r="N12" s="842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446">
        <f t="shared" ref="I13:J13" si="3">I14</f>
        <v>16330</v>
      </c>
      <c r="J13" s="446">
        <f t="shared" si="3"/>
        <v>16330</v>
      </c>
      <c r="K13" s="747">
        <f>K14</f>
        <v>11472</v>
      </c>
      <c r="L13" s="498">
        <f>L14</f>
        <v>0</v>
      </c>
      <c r="M13" s="446">
        <f>M14</f>
        <v>0</v>
      </c>
      <c r="N13" s="841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447">
        <v>16330</v>
      </c>
      <c r="J14" s="447">
        <v>16330</v>
      </c>
      <c r="K14" s="748">
        <v>11472</v>
      </c>
      <c r="L14" s="499"/>
      <c r="M14" s="447"/>
      <c r="N14" s="842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449"/>
      <c r="J15" s="449"/>
      <c r="K15" s="750"/>
      <c r="L15" s="500"/>
      <c r="M15" s="449"/>
      <c r="N15" s="843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450">
        <f t="shared" ref="I16:J16" si="4">SUM(I17:I28)</f>
        <v>161300</v>
      </c>
      <c r="J16" s="450">
        <f t="shared" si="4"/>
        <v>161300</v>
      </c>
      <c r="K16" s="751">
        <f>SUM(K17:K28)</f>
        <v>104116</v>
      </c>
      <c r="L16" s="501">
        <f>SUM(L17:L28)</f>
        <v>0</v>
      </c>
      <c r="M16" s="450">
        <f>SUM(M17:M28)</f>
        <v>0</v>
      </c>
      <c r="N16" s="844">
        <f>SUM(N17:N28)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448">
        <v>4000</v>
      </c>
      <c r="J17" s="448">
        <v>4000</v>
      </c>
      <c r="K17" s="749">
        <v>2625</v>
      </c>
      <c r="L17" s="444"/>
      <c r="M17" s="448"/>
      <c r="N17" s="842">
        <f t="shared" ref="N17:N28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448">
        <v>0</v>
      </c>
      <c r="J18" s="448">
        <v>0</v>
      </c>
      <c r="K18" s="749">
        <v>0</v>
      </c>
      <c r="L18" s="444"/>
      <c r="M18" s="448"/>
      <c r="N18" s="842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448">
        <v>2800</v>
      </c>
      <c r="J19" s="448">
        <v>2800</v>
      </c>
      <c r="K19" s="749">
        <v>1533</v>
      </c>
      <c r="L19" s="444"/>
      <c r="M19" s="448"/>
      <c r="N19" s="842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448">
        <v>4000</v>
      </c>
      <c r="J20" s="448">
        <v>4000</v>
      </c>
      <c r="K20" s="749">
        <v>2618</v>
      </c>
      <c r="L20" s="444"/>
      <c r="M20" s="448"/>
      <c r="N20" s="842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448">
        <v>0</v>
      </c>
      <c r="J21" s="448">
        <v>0</v>
      </c>
      <c r="K21" s="749">
        <v>0</v>
      </c>
      <c r="L21" s="444"/>
      <c r="M21" s="448"/>
      <c r="N21" s="842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448">
        <v>0</v>
      </c>
      <c r="J22" s="448">
        <v>0</v>
      </c>
      <c r="K22" s="749">
        <v>0</v>
      </c>
      <c r="L22" s="444"/>
      <c r="M22" s="448"/>
      <c r="N22" s="842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448">
        <v>1000</v>
      </c>
      <c r="J23" s="448">
        <v>1000</v>
      </c>
      <c r="K23" s="749">
        <v>305</v>
      </c>
      <c r="L23" s="444"/>
      <c r="M23" s="448"/>
      <c r="N23" s="842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448">
        <v>0</v>
      </c>
      <c r="J24" s="448">
        <v>0</v>
      </c>
      <c r="K24" s="749">
        <v>0</v>
      </c>
      <c r="L24" s="444"/>
      <c r="M24" s="448"/>
      <c r="N24" s="842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448">
        <v>20000</v>
      </c>
      <c r="J25" s="448">
        <v>20000</v>
      </c>
      <c r="K25" s="749">
        <v>12265</v>
      </c>
      <c r="L25" s="444"/>
      <c r="M25" s="448"/>
      <c r="N25" s="842">
        <f t="shared" si="5"/>
        <v>0</v>
      </c>
      <c r="O25" s="887">
        <f t="shared" si="1"/>
        <v>0</v>
      </c>
    </row>
    <row r="26" spans="1:15" s="166" customFormat="1" ht="12.95" customHeight="1">
      <c r="B26" s="167"/>
      <c r="C26" s="168"/>
      <c r="D26" s="168"/>
      <c r="E26" s="168"/>
      <c r="F26" s="182">
        <v>613900</v>
      </c>
      <c r="G26" s="204" t="s">
        <v>728</v>
      </c>
      <c r="H26" s="445" t="s">
        <v>726</v>
      </c>
      <c r="I26" s="448">
        <v>44500</v>
      </c>
      <c r="J26" s="448">
        <v>44500</v>
      </c>
      <c r="K26" s="749">
        <v>32915</v>
      </c>
      <c r="L26" s="444"/>
      <c r="M26" s="448"/>
      <c r="N26" s="842">
        <f t="shared" ref="N26:N27" si="6">SUM(L26:M26)</f>
        <v>0</v>
      </c>
      <c r="O26" s="887">
        <f t="shared" si="1"/>
        <v>0</v>
      </c>
    </row>
    <row r="27" spans="1:15" s="454" customFormat="1" ht="12.95" customHeight="1">
      <c r="B27" s="455"/>
      <c r="C27" s="402"/>
      <c r="D27" s="402"/>
      <c r="E27" s="402"/>
      <c r="F27" s="456">
        <v>613900</v>
      </c>
      <c r="G27" s="457" t="s">
        <v>738</v>
      </c>
      <c r="H27" s="371" t="s">
        <v>739</v>
      </c>
      <c r="I27" s="448">
        <v>85000</v>
      </c>
      <c r="J27" s="448">
        <v>85000</v>
      </c>
      <c r="K27" s="749">
        <v>51855</v>
      </c>
      <c r="L27" s="444"/>
      <c r="M27" s="448"/>
      <c r="N27" s="458">
        <f t="shared" si="6"/>
        <v>0</v>
      </c>
      <c r="O27" s="890">
        <f t="shared" si="1"/>
        <v>0</v>
      </c>
    </row>
    <row r="28" spans="1:15" ht="12.95" customHeight="1">
      <c r="B28" s="10"/>
      <c r="C28" s="11"/>
      <c r="D28" s="11"/>
      <c r="E28" s="168"/>
      <c r="F28" s="182">
        <v>613900</v>
      </c>
      <c r="G28" s="201"/>
      <c r="H28" s="442" t="s">
        <v>436</v>
      </c>
      <c r="I28" s="451">
        <v>0</v>
      </c>
      <c r="J28" s="451">
        <v>0</v>
      </c>
      <c r="K28" s="752">
        <v>0</v>
      </c>
      <c r="L28" s="502"/>
      <c r="M28" s="451"/>
      <c r="N28" s="842">
        <f t="shared" si="5"/>
        <v>0</v>
      </c>
      <c r="O28" s="887" t="str">
        <f t="shared" si="1"/>
        <v/>
      </c>
    </row>
    <row r="29" spans="1:15" s="1" customFormat="1" ht="12.95" customHeight="1">
      <c r="A29" s="163"/>
      <c r="B29" s="12"/>
      <c r="C29" s="8"/>
      <c r="D29" s="8"/>
      <c r="E29" s="421"/>
      <c r="F29" s="192"/>
      <c r="G29" s="212"/>
      <c r="H29" s="25"/>
      <c r="I29" s="449"/>
      <c r="J29" s="449"/>
      <c r="K29" s="750"/>
      <c r="L29" s="500"/>
      <c r="M29" s="449"/>
      <c r="N29" s="843"/>
      <c r="O29" s="887" t="str">
        <f t="shared" si="1"/>
        <v/>
      </c>
    </row>
    <row r="30" spans="1:15" s="1" customFormat="1" ht="12.95" customHeight="1">
      <c r="A30" s="163"/>
      <c r="B30" s="12"/>
      <c r="C30" s="8"/>
      <c r="D30" s="8"/>
      <c r="E30" s="8"/>
      <c r="F30" s="181">
        <v>821000</v>
      </c>
      <c r="G30" s="200"/>
      <c r="H30" s="25" t="s">
        <v>88</v>
      </c>
      <c r="I30" s="452">
        <f t="shared" ref="I30:N30" si="7">SUM(I31:I32)</f>
        <v>5000</v>
      </c>
      <c r="J30" s="452">
        <f t="shared" si="7"/>
        <v>5000</v>
      </c>
      <c r="K30" s="753">
        <f t="shared" si="7"/>
        <v>1670</v>
      </c>
      <c r="L30" s="503">
        <f t="shared" si="7"/>
        <v>0</v>
      </c>
      <c r="M30" s="452">
        <f t="shared" si="7"/>
        <v>0</v>
      </c>
      <c r="N30" s="844">
        <f t="shared" si="7"/>
        <v>0</v>
      </c>
      <c r="O30" s="886">
        <f t="shared" si="1"/>
        <v>0</v>
      </c>
    </row>
    <row r="31" spans="1:15" ht="12.95" customHeight="1">
      <c r="B31" s="10"/>
      <c r="C31" s="11"/>
      <c r="D31" s="11"/>
      <c r="E31" s="168"/>
      <c r="F31" s="182">
        <v>821200</v>
      </c>
      <c r="G31" s="201"/>
      <c r="H31" s="24" t="s">
        <v>89</v>
      </c>
      <c r="I31" s="449">
        <v>0</v>
      </c>
      <c r="J31" s="449">
        <v>0</v>
      </c>
      <c r="K31" s="750">
        <v>0</v>
      </c>
      <c r="L31" s="500"/>
      <c r="M31" s="449"/>
      <c r="N31" s="842">
        <f t="shared" ref="N31:N32" si="8">SUM(L31:M31)</f>
        <v>0</v>
      </c>
      <c r="O31" s="887" t="str">
        <f t="shared" si="1"/>
        <v/>
      </c>
    </row>
    <row r="32" spans="1:15" ht="12.95" customHeight="1">
      <c r="B32" s="10"/>
      <c r="C32" s="11"/>
      <c r="D32" s="11"/>
      <c r="E32" s="168"/>
      <c r="F32" s="182">
        <v>821300</v>
      </c>
      <c r="G32" s="201"/>
      <c r="H32" s="24" t="s">
        <v>90</v>
      </c>
      <c r="I32" s="449">
        <v>5000</v>
      </c>
      <c r="J32" s="449">
        <v>5000</v>
      </c>
      <c r="K32" s="750">
        <v>1670</v>
      </c>
      <c r="L32" s="500"/>
      <c r="M32" s="449"/>
      <c r="N32" s="842">
        <f t="shared" si="8"/>
        <v>0</v>
      </c>
      <c r="O32" s="887">
        <f t="shared" si="1"/>
        <v>0</v>
      </c>
    </row>
    <row r="33" spans="1:15" ht="12.95" customHeight="1">
      <c r="B33" s="10"/>
      <c r="C33" s="11"/>
      <c r="D33" s="11"/>
      <c r="E33" s="168"/>
      <c r="F33" s="182"/>
      <c r="G33" s="201"/>
      <c r="H33" s="24"/>
      <c r="I33" s="449"/>
      <c r="J33" s="449"/>
      <c r="K33" s="750"/>
      <c r="L33" s="500"/>
      <c r="M33" s="449"/>
      <c r="N33" s="843"/>
      <c r="O33" s="887" t="str">
        <f t="shared" si="1"/>
        <v/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25" t="s">
        <v>91</v>
      </c>
      <c r="I34" s="453" t="s">
        <v>829</v>
      </c>
      <c r="J34" s="453" t="s">
        <v>829</v>
      </c>
      <c r="K34" s="754" t="s">
        <v>829</v>
      </c>
      <c r="L34" s="504"/>
      <c r="M34" s="505"/>
      <c r="N34" s="845"/>
      <c r="O34" s="887"/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25" t="s">
        <v>105</v>
      </c>
      <c r="I35" s="452">
        <f t="shared" ref="I35:N35" si="9">I8+I13+I16+I30</f>
        <v>362570</v>
      </c>
      <c r="J35" s="452">
        <f t="shared" si="9"/>
        <v>362570</v>
      </c>
      <c r="K35" s="753">
        <f t="shared" ref="K35" si="10">K8+K13+K16+K30</f>
        <v>244945</v>
      </c>
      <c r="L35" s="395">
        <f t="shared" si="9"/>
        <v>0</v>
      </c>
      <c r="M35" s="389">
        <f t="shared" si="9"/>
        <v>0</v>
      </c>
      <c r="N35" s="844">
        <f t="shared" si="9"/>
        <v>0</v>
      </c>
      <c r="O35" s="886">
        <f>IF(J35=0,"",N35/J35*100)</f>
        <v>0</v>
      </c>
    </row>
    <row r="36" spans="1:15" s="1" customFormat="1" ht="12.95" customHeight="1">
      <c r="A36" s="163"/>
      <c r="B36" s="12"/>
      <c r="C36" s="8"/>
      <c r="D36" s="8"/>
      <c r="E36" s="8"/>
      <c r="F36" s="181"/>
      <c r="G36" s="200"/>
      <c r="H36" s="8" t="s">
        <v>92</v>
      </c>
      <c r="I36" s="374"/>
      <c r="J36" s="170"/>
      <c r="K36" s="158"/>
      <c r="L36" s="395"/>
      <c r="M36" s="389"/>
      <c r="N36" s="844"/>
      <c r="O36" s="887" t="str">
        <f>IF(J36=0,"",N36/J36*100)</f>
        <v/>
      </c>
    </row>
    <row r="37" spans="1:15" s="1" customFormat="1" ht="12.95" customHeight="1">
      <c r="A37" s="163"/>
      <c r="B37" s="12"/>
      <c r="C37" s="8"/>
      <c r="D37" s="8"/>
      <c r="E37" s="8"/>
      <c r="F37" s="181"/>
      <c r="G37" s="200"/>
      <c r="H37" s="8" t="s">
        <v>93</v>
      </c>
      <c r="I37" s="29"/>
      <c r="J37" s="29"/>
      <c r="K37" s="153"/>
      <c r="L37" s="396"/>
      <c r="M37" s="390"/>
      <c r="N37" s="843"/>
      <c r="O37" s="887" t="str">
        <f>IF(J37=0,"",N37/J37*100)</f>
        <v/>
      </c>
    </row>
    <row r="38" spans="1:15" ht="12.95" customHeight="1" thickBot="1">
      <c r="B38" s="16"/>
      <c r="C38" s="17"/>
      <c r="D38" s="17"/>
      <c r="E38" s="17"/>
      <c r="F38" s="183"/>
      <c r="G38" s="202"/>
      <c r="H38" s="17"/>
      <c r="I38" s="31"/>
      <c r="J38" s="31"/>
      <c r="K38" s="739"/>
      <c r="L38" s="397"/>
      <c r="M38" s="391"/>
      <c r="N38" s="846"/>
      <c r="O38" s="888"/>
    </row>
    <row r="39" spans="1:15" ht="12.95" customHeight="1">
      <c r="F39" s="184"/>
      <c r="G39" s="203"/>
      <c r="L39" s="893"/>
      <c r="N39" s="259"/>
    </row>
    <row r="40" spans="1:15" ht="12.95" customHeight="1"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2.95" customHeight="1">
      <c r="F60" s="184"/>
      <c r="G60" s="203"/>
      <c r="N60" s="259"/>
    </row>
    <row r="61" spans="6:14" ht="12.95" customHeight="1">
      <c r="F61" s="184"/>
      <c r="G61" s="203"/>
      <c r="N61" s="259"/>
    </row>
    <row r="62" spans="6:14" ht="17.100000000000001" customHeight="1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203"/>
      <c r="N74" s="259"/>
    </row>
    <row r="75" spans="6:14" ht="14.25">
      <c r="F75" s="184"/>
      <c r="G75" s="203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 ht="14.25">
      <c r="F91" s="184"/>
      <c r="G91" s="184"/>
      <c r="N91" s="259"/>
    </row>
    <row r="92" spans="6:14" ht="14.25">
      <c r="F92" s="184"/>
      <c r="G92" s="184"/>
      <c r="N92" s="259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  <row r="97" spans="7:7">
      <c r="G97" s="184"/>
    </row>
    <row r="98" spans="7:7">
      <c r="G98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topLeftCell="A16" zoomScaleNormal="100" workbookViewId="0">
      <selection activeCell="L30" sqref="L30:M32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9" ht="13.5" thickBot="1"/>
    <row r="2" spans="1:19" s="249" customFormat="1" ht="20.100000000000001" customHeight="1" thickTop="1" thickBot="1">
      <c r="B2" s="963" t="s">
        <v>660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</row>
    <row r="3" spans="1:19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9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9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9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9" s="2" customFormat="1" ht="12.95" customHeight="1">
      <c r="A7" s="164"/>
      <c r="B7" s="6" t="s">
        <v>118</v>
      </c>
      <c r="C7" s="7" t="s">
        <v>119</v>
      </c>
      <c r="D7" s="7" t="s">
        <v>113</v>
      </c>
      <c r="E7" s="422" t="s">
        <v>711</v>
      </c>
      <c r="F7" s="5"/>
      <c r="G7" s="165"/>
      <c r="H7" s="5"/>
      <c r="I7" s="71"/>
      <c r="J7" s="71"/>
      <c r="K7" s="740"/>
      <c r="L7" s="398"/>
      <c r="M7" s="71"/>
      <c r="N7" s="847"/>
      <c r="O7" s="885"/>
    </row>
    <row r="8" spans="1:19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381">
        <f t="shared" ref="I8:J8" si="0">SUM(I9:I12)</f>
        <v>1232110</v>
      </c>
      <c r="J8" s="381">
        <f t="shared" si="0"/>
        <v>1232110</v>
      </c>
      <c r="K8" s="744">
        <f>SUM(K9:K12)</f>
        <v>890358</v>
      </c>
      <c r="L8" s="496">
        <f>SUM(L9:L12)</f>
        <v>0</v>
      </c>
      <c r="M8" s="381">
        <f>SUM(M9:M12)</f>
        <v>0</v>
      </c>
      <c r="N8" s="827">
        <f>SUM(N9:N12)</f>
        <v>0</v>
      </c>
      <c r="O8" s="886">
        <f t="shared" ref="O8:O32" si="1">IF(J8=0,"",N8/J8*100)</f>
        <v>0</v>
      </c>
    </row>
    <row r="9" spans="1:19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1032510</v>
      </c>
      <c r="J9" s="242">
        <v>1032510</v>
      </c>
      <c r="K9" s="745">
        <v>766356</v>
      </c>
      <c r="L9" s="367"/>
      <c r="M9" s="234"/>
      <c r="N9" s="828">
        <f>SUM(L9:M9)</f>
        <v>0</v>
      </c>
      <c r="O9" s="887">
        <f t="shared" si="1"/>
        <v>0</v>
      </c>
    </row>
    <row r="10" spans="1:19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199600</v>
      </c>
      <c r="J10" s="242">
        <v>199600</v>
      </c>
      <c r="K10" s="745">
        <v>124002</v>
      </c>
      <c r="L10" s="367"/>
      <c r="M10" s="234"/>
      <c r="N10" s="828">
        <f t="shared" ref="N10:N11" si="2">SUM(L10:M10)</f>
        <v>0</v>
      </c>
      <c r="O10" s="887">
        <f t="shared" si="1"/>
        <v>0</v>
      </c>
    </row>
    <row r="11" spans="1:19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382">
        <v>0</v>
      </c>
      <c r="J11" s="382">
        <v>0</v>
      </c>
      <c r="K11" s="746">
        <v>0</v>
      </c>
      <c r="L11" s="497"/>
      <c r="M11" s="382"/>
      <c r="N11" s="828">
        <f t="shared" si="2"/>
        <v>0</v>
      </c>
      <c r="O11" s="887" t="str">
        <f t="shared" si="1"/>
        <v/>
      </c>
      <c r="Q11" s="50"/>
    </row>
    <row r="12" spans="1:19" ht="12.95" customHeight="1">
      <c r="B12" s="10"/>
      <c r="C12" s="11"/>
      <c r="D12" s="11"/>
      <c r="E12" s="168"/>
      <c r="F12" s="182"/>
      <c r="G12" s="201"/>
      <c r="H12" s="435"/>
      <c r="I12" s="234"/>
      <c r="J12" s="234"/>
      <c r="K12" s="745"/>
      <c r="L12" s="369"/>
      <c r="M12" s="234"/>
      <c r="N12" s="828"/>
      <c r="O12" s="887" t="str">
        <f t="shared" si="1"/>
        <v/>
      </c>
    </row>
    <row r="13" spans="1:19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381">
        <f t="shared" ref="I13:J13" si="3">I14</f>
        <v>112920</v>
      </c>
      <c r="J13" s="381">
        <f t="shared" si="3"/>
        <v>112920</v>
      </c>
      <c r="K13" s="744">
        <f>K14</f>
        <v>80660</v>
      </c>
      <c r="L13" s="496">
        <f>L14</f>
        <v>0</v>
      </c>
      <c r="M13" s="381">
        <f>M14</f>
        <v>0</v>
      </c>
      <c r="N13" s="827">
        <f>N14</f>
        <v>0</v>
      </c>
      <c r="O13" s="886">
        <f t="shared" si="1"/>
        <v>0</v>
      </c>
    </row>
    <row r="14" spans="1:19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4">
        <v>112920</v>
      </c>
      <c r="J14" s="234">
        <v>112920</v>
      </c>
      <c r="K14" s="745">
        <v>80660</v>
      </c>
      <c r="L14" s="367"/>
      <c r="M14" s="234"/>
      <c r="N14" s="828">
        <f>SUM(L14:M14)</f>
        <v>0</v>
      </c>
      <c r="O14" s="887">
        <f t="shared" si="1"/>
        <v>0</v>
      </c>
    </row>
    <row r="15" spans="1:19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  <c r="S15" s="51"/>
    </row>
    <row r="16" spans="1:19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J16" si="4">SUM(I17:I26)</f>
        <v>269000</v>
      </c>
      <c r="J16" s="241">
        <f t="shared" si="4"/>
        <v>269000</v>
      </c>
      <c r="K16" s="231">
        <f>SUM(K17:K26)</f>
        <v>179411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4000</v>
      </c>
      <c r="J17" s="242">
        <v>4000</v>
      </c>
      <c r="K17" s="229">
        <v>2313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18000</v>
      </c>
      <c r="J18" s="242">
        <v>18000</v>
      </c>
      <c r="K18" s="229">
        <v>10678</v>
      </c>
      <c r="L18" s="366"/>
      <c r="M18" s="238"/>
      <c r="N18" s="828">
        <f t="shared" si="5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78000</v>
      </c>
      <c r="J19" s="242">
        <v>78000</v>
      </c>
      <c r="K19" s="229">
        <v>53113</v>
      </c>
      <c r="L19" s="366"/>
      <c r="M19" s="238"/>
      <c r="N19" s="828">
        <f t="shared" si="5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25000</v>
      </c>
      <c r="J20" s="242">
        <v>25000</v>
      </c>
      <c r="K20" s="229">
        <v>15944</v>
      </c>
      <c r="L20" s="367"/>
      <c r="M20" s="242"/>
      <c r="N20" s="828">
        <f t="shared" si="5"/>
        <v>0</v>
      </c>
      <c r="O20" s="887">
        <f t="shared" si="1"/>
        <v>0</v>
      </c>
      <c r="P20" s="45"/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14000</v>
      </c>
      <c r="J21" s="242">
        <v>14000</v>
      </c>
      <c r="K21" s="229">
        <v>7352</v>
      </c>
      <c r="L21" s="366"/>
      <c r="M21" s="238"/>
      <c r="N21" s="828">
        <f t="shared" si="5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5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7000</v>
      </c>
      <c r="J23" s="242">
        <v>7000</v>
      </c>
      <c r="K23" s="229">
        <v>3206</v>
      </c>
      <c r="L23" s="367"/>
      <c r="M23" s="242"/>
      <c r="N23" s="828">
        <f t="shared" si="5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3000</v>
      </c>
      <c r="J24" s="242">
        <v>3000</v>
      </c>
      <c r="K24" s="229">
        <v>1539</v>
      </c>
      <c r="L24" s="367"/>
      <c r="M24" s="242"/>
      <c r="N24" s="828">
        <f t="shared" si="5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120000</v>
      </c>
      <c r="J25" s="242">
        <v>120000</v>
      </c>
      <c r="K25" s="229">
        <v>85266</v>
      </c>
      <c r="L25" s="367"/>
      <c r="M25" s="242"/>
      <c r="N25" s="828">
        <f t="shared" si="5"/>
        <v>0</v>
      </c>
      <c r="O25" s="887">
        <f t="shared" si="1"/>
        <v>0</v>
      </c>
      <c r="P25" s="58"/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ht="12.95" customHeight="1">
      <c r="B28" s="10"/>
      <c r="C28" s="11"/>
      <c r="D28" s="11"/>
      <c r="E28" s="168"/>
      <c r="F28" s="182"/>
      <c r="G28" s="201"/>
      <c r="H28" s="24"/>
      <c r="I28" s="241"/>
      <c r="J28" s="241"/>
      <c r="K28" s="231"/>
      <c r="L28" s="490"/>
      <c r="M28" s="241"/>
      <c r="N28" s="789"/>
      <c r="O28" s="887" t="str">
        <f t="shared" si="1"/>
        <v/>
      </c>
    </row>
    <row r="29" spans="1:16" s="1" customFormat="1" ht="12.95" customHeight="1">
      <c r="A29" s="163"/>
      <c r="B29" s="12"/>
      <c r="C29" s="8"/>
      <c r="D29" s="8"/>
      <c r="E29" s="8"/>
      <c r="F29" s="181">
        <v>821000</v>
      </c>
      <c r="G29" s="200"/>
      <c r="H29" s="25" t="s">
        <v>88</v>
      </c>
      <c r="I29" s="241">
        <f>SUM(I30:I31)</f>
        <v>53000</v>
      </c>
      <c r="J29" s="241">
        <f>SUM(J30:J31)</f>
        <v>53000</v>
      </c>
      <c r="K29" s="231">
        <f>K30+K31</f>
        <v>41868</v>
      </c>
      <c r="L29" s="490">
        <f>L30+L31</f>
        <v>0</v>
      </c>
      <c r="M29" s="241">
        <f>M30+M31</f>
        <v>0</v>
      </c>
      <c r="N29" s="789">
        <f>N30+N31</f>
        <v>0</v>
      </c>
      <c r="O29" s="886">
        <f t="shared" si="1"/>
        <v>0</v>
      </c>
    </row>
    <row r="30" spans="1:16" ht="12.95" customHeight="1">
      <c r="B30" s="10"/>
      <c r="C30" s="11"/>
      <c r="D30" s="11"/>
      <c r="E30" s="168"/>
      <c r="F30" s="182">
        <v>821200</v>
      </c>
      <c r="G30" s="201"/>
      <c r="H30" s="24" t="s">
        <v>89</v>
      </c>
      <c r="I30" s="242">
        <v>5000</v>
      </c>
      <c r="J30" s="242">
        <v>5000</v>
      </c>
      <c r="K30" s="229">
        <v>0</v>
      </c>
      <c r="L30" s="367"/>
      <c r="M30" s="242"/>
      <c r="N30" s="828">
        <f t="shared" ref="N30:N31" si="6">SUM(L30:M30)</f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>
        <v>821300</v>
      </c>
      <c r="G31" s="201"/>
      <c r="H31" s="24" t="s">
        <v>90</v>
      </c>
      <c r="I31" s="242">
        <v>48000</v>
      </c>
      <c r="J31" s="242">
        <v>48000</v>
      </c>
      <c r="K31" s="229">
        <v>41868</v>
      </c>
      <c r="L31" s="367"/>
      <c r="M31" s="242"/>
      <c r="N31" s="828">
        <f t="shared" si="6"/>
        <v>0</v>
      </c>
      <c r="O31" s="887">
        <f t="shared" si="1"/>
        <v>0</v>
      </c>
    </row>
    <row r="32" spans="1:16" ht="12.95" customHeight="1">
      <c r="B32" s="10"/>
      <c r="C32" s="11"/>
      <c r="D32" s="11"/>
      <c r="E32" s="168"/>
      <c r="F32" s="182"/>
      <c r="G32" s="201"/>
      <c r="H32" s="24"/>
      <c r="I32" s="238"/>
      <c r="J32" s="238"/>
      <c r="K32" s="227"/>
      <c r="L32" s="366"/>
      <c r="M32" s="238"/>
      <c r="N32" s="791"/>
      <c r="O32" s="887" t="str">
        <f t="shared" si="1"/>
        <v/>
      </c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25" t="s">
        <v>91</v>
      </c>
      <c r="I33" s="384">
        <v>41</v>
      </c>
      <c r="J33" s="384">
        <v>41</v>
      </c>
      <c r="K33" s="494">
        <v>40</v>
      </c>
      <c r="L33" s="493"/>
      <c r="M33" s="384"/>
      <c r="N33" s="782"/>
      <c r="O33" s="887"/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105</v>
      </c>
      <c r="I34" s="374">
        <f t="shared" ref="I34:N34" si="7">I8+I13+I16+I29</f>
        <v>1667030</v>
      </c>
      <c r="J34" s="170">
        <f t="shared" si="7"/>
        <v>1667030</v>
      </c>
      <c r="K34" s="158">
        <f t="shared" ref="K34" si="8">K8+K13+K16+K29</f>
        <v>1192297</v>
      </c>
      <c r="L34" s="377">
        <f t="shared" si="7"/>
        <v>0</v>
      </c>
      <c r="M34" s="170">
        <f t="shared" si="7"/>
        <v>0</v>
      </c>
      <c r="N34" s="789">
        <f t="shared" si="7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92</v>
      </c>
      <c r="I35" s="374">
        <f t="shared" ref="I35:N35" si="9">I34</f>
        <v>1667030</v>
      </c>
      <c r="J35" s="170">
        <f t="shared" si="9"/>
        <v>1667030</v>
      </c>
      <c r="K35" s="158">
        <f t="shared" si="9"/>
        <v>1192297</v>
      </c>
      <c r="L35" s="377">
        <f t="shared" si="9"/>
        <v>0</v>
      </c>
      <c r="M35" s="170">
        <f t="shared" si="9"/>
        <v>0</v>
      </c>
      <c r="N35" s="789">
        <f t="shared" si="9"/>
        <v>0</v>
      </c>
      <c r="O35" s="886">
        <f>IF(J35=0,"",N35/J35*100)</f>
        <v>0</v>
      </c>
    </row>
    <row r="36" spans="1:15" s="1" customFormat="1" ht="12.95" customHeight="1">
      <c r="A36" s="163"/>
      <c r="B36" s="12"/>
      <c r="C36" s="8"/>
      <c r="D36" s="8"/>
      <c r="E36" s="8"/>
      <c r="F36" s="181"/>
      <c r="G36" s="200"/>
      <c r="H36" s="8" t="s">
        <v>93</v>
      </c>
      <c r="I36" s="29"/>
      <c r="J36" s="29"/>
      <c r="K36" s="153"/>
      <c r="L36" s="376"/>
      <c r="M36" s="161"/>
      <c r="N36" s="791"/>
      <c r="O36" s="889"/>
    </row>
    <row r="37" spans="1:15" ht="12.95" customHeight="1" thickBot="1">
      <c r="B37" s="16"/>
      <c r="C37" s="17"/>
      <c r="D37" s="17"/>
      <c r="E37" s="17"/>
      <c r="F37" s="183"/>
      <c r="G37" s="202"/>
      <c r="H37" s="17"/>
      <c r="I37" s="31"/>
      <c r="J37" s="31"/>
      <c r="K37" s="739"/>
      <c r="L37" s="378"/>
      <c r="M37" s="31"/>
      <c r="N37" s="829"/>
      <c r="O37" s="888"/>
    </row>
    <row r="38" spans="1:15" ht="12.95" customHeight="1"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B45" s="45"/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640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99" t="s">
        <v>530</v>
      </c>
      <c r="M5" s="400" t="s">
        <v>531</v>
      </c>
      <c r="N5" s="848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118</v>
      </c>
      <c r="C7" s="7" t="s">
        <v>120</v>
      </c>
      <c r="D7" s="7" t="s">
        <v>80</v>
      </c>
      <c r="E7" s="422" t="s">
        <v>711</v>
      </c>
      <c r="F7" s="5"/>
      <c r="G7" s="165"/>
      <c r="H7" s="5"/>
      <c r="I7" s="71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38740</v>
      </c>
      <c r="J8" s="241">
        <f t="shared" si="0"/>
        <v>38740</v>
      </c>
      <c r="K8" s="231">
        <f>SUM(K9:K12)</f>
        <v>28446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34820</v>
      </c>
      <c r="J9" s="242">
        <v>34820</v>
      </c>
      <c r="K9" s="229">
        <v>25700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3920</v>
      </c>
      <c r="J10" s="242">
        <v>3920</v>
      </c>
      <c r="K10" s="229">
        <v>2746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3700</v>
      </c>
      <c r="J13" s="241">
        <f t="shared" si="3"/>
        <v>3700</v>
      </c>
      <c r="K13" s="231">
        <f>K14</f>
        <v>2699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3700</v>
      </c>
      <c r="J14" s="242">
        <v>3700</v>
      </c>
      <c r="K14" s="229">
        <v>2699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42"/>
      <c r="J15" s="242"/>
      <c r="K15" s="229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J16" si="4">SUM(I17:I26)</f>
        <v>2900</v>
      </c>
      <c r="J16" s="241">
        <f t="shared" si="4"/>
        <v>2900</v>
      </c>
      <c r="K16" s="231">
        <f>SUM(K17:K26)</f>
        <v>995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7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300</v>
      </c>
      <c r="J17" s="242">
        <v>300</v>
      </c>
      <c r="K17" s="229">
        <v>0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1000</v>
      </c>
      <c r="J19" s="242">
        <v>1000</v>
      </c>
      <c r="K19" s="229">
        <v>459</v>
      </c>
      <c r="L19" s="366"/>
      <c r="M19" s="238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800</v>
      </c>
      <c r="J20" s="242">
        <v>800</v>
      </c>
      <c r="K20" s="229">
        <v>385</v>
      </c>
      <c r="L20" s="366"/>
      <c r="M20" s="238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6"/>
      <c r="M21" s="238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0</v>
      </c>
      <c r="J23" s="242">
        <v>0</v>
      </c>
      <c r="K23" s="229">
        <v>0</v>
      </c>
      <c r="L23" s="366"/>
      <c r="M23" s="238"/>
      <c r="N23" s="828">
        <f t="shared" si="5"/>
        <v>0</v>
      </c>
      <c r="O23" s="887" t="str">
        <f t="shared" si="1"/>
        <v/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6"/>
      <c r="M24" s="238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800</v>
      </c>
      <c r="J25" s="242">
        <v>800</v>
      </c>
      <c r="K25" s="229">
        <v>151</v>
      </c>
      <c r="L25" s="367"/>
      <c r="M25" s="238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8">
        <v>0</v>
      </c>
      <c r="J26" s="238">
        <v>0</v>
      </c>
      <c r="K26" s="227">
        <v>0</v>
      </c>
      <c r="L26" s="366"/>
      <c r="M26" s="238"/>
      <c r="N26" s="828">
        <f t="shared" si="5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38"/>
      <c r="J27" s="238"/>
      <c r="K27" s="227"/>
      <c r="L27" s="366"/>
      <c r="M27" s="238"/>
      <c r="N27" s="849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7">
        <f t="shared" ref="I28:M28" si="6">SUM(I29:I30)</f>
        <v>1000</v>
      </c>
      <c r="J28" s="237">
        <f t="shared" si="6"/>
        <v>1000</v>
      </c>
      <c r="K28" s="228">
        <f t="shared" si="6"/>
        <v>0</v>
      </c>
      <c r="L28" s="492">
        <f t="shared" si="6"/>
        <v>0</v>
      </c>
      <c r="M28" s="237">
        <f t="shared" si="6"/>
        <v>0</v>
      </c>
      <c r="N28" s="850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8">
        <v>0</v>
      </c>
      <c r="J29" s="238">
        <v>0</v>
      </c>
      <c r="K29" s="227">
        <v>0</v>
      </c>
      <c r="L29" s="366"/>
      <c r="M29" s="238"/>
      <c r="N29" s="828">
        <f t="shared" ref="N29:N30" si="7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1000</v>
      </c>
      <c r="J30" s="242">
        <v>1000</v>
      </c>
      <c r="K30" s="229">
        <v>0</v>
      </c>
      <c r="L30" s="367"/>
      <c r="M30" s="242"/>
      <c r="N30" s="828">
        <f t="shared" si="7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41">
        <v>1</v>
      </c>
      <c r="J32" s="241">
        <v>1</v>
      </c>
      <c r="K32" s="231">
        <v>1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J33" si="8">I8+I13+I16+I28</f>
        <v>46340</v>
      </c>
      <c r="J33" s="170">
        <f t="shared" si="8"/>
        <v>46340</v>
      </c>
      <c r="K33" s="158">
        <f t="shared" ref="K33" si="9">K8+K13+K16+K28</f>
        <v>32140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6"/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zoomScaleNormal="100" workbookViewId="0">
      <selection activeCell="L9" sqref="L9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641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118</v>
      </c>
      <c r="C7" s="7" t="s">
        <v>120</v>
      </c>
      <c r="D7" s="7" t="s">
        <v>108</v>
      </c>
      <c r="E7" s="422" t="s">
        <v>711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85430</v>
      </c>
      <c r="J8" s="241">
        <f t="shared" si="0"/>
        <v>85430</v>
      </c>
      <c r="K8" s="231">
        <f>SUM(K9:K12)</f>
        <v>62515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73320</v>
      </c>
      <c r="J9" s="242">
        <v>73320</v>
      </c>
      <c r="K9" s="229">
        <v>54049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12110</v>
      </c>
      <c r="J10" s="242">
        <v>12110</v>
      </c>
      <c r="K10" s="229">
        <v>8466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36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7770</v>
      </c>
      <c r="J13" s="241">
        <f t="shared" si="3"/>
        <v>7770</v>
      </c>
      <c r="K13" s="231">
        <f>K14</f>
        <v>5675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7770</v>
      </c>
      <c r="J14" s="242">
        <v>7770</v>
      </c>
      <c r="K14" s="229">
        <v>5675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SUM(I17:I26)</f>
        <v>4300</v>
      </c>
      <c r="J16" s="239">
        <f t="shared" si="4"/>
        <v>4300</v>
      </c>
      <c r="K16" s="226">
        <f>SUM(K17:K26)</f>
        <v>1168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1000</v>
      </c>
      <c r="J17" s="242">
        <v>1000</v>
      </c>
      <c r="K17" s="229">
        <v>0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1000</v>
      </c>
      <c r="J19" s="242">
        <v>1000</v>
      </c>
      <c r="K19" s="229">
        <v>411</v>
      </c>
      <c r="L19" s="366"/>
      <c r="M19" s="238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800</v>
      </c>
      <c r="J20" s="242">
        <v>800</v>
      </c>
      <c r="K20" s="229">
        <v>286</v>
      </c>
      <c r="L20" s="366"/>
      <c r="M20" s="238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6"/>
      <c r="M21" s="238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500</v>
      </c>
      <c r="J23" s="242">
        <v>500</v>
      </c>
      <c r="K23" s="229">
        <v>81</v>
      </c>
      <c r="L23" s="366"/>
      <c r="M23" s="238"/>
      <c r="N23" s="828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6"/>
      <c r="M24" s="238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1000</v>
      </c>
      <c r="J25" s="242">
        <v>1000</v>
      </c>
      <c r="K25" s="229">
        <v>390</v>
      </c>
      <c r="L25" s="367"/>
      <c r="M25" s="242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36" t="s">
        <v>436</v>
      </c>
      <c r="I26" s="238">
        <v>0</v>
      </c>
      <c r="J26" s="238">
        <v>0</v>
      </c>
      <c r="K26" s="227">
        <v>0</v>
      </c>
      <c r="L26" s="366"/>
      <c r="M26" s="238"/>
      <c r="N26" s="828">
        <f t="shared" si="5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38"/>
      <c r="J27" s="238"/>
      <c r="K27" s="227"/>
      <c r="L27" s="366"/>
      <c r="M27" s="238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7">
        <f t="shared" ref="I28:J28" si="6">SUM(I29:I30)</f>
        <v>3000</v>
      </c>
      <c r="J28" s="237">
        <f t="shared" si="6"/>
        <v>3000</v>
      </c>
      <c r="K28" s="228">
        <f>SUM(K29:K30)</f>
        <v>971</v>
      </c>
      <c r="L28" s="492">
        <f>SUM(L29:L30)</f>
        <v>0</v>
      </c>
      <c r="M28" s="237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8">
        <v>0</v>
      </c>
      <c r="J29" s="238">
        <v>0</v>
      </c>
      <c r="K29" s="227">
        <v>0</v>
      </c>
      <c r="L29" s="366"/>
      <c r="M29" s="238"/>
      <c r="N29" s="828">
        <f t="shared" ref="N29:N30" si="7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38">
        <v>3000</v>
      </c>
      <c r="J30" s="238">
        <v>3000</v>
      </c>
      <c r="K30" s="227">
        <v>971</v>
      </c>
      <c r="L30" s="366"/>
      <c r="M30" s="238"/>
      <c r="N30" s="828">
        <f t="shared" si="7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41">
        <v>3</v>
      </c>
      <c r="J32" s="241">
        <v>3</v>
      </c>
      <c r="K32" s="231">
        <v>3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J33" si="8">I8+I13+I16+I28</f>
        <v>100500</v>
      </c>
      <c r="J33" s="170">
        <f t="shared" si="8"/>
        <v>100500</v>
      </c>
      <c r="K33" s="158">
        <f t="shared" ref="K33" si="9">K8+K13+K16+K28</f>
        <v>70329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>I33+'11'!I33</f>
        <v>146840</v>
      </c>
      <c r="J34" s="170">
        <f>J33+'11'!J33</f>
        <v>146840</v>
      </c>
      <c r="K34" s="158">
        <f>K33+'11'!K33</f>
        <v>102469</v>
      </c>
      <c r="L34" s="377">
        <f>L33+'11'!L33</f>
        <v>0</v>
      </c>
      <c r="M34" s="170">
        <f>M33+'11'!M33</f>
        <v>0</v>
      </c>
      <c r="N34" s="789">
        <f>N33+'11'!N33</f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/>
      <c r="J35" s="15"/>
      <c r="K35" s="158"/>
      <c r="L35" s="377"/>
      <c r="M35" s="170"/>
      <c r="N35" s="789"/>
      <c r="O35" s="886"/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F39" s="184"/>
      <c r="G39" s="203"/>
      <c r="N39" s="259"/>
    </row>
    <row r="40" spans="1:15" ht="12.95" customHeight="1"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zoomScaleNormal="100" workbookViewId="0">
      <selection activeCell="S6" sqref="S6"/>
    </sheetView>
  </sheetViews>
  <sheetFormatPr defaultRowHeight="12.75"/>
  <cols>
    <col min="1" max="1" width="3.28515625" style="36" customWidth="1"/>
    <col min="7" max="7" width="10.7109375" customWidth="1"/>
    <col min="8" max="8" width="0.140625" hidden="1" customWidth="1"/>
    <col min="9" max="9" width="2.7109375" hidden="1" customWidth="1"/>
    <col min="10" max="10" width="8.28515625" style="36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921" t="s">
        <v>177</v>
      </c>
      <c r="B1" s="921"/>
      <c r="C1" s="921"/>
      <c r="D1" s="921"/>
      <c r="E1" s="921"/>
      <c r="F1" s="921"/>
      <c r="G1" s="921"/>
      <c r="H1" s="921"/>
      <c r="I1" s="921"/>
    </row>
    <row r="3" spans="1:21" s="41" customFormat="1">
      <c r="A3" s="352" t="s">
        <v>193</v>
      </c>
      <c r="B3" s="918" t="s">
        <v>195</v>
      </c>
      <c r="C3" s="919"/>
      <c r="D3" s="919"/>
      <c r="E3" s="919"/>
      <c r="F3" s="919"/>
      <c r="G3" s="919"/>
      <c r="H3" s="919"/>
      <c r="I3" s="920"/>
      <c r="J3" s="352" t="s">
        <v>188</v>
      </c>
      <c r="L3" s="352" t="s">
        <v>193</v>
      </c>
      <c r="M3" s="918" t="s">
        <v>195</v>
      </c>
      <c r="N3" s="919"/>
      <c r="O3" s="919"/>
      <c r="P3" s="919"/>
      <c r="Q3" s="919"/>
      <c r="R3" s="919"/>
      <c r="S3" s="919"/>
      <c r="T3" s="920"/>
      <c r="U3" s="352" t="s">
        <v>188</v>
      </c>
    </row>
    <row r="4" spans="1:21" s="33" customFormat="1" ht="17.100000000000001" customHeight="1">
      <c r="A4" s="339" t="s">
        <v>178</v>
      </c>
      <c r="B4" s="924" t="s">
        <v>179</v>
      </c>
      <c r="C4" s="925"/>
      <c r="D4" s="925"/>
      <c r="E4" s="925"/>
      <c r="F4" s="925"/>
      <c r="G4" s="925"/>
      <c r="H4" s="925"/>
      <c r="I4" s="926"/>
      <c r="J4" s="339">
        <v>3</v>
      </c>
      <c r="K4" s="340"/>
      <c r="L4" s="412" t="s">
        <v>585</v>
      </c>
      <c r="M4" s="546" t="s">
        <v>700</v>
      </c>
      <c r="N4" s="547"/>
      <c r="O4" s="547"/>
      <c r="P4" s="547"/>
      <c r="Q4" s="547"/>
      <c r="R4" s="547"/>
      <c r="S4" s="547"/>
      <c r="T4" s="548"/>
      <c r="U4" s="412">
        <v>42</v>
      </c>
    </row>
    <row r="5" spans="1:21" s="33" customFormat="1" ht="17.100000000000001" customHeight="1">
      <c r="A5" s="341" t="s">
        <v>180</v>
      </c>
      <c r="B5" s="915" t="s">
        <v>181</v>
      </c>
      <c r="C5" s="922"/>
      <c r="D5" s="922"/>
      <c r="E5" s="922"/>
      <c r="F5" s="922"/>
      <c r="G5" s="922"/>
      <c r="H5" s="922"/>
      <c r="I5" s="923"/>
      <c r="J5" s="341">
        <v>4</v>
      </c>
      <c r="K5" s="340"/>
      <c r="L5" s="341" t="s">
        <v>586</v>
      </c>
      <c r="M5" s="915" t="s">
        <v>701</v>
      </c>
      <c r="N5" s="922"/>
      <c r="O5" s="922"/>
      <c r="P5" s="922"/>
      <c r="Q5" s="922"/>
      <c r="R5" s="922"/>
      <c r="S5" s="922"/>
      <c r="T5" s="923"/>
      <c r="U5" s="341">
        <v>43</v>
      </c>
    </row>
    <row r="6" spans="1:21" s="33" customFormat="1" ht="17.100000000000001" customHeight="1">
      <c r="A6" s="341" t="s">
        <v>182</v>
      </c>
      <c r="B6" s="915" t="s">
        <v>345</v>
      </c>
      <c r="C6" s="922"/>
      <c r="D6" s="922"/>
      <c r="E6" s="922"/>
      <c r="F6" s="922"/>
      <c r="G6" s="922"/>
      <c r="H6" s="922"/>
      <c r="I6" s="923"/>
      <c r="J6" s="523">
        <v>13</v>
      </c>
      <c r="K6" s="340"/>
      <c r="L6" s="341" t="s">
        <v>587</v>
      </c>
      <c r="M6" s="543" t="s">
        <v>702</v>
      </c>
      <c r="N6" s="544"/>
      <c r="O6" s="544"/>
      <c r="P6" s="544"/>
      <c r="Q6" s="544"/>
      <c r="R6" s="544"/>
      <c r="S6" s="544"/>
      <c r="T6" s="545"/>
      <c r="U6" s="341">
        <v>44</v>
      </c>
    </row>
    <row r="7" spans="1:21" s="33" customFormat="1" ht="17.100000000000001" customHeight="1">
      <c r="A7" s="341" t="s">
        <v>183</v>
      </c>
      <c r="B7" s="915" t="s">
        <v>184</v>
      </c>
      <c r="C7" s="922"/>
      <c r="D7" s="922"/>
      <c r="E7" s="922"/>
      <c r="F7" s="922"/>
      <c r="G7" s="922"/>
      <c r="H7" s="922"/>
      <c r="I7" s="923"/>
      <c r="J7" s="341">
        <v>16</v>
      </c>
      <c r="K7" s="340"/>
      <c r="L7" s="341" t="s">
        <v>588</v>
      </c>
      <c r="M7" s="543" t="s">
        <v>703</v>
      </c>
      <c r="N7" s="544"/>
      <c r="O7" s="544"/>
      <c r="P7" s="544"/>
      <c r="Q7" s="544"/>
      <c r="R7" s="544"/>
      <c r="S7" s="544"/>
      <c r="T7" s="545"/>
      <c r="U7" s="341">
        <v>45</v>
      </c>
    </row>
    <row r="8" spans="1:21" s="33" customFormat="1" ht="17.100000000000001" customHeight="1">
      <c r="A8" s="341" t="s">
        <v>194</v>
      </c>
      <c r="B8" s="915" t="s">
        <v>185</v>
      </c>
      <c r="C8" s="922"/>
      <c r="D8" s="922"/>
      <c r="E8" s="922"/>
      <c r="F8" s="922"/>
      <c r="G8" s="922"/>
      <c r="H8" s="922"/>
      <c r="I8" s="923"/>
      <c r="J8" s="341">
        <v>17</v>
      </c>
      <c r="K8" s="340"/>
      <c r="L8" s="341" t="s">
        <v>589</v>
      </c>
      <c r="M8" s="543" t="s">
        <v>704</v>
      </c>
      <c r="N8" s="544"/>
      <c r="O8" s="544"/>
      <c r="P8" s="544"/>
      <c r="Q8" s="544"/>
      <c r="R8" s="544"/>
      <c r="S8" s="544"/>
      <c r="T8" s="545"/>
      <c r="U8" s="341">
        <v>46</v>
      </c>
    </row>
    <row r="9" spans="1:21" s="33" customFormat="1" ht="17.100000000000001" customHeight="1">
      <c r="A9" s="341" t="s">
        <v>561</v>
      </c>
      <c r="B9" s="915" t="s">
        <v>186</v>
      </c>
      <c r="C9" s="922"/>
      <c r="D9" s="922"/>
      <c r="E9" s="922"/>
      <c r="F9" s="922"/>
      <c r="G9" s="922"/>
      <c r="H9" s="922"/>
      <c r="I9" s="923"/>
      <c r="J9" s="341">
        <v>18</v>
      </c>
      <c r="K9" s="340"/>
      <c r="L9" s="341" t="s">
        <v>590</v>
      </c>
      <c r="M9" s="543" t="s">
        <v>638</v>
      </c>
      <c r="N9" s="544"/>
      <c r="O9" s="544"/>
      <c r="P9" s="544"/>
      <c r="Q9" s="544"/>
      <c r="R9" s="544"/>
      <c r="S9" s="544"/>
      <c r="T9" s="545"/>
      <c r="U9" s="341">
        <v>47</v>
      </c>
    </row>
    <row r="10" spans="1:21" s="33" customFormat="1" ht="17.100000000000001" customHeight="1">
      <c r="A10" s="341" t="s">
        <v>562</v>
      </c>
      <c r="B10" s="430" t="s">
        <v>629</v>
      </c>
      <c r="C10" s="431"/>
      <c r="D10" s="431"/>
      <c r="E10" s="431"/>
      <c r="F10" s="431"/>
      <c r="G10" s="431"/>
      <c r="H10" s="431"/>
      <c r="I10" s="432"/>
      <c r="J10" s="341">
        <v>19</v>
      </c>
      <c r="K10" s="340"/>
      <c r="L10" s="341" t="s">
        <v>591</v>
      </c>
      <c r="M10" s="543" t="s">
        <v>652</v>
      </c>
      <c r="N10" s="544"/>
      <c r="O10" s="544"/>
      <c r="P10" s="544"/>
      <c r="Q10" s="544"/>
      <c r="R10" s="544"/>
      <c r="S10" s="544"/>
      <c r="T10" s="545"/>
      <c r="U10" s="341">
        <v>48</v>
      </c>
    </row>
    <row r="11" spans="1:21" s="33" customFormat="1" ht="17.100000000000001" customHeight="1">
      <c r="A11" s="341" t="s">
        <v>563</v>
      </c>
      <c r="B11" s="430" t="s">
        <v>627</v>
      </c>
      <c r="C11" s="431"/>
      <c r="D11" s="431"/>
      <c r="E11" s="431"/>
      <c r="F11" s="431"/>
      <c r="G11" s="431"/>
      <c r="H11" s="431"/>
      <c r="I11" s="432"/>
      <c r="J11" s="341">
        <v>20</v>
      </c>
      <c r="K11" s="340"/>
      <c r="L11" s="341" t="s">
        <v>592</v>
      </c>
      <c r="M11" s="543" t="s">
        <v>650</v>
      </c>
      <c r="N11" s="544"/>
      <c r="O11" s="544"/>
      <c r="P11" s="544"/>
      <c r="Q11" s="544"/>
      <c r="R11" s="544"/>
      <c r="S11" s="544"/>
      <c r="T11" s="545"/>
      <c r="U11" s="341">
        <v>49</v>
      </c>
    </row>
    <row r="12" spans="1:21" s="33" customFormat="1" ht="17.100000000000001" customHeight="1">
      <c r="A12" s="341" t="s">
        <v>564</v>
      </c>
      <c r="B12" s="430" t="s">
        <v>473</v>
      </c>
      <c r="C12" s="431"/>
      <c r="D12" s="431"/>
      <c r="E12" s="431"/>
      <c r="F12" s="431"/>
      <c r="G12" s="431"/>
      <c r="H12" s="431"/>
      <c r="I12" s="432"/>
      <c r="J12" s="341">
        <v>21</v>
      </c>
      <c r="K12" s="340"/>
      <c r="L12" s="341" t="s">
        <v>593</v>
      </c>
      <c r="M12" s="543" t="s">
        <v>189</v>
      </c>
      <c r="N12" s="544"/>
      <c r="O12" s="544"/>
      <c r="P12" s="544"/>
      <c r="Q12" s="544"/>
      <c r="R12" s="544"/>
      <c r="S12" s="544"/>
      <c r="T12" s="545"/>
      <c r="U12" s="341">
        <v>50</v>
      </c>
    </row>
    <row r="13" spans="1:21" s="33" customFormat="1" ht="17.100000000000001" customHeight="1">
      <c r="A13" s="341" t="s">
        <v>565</v>
      </c>
      <c r="B13" s="430" t="s">
        <v>624</v>
      </c>
      <c r="C13" s="431"/>
      <c r="D13" s="431"/>
      <c r="E13" s="431"/>
      <c r="F13" s="431"/>
      <c r="G13" s="431"/>
      <c r="H13" s="431"/>
      <c r="I13" s="432"/>
      <c r="J13" s="341">
        <v>22</v>
      </c>
      <c r="K13" s="340"/>
      <c r="L13" s="341" t="s">
        <v>594</v>
      </c>
      <c r="M13" s="543" t="s">
        <v>190</v>
      </c>
      <c r="N13" s="544"/>
      <c r="O13" s="544"/>
      <c r="P13" s="544"/>
      <c r="Q13" s="544"/>
      <c r="R13" s="544"/>
      <c r="S13" s="544"/>
      <c r="T13" s="545"/>
      <c r="U13" s="341">
        <v>51</v>
      </c>
    </row>
    <row r="14" spans="1:21" s="33" customFormat="1" ht="17.100000000000001" customHeight="1">
      <c r="A14" s="341" t="s">
        <v>566</v>
      </c>
      <c r="B14" s="430" t="s">
        <v>625</v>
      </c>
      <c r="C14" s="431"/>
      <c r="D14" s="431"/>
      <c r="E14" s="431"/>
      <c r="F14" s="431"/>
      <c r="G14" s="431"/>
      <c r="H14" s="431"/>
      <c r="I14" s="432"/>
      <c r="J14" s="341">
        <v>23</v>
      </c>
      <c r="K14" s="340"/>
      <c r="L14" s="341" t="s">
        <v>595</v>
      </c>
      <c r="M14" s="543" t="s">
        <v>658</v>
      </c>
      <c r="N14" s="544"/>
      <c r="O14" s="544"/>
      <c r="P14" s="544"/>
      <c r="Q14" s="544"/>
      <c r="R14" s="544"/>
      <c r="S14" s="544"/>
      <c r="T14" s="545"/>
      <c r="U14" s="341">
        <v>52</v>
      </c>
    </row>
    <row r="15" spans="1:21" s="33" customFormat="1" ht="17.100000000000001" customHeight="1">
      <c r="A15" s="341" t="s">
        <v>567</v>
      </c>
      <c r="B15" s="430" t="s">
        <v>187</v>
      </c>
      <c r="C15" s="431"/>
      <c r="D15" s="431"/>
      <c r="E15" s="431"/>
      <c r="F15" s="431"/>
      <c r="G15" s="431"/>
      <c r="H15" s="431"/>
      <c r="I15" s="432"/>
      <c r="J15" s="341">
        <v>24</v>
      </c>
      <c r="K15" s="340"/>
      <c r="L15" s="341" t="s">
        <v>596</v>
      </c>
      <c r="M15" s="543" t="s">
        <v>191</v>
      </c>
      <c r="N15" s="544"/>
      <c r="O15" s="544"/>
      <c r="P15" s="544"/>
      <c r="Q15" s="544"/>
      <c r="R15" s="544"/>
      <c r="S15" s="544"/>
      <c r="T15" s="545"/>
      <c r="U15" s="341">
        <v>53</v>
      </c>
    </row>
    <row r="16" spans="1:21" s="33" customFormat="1" ht="17.100000000000001" customHeight="1">
      <c r="A16" s="341" t="s">
        <v>568</v>
      </c>
      <c r="B16" s="430" t="s">
        <v>631</v>
      </c>
      <c r="C16" s="431"/>
      <c r="D16" s="431"/>
      <c r="E16" s="431"/>
      <c r="F16" s="431"/>
      <c r="G16" s="431"/>
      <c r="H16" s="431"/>
      <c r="I16" s="432"/>
      <c r="J16" s="341">
        <v>25</v>
      </c>
      <c r="K16" s="340"/>
      <c r="L16" s="341" t="s">
        <v>597</v>
      </c>
      <c r="M16" s="915" t="s">
        <v>925</v>
      </c>
      <c r="N16" s="916"/>
      <c r="O16" s="916"/>
      <c r="P16" s="916"/>
      <c r="Q16" s="916"/>
      <c r="R16" s="916"/>
      <c r="S16" s="916"/>
      <c r="T16" s="917"/>
      <c r="U16" s="341">
        <v>54</v>
      </c>
    </row>
    <row r="17" spans="1:21" s="33" customFormat="1" ht="17.100000000000001" customHeight="1">
      <c r="A17" s="341" t="s">
        <v>569</v>
      </c>
      <c r="B17" s="430" t="s">
        <v>666</v>
      </c>
      <c r="C17" s="431"/>
      <c r="D17" s="431"/>
      <c r="E17" s="431"/>
      <c r="F17" s="431"/>
      <c r="G17" s="431"/>
      <c r="H17" s="431"/>
      <c r="I17" s="432"/>
      <c r="J17" s="341">
        <v>26</v>
      </c>
      <c r="K17" s="340"/>
      <c r="L17" s="341" t="s">
        <v>598</v>
      </c>
      <c r="M17" s="902" t="s">
        <v>926</v>
      </c>
      <c r="N17" s="858"/>
      <c r="O17" s="858"/>
      <c r="P17" s="858"/>
      <c r="Q17" s="858"/>
      <c r="R17" s="858"/>
      <c r="S17" s="858"/>
      <c r="T17" s="859"/>
      <c r="U17" s="341">
        <v>56</v>
      </c>
    </row>
    <row r="18" spans="1:21" s="33" customFormat="1" ht="17.100000000000001" customHeight="1">
      <c r="A18" s="341" t="s">
        <v>570</v>
      </c>
      <c r="B18" s="430" t="s">
        <v>654</v>
      </c>
      <c r="C18" s="431"/>
      <c r="D18" s="431"/>
      <c r="E18" s="431"/>
      <c r="F18" s="431"/>
      <c r="G18" s="431"/>
      <c r="H18" s="431"/>
      <c r="I18" s="432"/>
      <c r="J18" s="341">
        <v>27</v>
      </c>
      <c r="K18" s="340"/>
      <c r="L18" s="341" t="s">
        <v>599</v>
      </c>
      <c r="M18" s="857" t="s">
        <v>867</v>
      </c>
      <c r="N18" s="730"/>
      <c r="O18" s="730"/>
      <c r="P18" s="730"/>
      <c r="Q18" s="730"/>
      <c r="R18" s="730"/>
      <c r="S18" s="730"/>
      <c r="T18" s="731"/>
      <c r="U18" s="341">
        <v>59</v>
      </c>
    </row>
    <row r="19" spans="1:21" s="33" customFormat="1" ht="17.100000000000001" customHeight="1">
      <c r="A19" s="341" t="s">
        <v>571</v>
      </c>
      <c r="B19" s="430" t="s">
        <v>653</v>
      </c>
      <c r="C19" s="431"/>
      <c r="D19" s="431"/>
      <c r="E19" s="431"/>
      <c r="F19" s="431"/>
      <c r="G19" s="431"/>
      <c r="H19" s="431"/>
      <c r="I19" s="432"/>
      <c r="J19" s="341">
        <v>28</v>
      </c>
      <c r="K19" s="340"/>
      <c r="L19" s="342" t="s">
        <v>832</v>
      </c>
      <c r="M19" s="540" t="s">
        <v>192</v>
      </c>
      <c r="N19" s="541"/>
      <c r="O19" s="541"/>
      <c r="P19" s="541"/>
      <c r="Q19" s="541"/>
      <c r="R19" s="541"/>
      <c r="S19" s="541"/>
      <c r="T19" s="542"/>
      <c r="U19" s="342">
        <v>61</v>
      </c>
    </row>
    <row r="20" spans="1:21" s="33" customFormat="1" ht="17.100000000000001" customHeight="1">
      <c r="A20" s="341" t="s">
        <v>572</v>
      </c>
      <c r="B20" s="430" t="s">
        <v>667</v>
      </c>
      <c r="C20" s="431"/>
      <c r="D20" s="431"/>
      <c r="E20" s="431"/>
      <c r="F20" s="431"/>
      <c r="G20" s="431"/>
      <c r="H20" s="431"/>
      <c r="I20" s="432"/>
      <c r="J20" s="341">
        <v>29</v>
      </c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</row>
    <row r="21" spans="1:21" s="33" customFormat="1" ht="17.100000000000001" customHeight="1">
      <c r="A21" s="341" t="s">
        <v>573</v>
      </c>
      <c r="B21" s="568" t="s">
        <v>841</v>
      </c>
      <c r="C21" s="431"/>
      <c r="D21" s="431"/>
      <c r="E21" s="431"/>
      <c r="F21" s="431"/>
      <c r="G21" s="431"/>
      <c r="H21" s="431"/>
      <c r="I21" s="432"/>
      <c r="J21" s="341">
        <v>30</v>
      </c>
      <c r="K21" s="340"/>
      <c r="L21" s="340"/>
      <c r="M21" s="414"/>
      <c r="N21" s="414"/>
      <c r="O21" s="414"/>
      <c r="P21" s="340"/>
      <c r="Q21" s="340"/>
      <c r="R21" s="340"/>
      <c r="S21" s="340"/>
      <c r="T21" s="340"/>
      <c r="U21" s="340"/>
    </row>
    <row r="22" spans="1:21" s="33" customFormat="1" ht="17.100000000000001" customHeight="1">
      <c r="A22" s="341" t="s">
        <v>574</v>
      </c>
      <c r="B22" s="543" t="s">
        <v>668</v>
      </c>
      <c r="C22" s="544"/>
      <c r="D22" s="544"/>
      <c r="E22" s="544"/>
      <c r="F22" s="544"/>
      <c r="G22" s="544"/>
      <c r="H22" s="544"/>
      <c r="I22" s="545"/>
      <c r="J22" s="341">
        <v>31</v>
      </c>
      <c r="K22" s="340"/>
      <c r="L22" s="340"/>
      <c r="M22" s="415"/>
      <c r="N22" s="414"/>
      <c r="O22" s="414"/>
      <c r="P22" s="340"/>
      <c r="Q22" s="340"/>
      <c r="R22" s="340"/>
      <c r="S22" s="340"/>
      <c r="T22" s="340"/>
      <c r="U22" s="340"/>
    </row>
    <row r="23" spans="1:21" s="33" customFormat="1" ht="17.100000000000001" customHeight="1">
      <c r="A23" s="341" t="s">
        <v>575</v>
      </c>
      <c r="B23" s="543" t="s">
        <v>633</v>
      </c>
      <c r="C23" s="544"/>
      <c r="D23" s="544"/>
      <c r="E23" s="544"/>
      <c r="F23" s="544"/>
      <c r="G23" s="544"/>
      <c r="H23" s="544"/>
      <c r="I23" s="545"/>
      <c r="J23" s="341">
        <v>32</v>
      </c>
      <c r="K23" s="340"/>
      <c r="L23" s="340"/>
      <c r="M23" s="414"/>
      <c r="N23" s="414"/>
      <c r="O23" s="414"/>
      <c r="P23" s="340"/>
      <c r="Q23" s="340"/>
      <c r="R23" s="340"/>
      <c r="S23" s="340"/>
      <c r="T23" s="340"/>
      <c r="U23" s="340"/>
    </row>
    <row r="24" spans="1:21" s="33" customFormat="1" ht="17.100000000000001" customHeight="1">
      <c r="A24" s="341" t="s">
        <v>576</v>
      </c>
      <c r="B24" s="543" t="s">
        <v>634</v>
      </c>
      <c r="C24" s="544"/>
      <c r="D24" s="544"/>
      <c r="E24" s="544"/>
      <c r="F24" s="544"/>
      <c r="G24" s="544"/>
      <c r="H24" s="544"/>
      <c r="I24" s="545"/>
      <c r="J24" s="341">
        <v>33</v>
      </c>
      <c r="K24" s="340"/>
      <c r="L24" s="340"/>
      <c r="M24" s="414"/>
      <c r="N24" s="414"/>
      <c r="O24" s="414"/>
      <c r="P24" s="340"/>
      <c r="Q24" s="340"/>
      <c r="R24" s="340"/>
      <c r="S24" s="340"/>
      <c r="T24" s="340"/>
      <c r="U24" s="340"/>
    </row>
    <row r="25" spans="1:21" s="33" customFormat="1" ht="17.100000000000001" customHeight="1">
      <c r="A25" s="341" t="s">
        <v>577</v>
      </c>
      <c r="B25" s="543" t="s">
        <v>635</v>
      </c>
      <c r="C25" s="544"/>
      <c r="D25" s="544"/>
      <c r="E25" s="544"/>
      <c r="F25" s="544"/>
      <c r="G25" s="544"/>
      <c r="H25" s="544"/>
      <c r="I25" s="545"/>
      <c r="J25" s="341">
        <v>34</v>
      </c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</row>
    <row r="26" spans="1:21" s="33" customFormat="1" ht="17.100000000000001" customHeight="1">
      <c r="A26" s="341" t="s">
        <v>578</v>
      </c>
      <c r="B26" s="543" t="s">
        <v>669</v>
      </c>
      <c r="C26" s="544"/>
      <c r="D26" s="544"/>
      <c r="E26" s="544"/>
      <c r="F26" s="544"/>
      <c r="G26" s="544"/>
      <c r="H26" s="544"/>
      <c r="I26" s="545"/>
      <c r="J26" s="341">
        <v>35</v>
      </c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</row>
    <row r="27" spans="1:21" s="33" customFormat="1" ht="17.100000000000001" customHeight="1">
      <c r="A27" s="341" t="s">
        <v>579</v>
      </c>
      <c r="B27" s="543" t="s">
        <v>637</v>
      </c>
      <c r="C27" s="544"/>
      <c r="D27" s="544"/>
      <c r="E27" s="544"/>
      <c r="F27" s="544"/>
      <c r="G27" s="544"/>
      <c r="H27" s="544"/>
      <c r="I27" s="545"/>
      <c r="J27" s="341">
        <v>36</v>
      </c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</row>
    <row r="28" spans="1:21" s="33" customFormat="1" ht="17.100000000000001" customHeight="1">
      <c r="A28" s="341" t="s">
        <v>580</v>
      </c>
      <c r="B28" s="543" t="s">
        <v>696</v>
      </c>
      <c r="C28" s="544"/>
      <c r="D28" s="544"/>
      <c r="E28" s="544"/>
      <c r="F28" s="544"/>
      <c r="G28" s="544"/>
      <c r="H28" s="544"/>
      <c r="I28" s="545"/>
      <c r="J28" s="341">
        <v>37</v>
      </c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</row>
    <row r="29" spans="1:21" s="33" customFormat="1" ht="17.100000000000001" customHeight="1">
      <c r="A29" s="341" t="s">
        <v>581</v>
      </c>
      <c r="B29" s="543" t="s">
        <v>697</v>
      </c>
      <c r="C29" s="544"/>
      <c r="D29" s="544"/>
      <c r="E29" s="544"/>
      <c r="F29" s="544"/>
      <c r="G29" s="544"/>
      <c r="H29" s="544"/>
      <c r="I29" s="545"/>
      <c r="J29" s="341">
        <v>38</v>
      </c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</row>
    <row r="30" spans="1:21" ht="17.100000000000001" customHeight="1">
      <c r="A30" s="341" t="s">
        <v>582</v>
      </c>
      <c r="B30" s="543" t="s">
        <v>698</v>
      </c>
      <c r="C30" s="544"/>
      <c r="D30" s="544"/>
      <c r="E30" s="544"/>
      <c r="F30" s="544"/>
      <c r="G30" s="544"/>
      <c r="H30" s="544"/>
      <c r="I30" s="545"/>
      <c r="J30" s="341">
        <v>39</v>
      </c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</row>
    <row r="31" spans="1:21" ht="17.100000000000001" customHeight="1">
      <c r="A31" s="341" t="s">
        <v>583</v>
      </c>
      <c r="B31" s="543" t="s">
        <v>670</v>
      </c>
      <c r="C31" s="544"/>
      <c r="D31" s="544"/>
      <c r="E31" s="544"/>
      <c r="F31" s="544"/>
      <c r="G31" s="544"/>
      <c r="H31" s="544"/>
      <c r="I31" s="545"/>
      <c r="J31" s="341">
        <v>40</v>
      </c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</row>
    <row r="32" spans="1:21" ht="17.100000000000001" customHeight="1">
      <c r="A32" s="342" t="s">
        <v>584</v>
      </c>
      <c r="B32" s="540" t="s">
        <v>699</v>
      </c>
      <c r="C32" s="541"/>
      <c r="D32" s="541"/>
      <c r="E32" s="541"/>
      <c r="F32" s="541"/>
      <c r="G32" s="541"/>
      <c r="H32" s="541"/>
      <c r="I32" s="542"/>
      <c r="J32" s="342">
        <v>41</v>
      </c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</row>
    <row r="33" ht="17.100000000000001" customHeight="1"/>
  </sheetData>
  <mergeCells count="11">
    <mergeCell ref="M16:T16"/>
    <mergeCell ref="M3:T3"/>
    <mergeCell ref="A1:I1"/>
    <mergeCell ref="B5:I5"/>
    <mergeCell ref="B3:I3"/>
    <mergeCell ref="M5:T5"/>
    <mergeCell ref="B8:I8"/>
    <mergeCell ref="B7:I7"/>
    <mergeCell ref="B6:I6"/>
    <mergeCell ref="B4:I4"/>
    <mergeCell ref="B9:I9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topLeftCell="A7" zoomScaleNormal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661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118</v>
      </c>
      <c r="C7" s="7" t="s">
        <v>160</v>
      </c>
      <c r="D7" s="7" t="s">
        <v>80</v>
      </c>
      <c r="E7" s="422" t="s">
        <v>711</v>
      </c>
      <c r="F7" s="5"/>
      <c r="G7" s="165"/>
      <c r="H7" s="5"/>
      <c r="I7" s="71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100950</v>
      </c>
      <c r="J8" s="241">
        <f t="shared" si="0"/>
        <v>100950</v>
      </c>
      <c r="K8" s="231">
        <f>SUM(K9:K12)</f>
        <v>68106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88390</v>
      </c>
      <c r="J9" s="242">
        <v>88390</v>
      </c>
      <c r="K9" s="229">
        <v>59885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12560</v>
      </c>
      <c r="J10" s="242">
        <v>12560</v>
      </c>
      <c r="K10" s="229">
        <v>8221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9530</v>
      </c>
      <c r="J13" s="241">
        <f t="shared" si="3"/>
        <v>9530</v>
      </c>
      <c r="K13" s="231">
        <f>K14</f>
        <v>6393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9530</v>
      </c>
      <c r="J14" s="242">
        <v>9530</v>
      </c>
      <c r="K14" s="229">
        <v>6393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42"/>
      <c r="J15" s="242"/>
      <c r="K15" s="229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J16" si="4">SUM(I17:I26)</f>
        <v>4750</v>
      </c>
      <c r="J16" s="241">
        <f t="shared" si="4"/>
        <v>4750</v>
      </c>
      <c r="K16" s="231">
        <f>SUM(K17:K26)</f>
        <v>2124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900</v>
      </c>
      <c r="J17" s="242">
        <v>1300</v>
      </c>
      <c r="K17" s="229">
        <v>624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1700</v>
      </c>
      <c r="J19" s="242">
        <v>1700</v>
      </c>
      <c r="K19" s="229">
        <v>914</v>
      </c>
      <c r="L19" s="366"/>
      <c r="M19" s="238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600</v>
      </c>
      <c r="J20" s="242">
        <v>600</v>
      </c>
      <c r="K20" s="229">
        <v>64</v>
      </c>
      <c r="L20" s="366"/>
      <c r="M20" s="238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6"/>
      <c r="M21" s="238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350</v>
      </c>
      <c r="J23" s="242">
        <v>350</v>
      </c>
      <c r="K23" s="229">
        <v>58</v>
      </c>
      <c r="L23" s="366"/>
      <c r="M23" s="238"/>
      <c r="N23" s="828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6"/>
      <c r="M24" s="238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1200</v>
      </c>
      <c r="J25" s="242">
        <v>800</v>
      </c>
      <c r="K25" s="229">
        <v>464</v>
      </c>
      <c r="L25" s="367"/>
      <c r="M25" s="242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421"/>
      <c r="F27" s="192"/>
      <c r="G27" s="212"/>
      <c r="H27" s="25"/>
      <c r="I27" s="238"/>
      <c r="J27" s="238"/>
      <c r="K27" s="227"/>
      <c r="L27" s="366"/>
      <c r="M27" s="238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37">
        <f t="shared" ref="I28:J28" si="6">I29+I30</f>
        <v>0</v>
      </c>
      <c r="J28" s="237">
        <f t="shared" si="6"/>
        <v>0</v>
      </c>
      <c r="K28" s="228">
        <f>K29+K30</f>
        <v>0</v>
      </c>
      <c r="L28" s="492">
        <f>L29+L30</f>
        <v>0</v>
      </c>
      <c r="M28" s="237">
        <f>M29+M30</f>
        <v>0</v>
      </c>
      <c r="N28" s="789">
        <f>N29+N30</f>
        <v>0</v>
      </c>
      <c r="O28" s="887" t="str">
        <f t="shared" si="1"/>
        <v/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38">
        <v>0</v>
      </c>
      <c r="J29" s="238">
        <v>0</v>
      </c>
      <c r="K29" s="227">
        <v>0</v>
      </c>
      <c r="L29" s="366"/>
      <c r="M29" s="238"/>
      <c r="N29" s="828">
        <f t="shared" ref="N29:N30" si="7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0</v>
      </c>
      <c r="J30" s="242">
        <v>0</v>
      </c>
      <c r="K30" s="229">
        <v>0</v>
      </c>
      <c r="L30" s="367"/>
      <c r="M30" s="242"/>
      <c r="N30" s="828">
        <f t="shared" si="7"/>
        <v>0</v>
      </c>
      <c r="O30" s="887" t="str">
        <f t="shared" si="1"/>
        <v/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7">
        <v>4</v>
      </c>
      <c r="J32" s="237">
        <v>4</v>
      </c>
      <c r="K32" s="228">
        <v>3</v>
      </c>
      <c r="L32" s="492"/>
      <c r="M32" s="237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J33" si="8">I8+I13+I16+I28</f>
        <v>115230</v>
      </c>
      <c r="J33" s="170">
        <f t="shared" si="8"/>
        <v>115230</v>
      </c>
      <c r="K33" s="158">
        <f t="shared" ref="K33" si="9">K8+K13+K16+K28</f>
        <v>76623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>
        <f t="shared" ref="I34:K34" si="10">I33</f>
        <v>115230</v>
      </c>
      <c r="J34" s="15">
        <f t="shared" si="10"/>
        <v>115230</v>
      </c>
      <c r="K34" s="158">
        <f t="shared" si="10"/>
        <v>76623</v>
      </c>
      <c r="L34" s="377">
        <f>L33</f>
        <v>0</v>
      </c>
      <c r="M34" s="170">
        <f>M33</f>
        <v>0</v>
      </c>
      <c r="N34" s="789">
        <f>N33</f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/>
      <c r="J35" s="15"/>
      <c r="K35" s="158"/>
      <c r="L35" s="377"/>
      <c r="M35" s="170"/>
      <c r="N35" s="789"/>
      <c r="O35" s="886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Q96"/>
  <sheetViews>
    <sheetView topLeftCell="A13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166" customWidth="1"/>
    <col min="3" max="3" width="5.140625" style="166" customWidth="1"/>
    <col min="4" max="5" width="5" style="166" customWidth="1"/>
    <col min="6" max="7" width="8.7109375" style="171" customWidth="1"/>
    <col min="8" max="8" width="50.7109375" style="166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166"/>
  </cols>
  <sheetData>
    <row r="1" spans="1:17" ht="13.5" thickBot="1"/>
    <row r="2" spans="1:17" s="81" customFormat="1" ht="20.100000000000001" customHeight="1" thickTop="1" thickBot="1">
      <c r="A2" s="249"/>
      <c r="B2" s="963" t="s">
        <v>830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63" customFormat="1" ht="8.1" customHeight="1" thickTop="1" thickBot="1">
      <c r="F3" s="164"/>
      <c r="G3" s="164"/>
      <c r="H3" s="966"/>
      <c r="I3" s="966"/>
      <c r="J3" s="549"/>
      <c r="K3" s="735"/>
      <c r="L3" s="76"/>
      <c r="M3" s="76"/>
      <c r="N3" s="76"/>
      <c r="O3" s="213"/>
    </row>
    <row r="4" spans="1:17" s="163" customFormat="1" ht="39" customHeight="1"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164" customFormat="1" ht="12.95" customHeight="1"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164" customFormat="1" ht="12.95" customHeight="1">
      <c r="B7" s="6" t="s">
        <v>118</v>
      </c>
      <c r="C7" s="7" t="s">
        <v>422</v>
      </c>
      <c r="D7" s="7" t="s">
        <v>80</v>
      </c>
      <c r="E7" s="422" t="s">
        <v>831</v>
      </c>
      <c r="F7" s="165"/>
      <c r="G7" s="165"/>
      <c r="H7" s="165"/>
      <c r="I7" s="385"/>
      <c r="J7" s="71"/>
      <c r="K7" s="740"/>
      <c r="L7" s="398"/>
      <c r="M7" s="71"/>
      <c r="N7" s="847"/>
      <c r="O7" s="885"/>
    </row>
    <row r="8" spans="1:17" s="163" customFormat="1" ht="12.95" customHeight="1">
      <c r="B8" s="169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14200</v>
      </c>
      <c r="J8" s="241">
        <f t="shared" si="0"/>
        <v>14200</v>
      </c>
      <c r="K8" s="231">
        <f t="shared" ref="K8" si="1">SUM(K9:K11)</f>
        <v>0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2">IF(J8=0,"",N8/J8*100)</f>
        <v>0</v>
      </c>
    </row>
    <row r="9" spans="1:17" ht="12.95" customHeight="1">
      <c r="B9" s="167"/>
      <c r="C9" s="168"/>
      <c r="D9" s="168"/>
      <c r="E9" s="168"/>
      <c r="F9" s="182">
        <v>611100</v>
      </c>
      <c r="G9" s="201"/>
      <c r="H9" s="435" t="s">
        <v>161</v>
      </c>
      <c r="I9" s="242">
        <v>11500</v>
      </c>
      <c r="J9" s="242">
        <v>11500</v>
      </c>
      <c r="K9" s="229">
        <v>0</v>
      </c>
      <c r="L9" s="367"/>
      <c r="M9" s="242"/>
      <c r="N9" s="828">
        <f>SUM(L9:M9)</f>
        <v>0</v>
      </c>
      <c r="O9" s="887">
        <f t="shared" si="2"/>
        <v>0</v>
      </c>
    </row>
    <row r="10" spans="1:17" ht="12.95" customHeight="1">
      <c r="B10" s="167"/>
      <c r="C10" s="168"/>
      <c r="D10" s="168"/>
      <c r="E10" s="168"/>
      <c r="F10" s="182">
        <v>611200</v>
      </c>
      <c r="G10" s="201"/>
      <c r="H10" s="24" t="s">
        <v>162</v>
      </c>
      <c r="I10" s="242">
        <v>2700</v>
      </c>
      <c r="J10" s="242">
        <v>2700</v>
      </c>
      <c r="K10" s="229">
        <v>0</v>
      </c>
      <c r="L10" s="367"/>
      <c r="M10" s="242"/>
      <c r="N10" s="828">
        <f t="shared" ref="N10:N11" si="3">SUM(L10:M10)</f>
        <v>0</v>
      </c>
      <c r="O10" s="887">
        <f t="shared" si="2"/>
        <v>0</v>
      </c>
    </row>
    <row r="11" spans="1:17" ht="12.95" customHeight="1">
      <c r="B11" s="167"/>
      <c r="C11" s="168"/>
      <c r="D11" s="168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3"/>
        <v>0</v>
      </c>
      <c r="O11" s="887" t="str">
        <f t="shared" si="2"/>
        <v/>
      </c>
      <c r="Q11" s="50"/>
    </row>
    <row r="12" spans="1:17" ht="12.95" customHeight="1">
      <c r="B12" s="167"/>
      <c r="C12" s="168"/>
      <c r="D12" s="168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2"/>
        <v/>
      </c>
    </row>
    <row r="13" spans="1:17" s="163" customFormat="1" ht="12.95" customHeight="1">
      <c r="B13" s="169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K13" si="4">I14</f>
        <v>1300</v>
      </c>
      <c r="J13" s="241">
        <f t="shared" si="4"/>
        <v>1300</v>
      </c>
      <c r="K13" s="231">
        <f t="shared" si="4"/>
        <v>0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2"/>
        <v>0</v>
      </c>
    </row>
    <row r="14" spans="1:17" ht="12.95" customHeight="1">
      <c r="B14" s="167"/>
      <c r="C14" s="168"/>
      <c r="D14" s="168"/>
      <c r="E14" s="168"/>
      <c r="F14" s="182">
        <v>612100</v>
      </c>
      <c r="G14" s="201"/>
      <c r="H14" s="437" t="s">
        <v>81</v>
      </c>
      <c r="I14" s="242">
        <v>1300</v>
      </c>
      <c r="J14" s="242">
        <v>1300</v>
      </c>
      <c r="K14" s="229">
        <v>0</v>
      </c>
      <c r="L14" s="367"/>
      <c r="M14" s="242"/>
      <c r="N14" s="828">
        <f>SUM(L14:M14)</f>
        <v>0</v>
      </c>
      <c r="O14" s="887">
        <f t="shared" si="2"/>
        <v>0</v>
      </c>
    </row>
    <row r="15" spans="1:17" ht="12.95" customHeight="1">
      <c r="B15" s="167"/>
      <c r="C15" s="168"/>
      <c r="D15" s="168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2"/>
        <v/>
      </c>
    </row>
    <row r="16" spans="1:17" s="163" customFormat="1" ht="12.95" customHeight="1">
      <c r="B16" s="169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5">SUM(I17:I26)</f>
        <v>1900</v>
      </c>
      <c r="J16" s="239">
        <f t="shared" si="5"/>
        <v>1900</v>
      </c>
      <c r="K16" s="226">
        <f t="shared" ref="K16" si="6">SUM(K17:K26)</f>
        <v>0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2"/>
        <v>0</v>
      </c>
    </row>
    <row r="17" spans="2:16" ht="12.95" customHeight="1">
      <c r="B17" s="167"/>
      <c r="C17" s="168"/>
      <c r="D17" s="168"/>
      <c r="E17" s="168"/>
      <c r="F17" s="182">
        <v>613100</v>
      </c>
      <c r="G17" s="201"/>
      <c r="H17" s="24" t="s">
        <v>82</v>
      </c>
      <c r="I17" s="242">
        <v>400</v>
      </c>
      <c r="J17" s="242">
        <v>400</v>
      </c>
      <c r="K17" s="229">
        <v>0</v>
      </c>
      <c r="L17" s="366"/>
      <c r="M17" s="238"/>
      <c r="N17" s="828">
        <f t="shared" ref="N17:N26" si="7">SUM(L17:M17)</f>
        <v>0</v>
      </c>
      <c r="O17" s="887">
        <f t="shared" si="2"/>
        <v>0</v>
      </c>
    </row>
    <row r="18" spans="2:16" ht="12.95" customHeight="1">
      <c r="B18" s="167"/>
      <c r="C18" s="168"/>
      <c r="D18" s="168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7"/>
        <v>0</v>
      </c>
      <c r="O18" s="887" t="str">
        <f t="shared" si="2"/>
        <v/>
      </c>
    </row>
    <row r="19" spans="2:16" ht="12.95" customHeight="1">
      <c r="B19" s="167"/>
      <c r="C19" s="168"/>
      <c r="D19" s="168"/>
      <c r="E19" s="168"/>
      <c r="F19" s="182">
        <v>613300</v>
      </c>
      <c r="G19" s="201"/>
      <c r="H19" s="435" t="s">
        <v>163</v>
      </c>
      <c r="I19" s="242">
        <v>0</v>
      </c>
      <c r="J19" s="242">
        <v>0</v>
      </c>
      <c r="K19" s="229">
        <v>0</v>
      </c>
      <c r="L19" s="366"/>
      <c r="M19" s="238"/>
      <c r="N19" s="828">
        <f t="shared" si="7"/>
        <v>0</v>
      </c>
      <c r="O19" s="887" t="str">
        <f t="shared" si="2"/>
        <v/>
      </c>
    </row>
    <row r="20" spans="2:16" ht="12.95" customHeight="1">
      <c r="B20" s="167"/>
      <c r="C20" s="168"/>
      <c r="D20" s="168"/>
      <c r="E20" s="168"/>
      <c r="F20" s="182">
        <v>613400</v>
      </c>
      <c r="G20" s="201"/>
      <c r="H20" s="24" t="s">
        <v>142</v>
      </c>
      <c r="I20" s="242">
        <v>0</v>
      </c>
      <c r="J20" s="242">
        <v>0</v>
      </c>
      <c r="K20" s="229">
        <v>0</v>
      </c>
      <c r="L20" s="366"/>
      <c r="M20" s="238"/>
      <c r="N20" s="828">
        <f t="shared" si="7"/>
        <v>0</v>
      </c>
      <c r="O20" s="887" t="str">
        <f t="shared" si="2"/>
        <v/>
      </c>
    </row>
    <row r="21" spans="2:16" ht="12.95" customHeight="1">
      <c r="B21" s="167"/>
      <c r="C21" s="168"/>
      <c r="D21" s="168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6"/>
      <c r="M21" s="238"/>
      <c r="N21" s="828">
        <f t="shared" si="7"/>
        <v>0</v>
      </c>
      <c r="O21" s="887" t="str">
        <f t="shared" si="2"/>
        <v/>
      </c>
    </row>
    <row r="22" spans="2:16" ht="12.95" customHeight="1">
      <c r="B22" s="167"/>
      <c r="C22" s="168"/>
      <c r="D22" s="168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7"/>
        <v>0</v>
      </c>
      <c r="O22" s="887" t="str">
        <f t="shared" si="2"/>
        <v/>
      </c>
    </row>
    <row r="23" spans="2:16" ht="12.95" customHeight="1">
      <c r="B23" s="167"/>
      <c r="C23" s="168"/>
      <c r="D23" s="168"/>
      <c r="E23" s="168"/>
      <c r="F23" s="182">
        <v>613700</v>
      </c>
      <c r="G23" s="201"/>
      <c r="H23" s="24" t="s">
        <v>85</v>
      </c>
      <c r="I23" s="242">
        <v>0</v>
      </c>
      <c r="J23" s="242">
        <v>0</v>
      </c>
      <c r="K23" s="229">
        <v>0</v>
      </c>
      <c r="L23" s="367"/>
      <c r="M23" s="242"/>
      <c r="N23" s="828">
        <f t="shared" si="7"/>
        <v>0</v>
      </c>
      <c r="O23" s="887" t="str">
        <f t="shared" si="2"/>
        <v/>
      </c>
      <c r="P23" s="45"/>
    </row>
    <row r="24" spans="2:16" ht="12.95" customHeight="1">
      <c r="B24" s="167"/>
      <c r="C24" s="168"/>
      <c r="D24" s="168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7"/>
      <c r="M24" s="242"/>
      <c r="N24" s="828">
        <f t="shared" si="7"/>
        <v>0</v>
      </c>
      <c r="O24" s="887" t="str">
        <f t="shared" si="2"/>
        <v/>
      </c>
    </row>
    <row r="25" spans="2:16" ht="12.95" customHeight="1">
      <c r="B25" s="167"/>
      <c r="C25" s="168"/>
      <c r="D25" s="168"/>
      <c r="E25" s="168"/>
      <c r="F25" s="182">
        <v>613900</v>
      </c>
      <c r="G25" s="201"/>
      <c r="H25" s="24" t="s">
        <v>144</v>
      </c>
      <c r="I25" s="242">
        <v>1500</v>
      </c>
      <c r="J25" s="242">
        <v>1500</v>
      </c>
      <c r="K25" s="229">
        <v>0</v>
      </c>
      <c r="L25" s="367"/>
      <c r="M25" s="242"/>
      <c r="N25" s="828">
        <f t="shared" si="7"/>
        <v>0</v>
      </c>
      <c r="O25" s="887">
        <f t="shared" si="2"/>
        <v>0</v>
      </c>
      <c r="P25" s="45"/>
    </row>
    <row r="26" spans="2:16" ht="12.95" customHeight="1">
      <c r="B26" s="167"/>
      <c r="C26" s="168"/>
      <c r="D26" s="168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7"/>
        <v>0</v>
      </c>
      <c r="O26" s="887" t="str">
        <f t="shared" si="2"/>
        <v/>
      </c>
    </row>
    <row r="27" spans="2:16" s="163" customFormat="1" ht="12.95" customHeight="1">
      <c r="B27" s="169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2"/>
        <v/>
      </c>
    </row>
    <row r="28" spans="2:16" s="163" customFormat="1" ht="12.95" customHeight="1">
      <c r="B28" s="169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8">SUM(I29:I30)</f>
        <v>3000</v>
      </c>
      <c r="J28" s="241">
        <f t="shared" si="8"/>
        <v>3000</v>
      </c>
      <c r="K28" s="231">
        <f t="shared" ref="K28" si="9">SUM(K29:K30)</f>
        <v>0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2"/>
        <v>0</v>
      </c>
    </row>
    <row r="29" spans="2:16" ht="12.95" customHeight="1">
      <c r="B29" s="167"/>
      <c r="C29" s="168"/>
      <c r="D29" s="168"/>
      <c r="E29" s="168"/>
      <c r="F29" s="182">
        <v>821200</v>
      </c>
      <c r="G29" s="201"/>
      <c r="H29" s="24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10">SUM(L29:M29)</f>
        <v>0</v>
      </c>
      <c r="O29" s="887" t="str">
        <f t="shared" si="2"/>
        <v/>
      </c>
    </row>
    <row r="30" spans="2:16" ht="12.95" customHeight="1">
      <c r="B30" s="167"/>
      <c r="C30" s="168"/>
      <c r="D30" s="168"/>
      <c r="E30" s="168"/>
      <c r="F30" s="182">
        <v>821300</v>
      </c>
      <c r="G30" s="201"/>
      <c r="H30" s="24" t="s">
        <v>90</v>
      </c>
      <c r="I30" s="242">
        <v>3000</v>
      </c>
      <c r="J30" s="242">
        <v>3000</v>
      </c>
      <c r="K30" s="229">
        <v>0</v>
      </c>
      <c r="L30" s="367"/>
      <c r="M30" s="242"/>
      <c r="N30" s="828">
        <f t="shared" si="10"/>
        <v>0</v>
      </c>
      <c r="O30" s="887">
        <f t="shared" si="2"/>
        <v>0</v>
      </c>
    </row>
    <row r="31" spans="2:16" ht="12.95" customHeight="1">
      <c r="B31" s="167"/>
      <c r="C31" s="168"/>
      <c r="D31" s="168"/>
      <c r="E31" s="168"/>
      <c r="F31" s="182"/>
      <c r="G31" s="201"/>
      <c r="H31" s="24"/>
      <c r="I31" s="242"/>
      <c r="J31" s="242"/>
      <c r="K31" s="229"/>
      <c r="L31" s="367"/>
      <c r="M31" s="242"/>
      <c r="N31" s="791"/>
      <c r="O31" s="887" t="str">
        <f t="shared" si="2"/>
        <v/>
      </c>
    </row>
    <row r="32" spans="2:16" s="163" customFormat="1" ht="12.95" customHeight="1">
      <c r="B32" s="169"/>
      <c r="C32" s="8"/>
      <c r="D32" s="8"/>
      <c r="E32" s="8"/>
      <c r="F32" s="181"/>
      <c r="G32" s="200"/>
      <c r="H32" s="25" t="s">
        <v>91</v>
      </c>
      <c r="I32" s="237">
        <v>1</v>
      </c>
      <c r="J32" s="237">
        <v>1</v>
      </c>
      <c r="K32" s="228">
        <v>0</v>
      </c>
      <c r="L32" s="492"/>
      <c r="M32" s="237"/>
      <c r="N32" s="789"/>
      <c r="O32" s="887"/>
    </row>
    <row r="33" spans="2:15" s="163" customFormat="1" ht="12.95" customHeight="1">
      <c r="B33" s="169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20400</v>
      </c>
      <c r="J33" s="170">
        <f t="shared" si="11"/>
        <v>20400</v>
      </c>
      <c r="K33" s="158">
        <f t="shared" si="11"/>
        <v>0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2:15" s="163" customFormat="1" ht="12.95" customHeight="1">
      <c r="B34" s="169"/>
      <c r="C34" s="8"/>
      <c r="D34" s="8"/>
      <c r="E34" s="8"/>
      <c r="F34" s="181"/>
      <c r="G34" s="200"/>
      <c r="H34" s="8" t="s">
        <v>92</v>
      </c>
      <c r="I34" s="170">
        <f t="shared" ref="I34:K34" si="12">I33</f>
        <v>20400</v>
      </c>
      <c r="J34" s="170">
        <f t="shared" si="12"/>
        <v>20400</v>
      </c>
      <c r="K34" s="158">
        <f t="shared" si="12"/>
        <v>0</v>
      </c>
      <c r="L34" s="377">
        <f t="shared" ref="L34:N34" si="13">L33</f>
        <v>0</v>
      </c>
      <c r="M34" s="170">
        <f t="shared" si="13"/>
        <v>0</v>
      </c>
      <c r="N34" s="789">
        <f t="shared" si="13"/>
        <v>0</v>
      </c>
      <c r="O34" s="886">
        <f>IF(J34=0,"",N34/J34*100)</f>
        <v>0</v>
      </c>
    </row>
    <row r="35" spans="2:15" s="163" customFormat="1" ht="12.95" customHeight="1">
      <c r="B35" s="169"/>
      <c r="C35" s="8"/>
      <c r="D35" s="8"/>
      <c r="E35" s="8"/>
      <c r="F35" s="181"/>
      <c r="G35" s="200"/>
      <c r="H35" s="8" t="s">
        <v>93</v>
      </c>
      <c r="I35" s="170">
        <f>I34+'13'!I34+'12'!I34+'10'!I35+'9'!I35</f>
        <v>2312070</v>
      </c>
      <c r="J35" s="170">
        <f>J34+'13'!J34+'12'!J34+'10'!J35+'9'!J35</f>
        <v>2312070</v>
      </c>
      <c r="K35" s="158">
        <f>K34+'13'!K34+'12'!K34+'10'!K35+'9'!K35</f>
        <v>1616334</v>
      </c>
      <c r="L35" s="377">
        <f>L34+'13'!L34+'12'!L34+'10'!L35+'9'!L35</f>
        <v>0</v>
      </c>
      <c r="M35" s="170">
        <f>M34+'13'!M34+'12'!M34+'10'!M35+'9'!M35</f>
        <v>0</v>
      </c>
      <c r="N35" s="789">
        <f>N34+'13'!N34+'12'!N34+'10'!N35+'9'!N35</f>
        <v>0</v>
      </c>
      <c r="O35" s="886">
        <f>IF(J35=0,"",N35/J35*100)</f>
        <v>0</v>
      </c>
    </row>
    <row r="36" spans="2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2:15" ht="12.95" customHeight="1">
      <c r="F37" s="184"/>
      <c r="G37" s="203"/>
      <c r="N37" s="259"/>
    </row>
    <row r="38" spans="2:15" ht="12.95" customHeight="1">
      <c r="B38" s="45"/>
      <c r="F38" s="184"/>
      <c r="G38" s="203"/>
      <c r="N38" s="259"/>
    </row>
    <row r="39" spans="2:15" ht="12.95" customHeight="1">
      <c r="F39" s="184"/>
      <c r="G39" s="203"/>
      <c r="N39" s="259"/>
    </row>
    <row r="40" spans="2:15" ht="12.95" customHeight="1">
      <c r="F40" s="184"/>
      <c r="G40" s="203"/>
      <c r="N40" s="259"/>
    </row>
    <row r="41" spans="2:15" ht="12.95" customHeight="1">
      <c r="F41" s="184"/>
      <c r="G41" s="203"/>
      <c r="N41" s="259"/>
    </row>
    <row r="42" spans="2:15" ht="12.95" customHeight="1">
      <c r="F42" s="184"/>
      <c r="G42" s="203"/>
      <c r="N42" s="259"/>
    </row>
    <row r="43" spans="2:15" ht="12.95" customHeight="1">
      <c r="F43" s="184"/>
      <c r="G43" s="203"/>
      <c r="N43" s="259"/>
    </row>
    <row r="44" spans="2:15" ht="12.95" customHeight="1">
      <c r="F44" s="184"/>
      <c r="G44" s="203"/>
      <c r="N44" s="259"/>
    </row>
    <row r="45" spans="2:15" ht="12.95" customHeight="1">
      <c r="F45" s="184"/>
      <c r="G45" s="203"/>
      <c r="N45" s="259"/>
    </row>
    <row r="46" spans="2:15" ht="12.95" customHeight="1">
      <c r="F46" s="184"/>
      <c r="G46" s="203"/>
      <c r="N46" s="259"/>
    </row>
    <row r="47" spans="2:15" ht="12.95" customHeight="1">
      <c r="F47" s="184"/>
      <c r="G47" s="203"/>
      <c r="N47" s="259"/>
    </row>
    <row r="48" spans="2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J4:J5"/>
    <mergeCell ref="L4:N4"/>
    <mergeCell ref="O4:O5"/>
    <mergeCell ref="H3:I3"/>
    <mergeCell ref="B4:B5"/>
    <mergeCell ref="C4:C5"/>
    <mergeCell ref="D4:D5"/>
    <mergeCell ref="E4:E5"/>
    <mergeCell ref="F4:F5"/>
    <mergeCell ref="G4:G5"/>
    <mergeCell ref="H4:H5"/>
    <mergeCell ref="I4:I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8"/>
  <dimension ref="A1:Q101"/>
  <sheetViews>
    <sheetView zoomScaleNormal="100" workbookViewId="0">
      <selection activeCell="H10" sqref="H1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642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410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121</v>
      </c>
      <c r="C7" s="7" t="s">
        <v>79</v>
      </c>
      <c r="D7" s="7" t="s">
        <v>80</v>
      </c>
      <c r="E7" s="422" t="s">
        <v>712</v>
      </c>
      <c r="F7" s="5"/>
      <c r="G7" s="165"/>
      <c r="H7" s="5"/>
      <c r="I7" s="71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N8" si="0">SUM(I9:I11)</f>
        <v>299740</v>
      </c>
      <c r="J8" s="241">
        <f t="shared" si="0"/>
        <v>299740</v>
      </c>
      <c r="K8" s="231">
        <f>SUM(K9:K11)</f>
        <v>213200</v>
      </c>
      <c r="L8" s="490">
        <f t="shared" si="0"/>
        <v>0</v>
      </c>
      <c r="M8" s="241">
        <f t="shared" si="0"/>
        <v>0</v>
      </c>
      <c r="N8" s="827">
        <f t="shared" si="0"/>
        <v>0</v>
      </c>
      <c r="O8" s="886">
        <f t="shared" ref="O8:O40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252090</v>
      </c>
      <c r="J9" s="242">
        <v>252090</v>
      </c>
      <c r="K9" s="229">
        <v>174702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47650</v>
      </c>
      <c r="J10" s="242">
        <v>47650</v>
      </c>
      <c r="K10" s="229">
        <v>38498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N13" si="3">I14</f>
        <v>27060</v>
      </c>
      <c r="J13" s="241">
        <f t="shared" si="3"/>
        <v>27060</v>
      </c>
      <c r="K13" s="231">
        <f>K14</f>
        <v>18509</v>
      </c>
      <c r="L13" s="490">
        <f t="shared" si="3"/>
        <v>0</v>
      </c>
      <c r="M13" s="241">
        <f t="shared" si="3"/>
        <v>0</v>
      </c>
      <c r="N13" s="827">
        <f t="shared" si="3"/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27060</v>
      </c>
      <c r="J14" s="242">
        <v>27060</v>
      </c>
      <c r="K14" s="229">
        <v>18509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N16" si="4">SUM(I17:I27)</f>
        <v>60550</v>
      </c>
      <c r="J16" s="241">
        <f t="shared" si="4"/>
        <v>60550</v>
      </c>
      <c r="K16" s="231">
        <f>SUM(K17:K27)</f>
        <v>19727</v>
      </c>
      <c r="L16" s="491">
        <f t="shared" si="4"/>
        <v>0</v>
      </c>
      <c r="M16" s="239">
        <f t="shared" si="4"/>
        <v>0</v>
      </c>
      <c r="N16" s="789">
        <f t="shared" si="4"/>
        <v>0</v>
      </c>
      <c r="O16" s="886">
        <f t="shared" si="1"/>
        <v>0</v>
      </c>
    </row>
    <row r="17" spans="1:17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4100</v>
      </c>
      <c r="J17" s="242">
        <v>4100</v>
      </c>
      <c r="K17" s="229">
        <v>1711</v>
      </c>
      <c r="L17" s="366"/>
      <c r="M17" s="238"/>
      <c r="N17" s="828">
        <f t="shared" ref="N17:N27" si="5">SUM(L17:M17)</f>
        <v>0</v>
      </c>
      <c r="O17" s="887">
        <f t="shared" si="1"/>
        <v>0</v>
      </c>
    </row>
    <row r="18" spans="1:17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5"/>
        <v>0</v>
      </c>
      <c r="O18" s="887" t="str">
        <f t="shared" si="1"/>
        <v/>
      </c>
    </row>
    <row r="19" spans="1:17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3250</v>
      </c>
      <c r="J19" s="242">
        <v>3250</v>
      </c>
      <c r="K19" s="229">
        <v>2046</v>
      </c>
      <c r="L19" s="366"/>
      <c r="M19" s="238"/>
      <c r="N19" s="828">
        <f t="shared" si="5"/>
        <v>0</v>
      </c>
      <c r="O19" s="887">
        <f t="shared" si="1"/>
        <v>0</v>
      </c>
    </row>
    <row r="20" spans="1:17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100</v>
      </c>
      <c r="J20" s="242">
        <v>100</v>
      </c>
      <c r="K20" s="229">
        <v>0</v>
      </c>
      <c r="L20" s="366"/>
      <c r="M20" s="238"/>
      <c r="N20" s="828">
        <f t="shared" si="5"/>
        <v>0</v>
      </c>
      <c r="O20" s="887">
        <f t="shared" si="1"/>
        <v>0</v>
      </c>
    </row>
    <row r="21" spans="1:17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6"/>
      <c r="M21" s="238"/>
      <c r="N21" s="828">
        <f t="shared" si="5"/>
        <v>0</v>
      </c>
      <c r="O21" s="887" t="str">
        <f t="shared" si="1"/>
        <v/>
      </c>
    </row>
    <row r="22" spans="1:17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7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0</v>
      </c>
      <c r="J23" s="242">
        <v>200</v>
      </c>
      <c r="K23" s="229">
        <v>164</v>
      </c>
      <c r="L23" s="366"/>
      <c r="M23" s="238"/>
      <c r="N23" s="828">
        <f t="shared" si="5"/>
        <v>0</v>
      </c>
      <c r="O23" s="887">
        <f t="shared" si="1"/>
        <v>0</v>
      </c>
    </row>
    <row r="24" spans="1:17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6"/>
      <c r="M24" s="238"/>
      <c r="N24" s="828">
        <f t="shared" si="5"/>
        <v>0</v>
      </c>
      <c r="O24" s="887" t="str">
        <f t="shared" si="1"/>
        <v/>
      </c>
      <c r="Q24" s="45"/>
    </row>
    <row r="25" spans="1:17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23000</v>
      </c>
      <c r="J25" s="242">
        <v>22800</v>
      </c>
      <c r="K25" s="229">
        <v>15806</v>
      </c>
      <c r="L25" s="367"/>
      <c r="M25" s="242"/>
      <c r="N25" s="828">
        <f t="shared" si="5"/>
        <v>0</v>
      </c>
      <c r="O25" s="887">
        <f t="shared" si="1"/>
        <v>0</v>
      </c>
      <c r="Q25" s="45"/>
    </row>
    <row r="26" spans="1:17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6"/>
      <c r="M26" s="238"/>
      <c r="N26" s="828">
        <f t="shared" si="5"/>
        <v>0</v>
      </c>
      <c r="O26" s="887" t="str">
        <f t="shared" si="1"/>
        <v/>
      </c>
    </row>
    <row r="27" spans="1:17" ht="12.95" customHeight="1">
      <c r="B27" s="10"/>
      <c r="C27" s="11"/>
      <c r="D27" s="11"/>
      <c r="E27" s="168"/>
      <c r="F27" s="182">
        <v>613900</v>
      </c>
      <c r="G27" s="201" t="s">
        <v>506</v>
      </c>
      <c r="H27" s="435" t="s">
        <v>443</v>
      </c>
      <c r="I27" s="242">
        <v>30100</v>
      </c>
      <c r="J27" s="242">
        <v>30100</v>
      </c>
      <c r="K27" s="229">
        <v>0</v>
      </c>
      <c r="L27" s="367"/>
      <c r="M27" s="242"/>
      <c r="N27" s="828">
        <f t="shared" si="5"/>
        <v>0</v>
      </c>
      <c r="O27" s="887">
        <f t="shared" si="1"/>
        <v>0</v>
      </c>
    </row>
    <row r="28" spans="1:17" ht="12.95" customHeight="1">
      <c r="B28" s="10"/>
      <c r="C28" s="11"/>
      <c r="D28" s="11"/>
      <c r="E28" s="168"/>
      <c r="F28" s="182"/>
      <c r="G28" s="201"/>
      <c r="H28" s="24"/>
      <c r="I28" s="241"/>
      <c r="J28" s="241"/>
      <c r="K28" s="231"/>
      <c r="L28" s="492"/>
      <c r="M28" s="237"/>
      <c r="N28" s="789"/>
      <c r="O28" s="887" t="str">
        <f t="shared" si="1"/>
        <v/>
      </c>
    </row>
    <row r="29" spans="1:17" s="1" customFormat="1" ht="12.95" customHeight="1">
      <c r="A29" s="163"/>
      <c r="B29" s="12"/>
      <c r="C29" s="8"/>
      <c r="D29" s="8"/>
      <c r="E29" s="8"/>
      <c r="F29" s="181">
        <v>614000</v>
      </c>
      <c r="G29" s="200"/>
      <c r="H29" s="25" t="s">
        <v>165</v>
      </c>
      <c r="I29" s="241">
        <f>SUM(I30:I31)</f>
        <v>1250000</v>
      </c>
      <c r="J29" s="241">
        <f>SUM(J30:J31)</f>
        <v>1250000</v>
      </c>
      <c r="K29" s="231">
        <f t="shared" ref="K29" si="6">SUM(K30:K31)</f>
        <v>295259</v>
      </c>
      <c r="L29" s="492">
        <f t="shared" ref="L29:N29" si="7">SUM(L30:L31)</f>
        <v>0</v>
      </c>
      <c r="M29" s="237">
        <f t="shared" si="7"/>
        <v>0</v>
      </c>
      <c r="N29" s="789">
        <f t="shared" si="7"/>
        <v>0</v>
      </c>
      <c r="O29" s="886">
        <f t="shared" si="1"/>
        <v>0</v>
      </c>
    </row>
    <row r="30" spans="1:17" s="163" customFormat="1" ht="12.95" customHeight="1">
      <c r="B30" s="169"/>
      <c r="C30" s="8"/>
      <c r="D30" s="42"/>
      <c r="E30" s="42"/>
      <c r="F30" s="187">
        <v>614100</v>
      </c>
      <c r="G30" s="206" t="s">
        <v>615</v>
      </c>
      <c r="H30" s="459" t="s">
        <v>173</v>
      </c>
      <c r="I30" s="242">
        <v>50000</v>
      </c>
      <c r="J30" s="242">
        <v>50000</v>
      </c>
      <c r="K30" s="229">
        <v>0</v>
      </c>
      <c r="L30" s="367"/>
      <c r="M30" s="242"/>
      <c r="N30" s="828">
        <f>SUM(L30:M30)</f>
        <v>0</v>
      </c>
      <c r="O30" s="887">
        <f t="shared" si="1"/>
        <v>0</v>
      </c>
    </row>
    <row r="31" spans="1:17" s="1" customFormat="1" ht="12.95" customHeight="1">
      <c r="A31" s="163"/>
      <c r="B31" s="12"/>
      <c r="C31" s="8"/>
      <c r="D31" s="42"/>
      <c r="E31" s="42"/>
      <c r="F31" s="187">
        <v>614500</v>
      </c>
      <c r="G31" s="206" t="s">
        <v>507</v>
      </c>
      <c r="H31" s="459" t="s">
        <v>488</v>
      </c>
      <c r="I31" s="242">
        <v>1200000</v>
      </c>
      <c r="J31" s="242">
        <v>1200000</v>
      </c>
      <c r="K31" s="229">
        <v>295259</v>
      </c>
      <c r="L31" s="367"/>
      <c r="M31" s="242"/>
      <c r="N31" s="828">
        <f>SUM(L31:M31)</f>
        <v>0</v>
      </c>
      <c r="O31" s="887">
        <f t="shared" si="1"/>
        <v>0</v>
      </c>
    </row>
    <row r="32" spans="1:17" s="166" customFormat="1" ht="12.95" customHeight="1">
      <c r="B32" s="167"/>
      <c r="C32" s="168"/>
      <c r="D32" s="168"/>
      <c r="E32" s="168"/>
      <c r="F32" s="182"/>
      <c r="G32" s="201"/>
      <c r="H32" s="24"/>
      <c r="I32" s="241"/>
      <c r="J32" s="241"/>
      <c r="K32" s="231"/>
      <c r="L32" s="492"/>
      <c r="M32" s="241"/>
      <c r="N32" s="789"/>
      <c r="O32" s="887" t="str">
        <f t="shared" si="1"/>
        <v/>
      </c>
    </row>
    <row r="33" spans="1:15" s="163" customFormat="1" ht="12.95" customHeight="1">
      <c r="B33" s="169"/>
      <c r="C33" s="8"/>
      <c r="D33" s="8"/>
      <c r="E33" s="8"/>
      <c r="F33" s="181">
        <v>615000</v>
      </c>
      <c r="G33" s="200"/>
      <c r="H33" s="25" t="s">
        <v>87</v>
      </c>
      <c r="I33" s="241">
        <f>SUM(I34:I35)</f>
        <v>1100000</v>
      </c>
      <c r="J33" s="241">
        <f>SUM(J34:J35)</f>
        <v>1100000</v>
      </c>
      <c r="K33" s="231">
        <f t="shared" ref="K33" si="8">SUM(K34:K35)</f>
        <v>400000</v>
      </c>
      <c r="L33" s="492">
        <f t="shared" ref="L33:N33" si="9">SUM(L34:L35)</f>
        <v>0</v>
      </c>
      <c r="M33" s="241">
        <f t="shared" si="9"/>
        <v>0</v>
      </c>
      <c r="N33" s="789">
        <f t="shared" si="9"/>
        <v>0</v>
      </c>
      <c r="O33" s="886">
        <f t="shared" si="1"/>
        <v>0</v>
      </c>
    </row>
    <row r="34" spans="1:15" s="163" customFormat="1" ht="27" customHeight="1">
      <c r="B34" s="169"/>
      <c r="C34" s="8"/>
      <c r="D34" s="42"/>
      <c r="E34" s="42"/>
      <c r="F34" s="187">
        <v>615100</v>
      </c>
      <c r="G34" s="206" t="s">
        <v>905</v>
      </c>
      <c r="H34" s="895" t="s">
        <v>904</v>
      </c>
      <c r="I34" s="242">
        <v>400000</v>
      </c>
      <c r="J34" s="242">
        <v>400000</v>
      </c>
      <c r="K34" s="229">
        <v>400000</v>
      </c>
      <c r="L34" s="367"/>
      <c r="M34" s="242"/>
      <c r="N34" s="828">
        <f>SUM(L34:M34)</f>
        <v>0</v>
      </c>
      <c r="O34" s="887">
        <f t="shared" ref="O34" si="10">IF(J34=0,"",N34/J34*100)</f>
        <v>0</v>
      </c>
    </row>
    <row r="35" spans="1:15" s="163" customFormat="1" ht="12.95" customHeight="1">
      <c r="B35" s="169"/>
      <c r="C35" s="8"/>
      <c r="D35" s="42"/>
      <c r="E35" s="42"/>
      <c r="F35" s="187">
        <v>615500</v>
      </c>
      <c r="G35" s="206" t="s">
        <v>616</v>
      </c>
      <c r="H35" s="459" t="s">
        <v>671</v>
      </c>
      <c r="I35" s="242">
        <v>700000</v>
      </c>
      <c r="J35" s="242">
        <v>700000</v>
      </c>
      <c r="K35" s="229">
        <v>0</v>
      </c>
      <c r="L35" s="367"/>
      <c r="M35" s="242"/>
      <c r="N35" s="828">
        <f>SUM(L35:M35)</f>
        <v>0</v>
      </c>
      <c r="O35" s="887">
        <f t="shared" si="1"/>
        <v>0</v>
      </c>
    </row>
    <row r="36" spans="1:15" ht="12.95" customHeight="1">
      <c r="B36" s="10"/>
      <c r="C36" s="11"/>
      <c r="D36" s="11"/>
      <c r="E36" s="168"/>
      <c r="F36" s="182"/>
      <c r="G36" s="201"/>
      <c r="H36" s="435"/>
      <c r="I36" s="242"/>
      <c r="J36" s="242"/>
      <c r="K36" s="229"/>
      <c r="L36" s="367"/>
      <c r="M36" s="242"/>
      <c r="N36" s="791"/>
      <c r="O36" s="887" t="str">
        <f t="shared" si="1"/>
        <v/>
      </c>
    </row>
    <row r="37" spans="1:15" ht="12.95" customHeight="1">
      <c r="B37" s="12"/>
      <c r="C37" s="8"/>
      <c r="D37" s="8"/>
      <c r="E37" s="8"/>
      <c r="F37" s="181">
        <v>821000</v>
      </c>
      <c r="G37" s="200"/>
      <c r="H37" s="25" t="s">
        <v>88</v>
      </c>
      <c r="I37" s="241">
        <f t="shared" ref="I37:J37" si="11">SUM(I38:I39)</f>
        <v>4000</v>
      </c>
      <c r="J37" s="241">
        <f t="shared" si="11"/>
        <v>4000</v>
      </c>
      <c r="K37" s="231">
        <f>SUM(K38:K39)</f>
        <v>3799</v>
      </c>
      <c r="L37" s="490">
        <f>SUM(L38:L39)</f>
        <v>0</v>
      </c>
      <c r="M37" s="241">
        <f>SUM(M38:M39)</f>
        <v>0</v>
      </c>
      <c r="N37" s="789">
        <f>SUM(N38:N39)</f>
        <v>0</v>
      </c>
      <c r="O37" s="886">
        <f t="shared" si="1"/>
        <v>0</v>
      </c>
    </row>
    <row r="38" spans="1:15" ht="12.95" customHeight="1">
      <c r="B38" s="10"/>
      <c r="C38" s="11"/>
      <c r="D38" s="11"/>
      <c r="E38" s="168"/>
      <c r="F38" s="182">
        <v>821200</v>
      </c>
      <c r="G38" s="201"/>
      <c r="H38" s="24" t="s">
        <v>89</v>
      </c>
      <c r="I38" s="242">
        <v>0</v>
      </c>
      <c r="J38" s="242">
        <v>0</v>
      </c>
      <c r="K38" s="229">
        <v>0</v>
      </c>
      <c r="L38" s="367"/>
      <c r="M38" s="242"/>
      <c r="N38" s="828">
        <f t="shared" ref="N38:N39" si="12">SUM(L38:M38)</f>
        <v>0</v>
      </c>
      <c r="O38" s="887" t="str">
        <f t="shared" si="1"/>
        <v/>
      </c>
    </row>
    <row r="39" spans="1:15" ht="12.95" customHeight="1">
      <c r="B39" s="10"/>
      <c r="C39" s="11"/>
      <c r="D39" s="11"/>
      <c r="E39" s="168"/>
      <c r="F39" s="182">
        <v>821300</v>
      </c>
      <c r="G39" s="201"/>
      <c r="H39" s="24" t="s">
        <v>90</v>
      </c>
      <c r="I39" s="242">
        <v>4000</v>
      </c>
      <c r="J39" s="242">
        <v>4000</v>
      </c>
      <c r="K39" s="229">
        <v>3799</v>
      </c>
      <c r="L39" s="367"/>
      <c r="M39" s="242"/>
      <c r="N39" s="828">
        <f t="shared" si="12"/>
        <v>0</v>
      </c>
      <c r="O39" s="887">
        <f t="shared" si="1"/>
        <v>0</v>
      </c>
    </row>
    <row r="40" spans="1:15" ht="12.95" customHeight="1">
      <c r="B40" s="10"/>
      <c r="C40" s="11"/>
      <c r="D40" s="11"/>
      <c r="E40" s="168"/>
      <c r="F40" s="182"/>
      <c r="G40" s="201"/>
      <c r="H40" s="24"/>
      <c r="I40" s="238"/>
      <c r="J40" s="238"/>
      <c r="K40" s="227"/>
      <c r="L40" s="366"/>
      <c r="M40" s="238"/>
      <c r="N40" s="791"/>
      <c r="O40" s="887" t="str">
        <f t="shared" si="1"/>
        <v/>
      </c>
    </row>
    <row r="41" spans="1:15" ht="12.95" customHeight="1">
      <c r="B41" s="12"/>
      <c r="C41" s="8"/>
      <c r="D41" s="8"/>
      <c r="E41" s="8"/>
      <c r="F41" s="181"/>
      <c r="G41" s="200"/>
      <c r="H41" s="25" t="s">
        <v>91</v>
      </c>
      <c r="I41" s="384" t="s">
        <v>891</v>
      </c>
      <c r="J41" s="384" t="s">
        <v>891</v>
      </c>
      <c r="K41" s="494" t="s">
        <v>944</v>
      </c>
      <c r="L41" s="493"/>
      <c r="M41" s="241"/>
      <c r="N41" s="782"/>
      <c r="O41" s="887"/>
    </row>
    <row r="42" spans="1:15" ht="12.95" customHeight="1">
      <c r="B42" s="12"/>
      <c r="C42" s="8"/>
      <c r="D42" s="8"/>
      <c r="E42" s="8"/>
      <c r="F42" s="181"/>
      <c r="G42" s="200"/>
      <c r="H42" s="8" t="s">
        <v>105</v>
      </c>
      <c r="I42" s="15">
        <f t="shared" ref="I42:N42" si="13">I8+I13+I16+I29+I33+I37</f>
        <v>2741350</v>
      </c>
      <c r="J42" s="15">
        <f t="shared" si="13"/>
        <v>2741350</v>
      </c>
      <c r="K42" s="158">
        <f t="shared" ref="K42" si="14">K8+K13+K16+K29+K33+K37</f>
        <v>950494</v>
      </c>
      <c r="L42" s="377">
        <f t="shared" si="13"/>
        <v>0</v>
      </c>
      <c r="M42" s="170">
        <f t="shared" si="13"/>
        <v>0</v>
      </c>
      <c r="N42" s="789">
        <f t="shared" si="13"/>
        <v>0</v>
      </c>
      <c r="O42" s="886">
        <f>IF(J42=0,"",N42/J42*100)</f>
        <v>0</v>
      </c>
    </row>
    <row r="43" spans="1:15" ht="12.95" customHeight="1">
      <c r="B43" s="12"/>
      <c r="C43" s="8"/>
      <c r="D43" s="8"/>
      <c r="E43" s="8"/>
      <c r="F43" s="181"/>
      <c r="G43" s="200"/>
      <c r="H43" s="8" t="s">
        <v>92</v>
      </c>
      <c r="I43" s="15">
        <f t="shared" ref="I43:K44" si="15">I42</f>
        <v>2741350</v>
      </c>
      <c r="J43" s="15">
        <f t="shared" si="15"/>
        <v>2741350</v>
      </c>
      <c r="K43" s="158">
        <f t="shared" si="15"/>
        <v>950494</v>
      </c>
      <c r="L43" s="377">
        <f t="shared" ref="L43:N44" si="16">L42</f>
        <v>0</v>
      </c>
      <c r="M43" s="170">
        <f t="shared" si="16"/>
        <v>0</v>
      </c>
      <c r="N43" s="789">
        <f t="shared" si="16"/>
        <v>0</v>
      </c>
      <c r="O43" s="886">
        <f>IF(J43=0,"",N43/J43*100)</f>
        <v>0</v>
      </c>
    </row>
    <row r="44" spans="1:15" s="1" customFormat="1" ht="12.95" customHeight="1">
      <c r="A44" s="163"/>
      <c r="B44" s="12"/>
      <c r="C44" s="8"/>
      <c r="D44" s="8"/>
      <c r="E44" s="8"/>
      <c r="F44" s="181"/>
      <c r="G44" s="200"/>
      <c r="H44" s="8" t="s">
        <v>93</v>
      </c>
      <c r="I44" s="15">
        <f t="shared" si="15"/>
        <v>2741350</v>
      </c>
      <c r="J44" s="15">
        <f t="shared" si="15"/>
        <v>2741350</v>
      </c>
      <c r="K44" s="158">
        <f t="shared" si="15"/>
        <v>950494</v>
      </c>
      <c r="L44" s="377">
        <f t="shared" si="16"/>
        <v>0</v>
      </c>
      <c r="M44" s="170">
        <f t="shared" si="16"/>
        <v>0</v>
      </c>
      <c r="N44" s="789">
        <f t="shared" si="16"/>
        <v>0</v>
      </c>
      <c r="O44" s="886">
        <f>IF(J44=0,"",N44/J44*100)</f>
        <v>0</v>
      </c>
    </row>
    <row r="45" spans="1:15" s="1" customFormat="1" ht="12.95" customHeight="1" thickBot="1">
      <c r="A45" s="163"/>
      <c r="B45" s="16"/>
      <c r="C45" s="17"/>
      <c r="D45" s="17"/>
      <c r="E45" s="17"/>
      <c r="F45" s="183"/>
      <c r="G45" s="202"/>
      <c r="H45" s="17"/>
      <c r="I45" s="31"/>
      <c r="J45" s="31"/>
      <c r="K45" s="739"/>
      <c r="L45" s="378"/>
      <c r="M45" s="31"/>
      <c r="N45" s="829"/>
      <c r="O45" s="888"/>
    </row>
    <row r="46" spans="1:15" s="1" customFormat="1" ht="12.95" customHeight="1">
      <c r="A46" s="163"/>
      <c r="B46" s="9"/>
      <c r="C46" s="9"/>
      <c r="D46" s="9"/>
      <c r="E46" s="166"/>
      <c r="F46" s="184"/>
      <c r="G46" s="203"/>
      <c r="H46" s="45"/>
      <c r="I46" s="51"/>
      <c r="J46" s="51"/>
      <c r="K46" s="51"/>
      <c r="L46" s="893"/>
      <c r="M46" s="51"/>
      <c r="N46" s="259"/>
      <c r="O46" s="219"/>
    </row>
    <row r="47" spans="1:15" s="1" customFormat="1" ht="12.95" customHeight="1">
      <c r="A47" s="163"/>
      <c r="B47" s="45"/>
      <c r="C47" s="9"/>
      <c r="D47" s="9"/>
      <c r="E47" s="166"/>
      <c r="F47" s="184"/>
      <c r="G47" s="203"/>
      <c r="H47" s="9"/>
      <c r="I47" s="51"/>
      <c r="J47" s="51"/>
      <c r="K47" s="51"/>
      <c r="L47" s="51"/>
      <c r="M47" s="51"/>
      <c r="N47" s="259"/>
      <c r="O47" s="219"/>
    </row>
    <row r="48" spans="1:15" ht="12.95" customHeight="1">
      <c r="B48" s="45"/>
      <c r="F48" s="184"/>
      <c r="G48" s="203"/>
      <c r="N48" s="259"/>
    </row>
    <row r="49" spans="2:14" ht="12.95" customHeight="1">
      <c r="B49" s="45"/>
      <c r="F49" s="184"/>
      <c r="G49" s="203"/>
      <c r="N49" s="259"/>
    </row>
    <row r="50" spans="2:14" ht="12.95" customHeight="1">
      <c r="B50" s="45"/>
      <c r="F50" s="184"/>
      <c r="G50" s="203"/>
      <c r="N50" s="259"/>
    </row>
    <row r="51" spans="2:14" ht="12.95" customHeight="1">
      <c r="F51" s="184"/>
      <c r="G51" s="203"/>
      <c r="N51" s="259"/>
    </row>
    <row r="52" spans="2:14" ht="12.95" customHeight="1">
      <c r="F52" s="184"/>
      <c r="G52" s="203"/>
      <c r="N52" s="259"/>
    </row>
    <row r="53" spans="2:14" ht="12.95" customHeight="1">
      <c r="F53" s="184"/>
      <c r="G53" s="203"/>
      <c r="N53" s="259"/>
    </row>
    <row r="54" spans="2:14" ht="12.95" customHeight="1">
      <c r="F54" s="184"/>
      <c r="G54" s="203"/>
      <c r="N54" s="259"/>
    </row>
    <row r="55" spans="2:14" ht="12.95" customHeight="1">
      <c r="F55" s="184"/>
      <c r="G55" s="203"/>
      <c r="N55" s="259"/>
    </row>
    <row r="56" spans="2:14" ht="12.95" customHeight="1">
      <c r="F56" s="184"/>
      <c r="G56" s="203"/>
      <c r="N56" s="259"/>
    </row>
    <row r="57" spans="2:14" ht="12.95" customHeight="1">
      <c r="F57" s="184"/>
      <c r="G57" s="203"/>
      <c r="N57" s="259"/>
    </row>
    <row r="58" spans="2:14" ht="12.95" customHeight="1">
      <c r="F58" s="184"/>
      <c r="G58" s="203"/>
      <c r="N58" s="259"/>
    </row>
    <row r="59" spans="2:14" ht="12.95" customHeight="1">
      <c r="F59" s="184"/>
      <c r="G59" s="203"/>
      <c r="N59" s="259"/>
    </row>
    <row r="60" spans="2:14" ht="12.95" customHeight="1">
      <c r="F60" s="184"/>
      <c r="G60" s="203"/>
      <c r="N60" s="259"/>
    </row>
    <row r="61" spans="2:14" ht="12.95" customHeight="1">
      <c r="F61" s="184"/>
      <c r="G61" s="203"/>
      <c r="N61" s="259"/>
    </row>
    <row r="62" spans="2:14" ht="12.95" customHeight="1">
      <c r="F62" s="184"/>
      <c r="G62" s="203"/>
      <c r="N62" s="259"/>
    </row>
    <row r="63" spans="2:14" ht="12.95" customHeight="1">
      <c r="F63" s="184"/>
      <c r="G63" s="203"/>
      <c r="N63" s="259"/>
    </row>
    <row r="64" spans="2:14" ht="12.95" customHeight="1">
      <c r="F64" s="184"/>
      <c r="G64" s="203"/>
      <c r="N64" s="259"/>
    </row>
    <row r="65" spans="6:14" ht="17.100000000000001" customHeight="1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203"/>
      <c r="N74" s="259"/>
    </row>
    <row r="75" spans="6:14" ht="14.25">
      <c r="F75" s="184"/>
      <c r="G75" s="203"/>
      <c r="N75" s="259"/>
    </row>
    <row r="76" spans="6:14" ht="14.25">
      <c r="F76" s="184"/>
      <c r="G76" s="203"/>
      <c r="N76" s="259"/>
    </row>
    <row r="77" spans="6:14" ht="14.25">
      <c r="F77" s="184"/>
      <c r="G77" s="203"/>
      <c r="N77" s="259"/>
    </row>
    <row r="78" spans="6:14" ht="14.25">
      <c r="F78" s="184"/>
      <c r="G78" s="203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 ht="14.25">
      <c r="F91" s="184"/>
      <c r="G91" s="184"/>
      <c r="N91" s="259"/>
    </row>
    <row r="92" spans="6:14" ht="14.25">
      <c r="F92" s="184"/>
      <c r="G92" s="184"/>
      <c r="N92" s="259"/>
    </row>
    <row r="93" spans="6:14" ht="14.25">
      <c r="F93" s="184"/>
      <c r="G93" s="184"/>
      <c r="N93" s="259"/>
    </row>
    <row r="94" spans="6:14" ht="14.25">
      <c r="F94" s="184"/>
      <c r="G94" s="184"/>
      <c r="N94" s="259"/>
    </row>
    <row r="95" spans="6:14" ht="14.25">
      <c r="F95" s="184"/>
      <c r="G95" s="184"/>
      <c r="N95" s="259"/>
    </row>
    <row r="96" spans="6:14">
      <c r="G96" s="184"/>
    </row>
    <row r="97" spans="7:7">
      <c r="G97" s="184"/>
    </row>
    <row r="98" spans="7:7">
      <c r="G98" s="184"/>
    </row>
    <row r="99" spans="7:7">
      <c r="G99" s="184"/>
    </row>
    <row r="100" spans="7:7">
      <c r="G100" s="184"/>
    </row>
    <row r="101" spans="7:7">
      <c r="G101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S96"/>
  <sheetViews>
    <sheetView topLeftCell="A8" zoomScaleNormal="100" workbookViewId="0">
      <selection activeCell="J23" sqref="J2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" width="11" style="9" bestFit="1" customWidth="1"/>
    <col min="17" max="16384" width="9.140625" style="9"/>
  </cols>
  <sheetData>
    <row r="1" spans="1:19" ht="13.5" thickBot="1"/>
    <row r="2" spans="1:19" s="81" customFormat="1" ht="20.100000000000001" customHeight="1" thickTop="1" thickBot="1">
      <c r="B2" s="963" t="s">
        <v>643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9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243"/>
      <c r="M3" s="243"/>
      <c r="N3" s="243"/>
      <c r="O3" s="213"/>
      <c r="P3" s="244"/>
    </row>
    <row r="4" spans="1:19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87" t="s">
        <v>850</v>
      </c>
      <c r="K4" s="961" t="s">
        <v>939</v>
      </c>
      <c r="L4" s="967" t="s">
        <v>940</v>
      </c>
      <c r="M4" s="968"/>
      <c r="N4" s="969"/>
      <c r="O4" s="981" t="s">
        <v>857</v>
      </c>
    </row>
    <row r="5" spans="1:19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88"/>
      <c r="K5" s="962"/>
      <c r="L5" s="380" t="s">
        <v>530</v>
      </c>
      <c r="M5" s="247" t="s">
        <v>531</v>
      </c>
      <c r="N5" s="779" t="s">
        <v>320</v>
      </c>
      <c r="O5" s="982"/>
    </row>
    <row r="6" spans="1:19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336">
        <v>9</v>
      </c>
      <c r="K6" s="510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9" s="2" customFormat="1" ht="12.95" customHeight="1">
      <c r="A7" s="164"/>
      <c r="B7" s="6" t="s">
        <v>122</v>
      </c>
      <c r="C7" s="7" t="s">
        <v>79</v>
      </c>
      <c r="D7" s="7" t="s">
        <v>80</v>
      </c>
      <c r="E7" s="422" t="s">
        <v>713</v>
      </c>
      <c r="F7" s="5"/>
      <c r="G7" s="165"/>
      <c r="H7" s="5"/>
      <c r="I7" s="373"/>
      <c r="J7" s="373"/>
      <c r="K7" s="511"/>
      <c r="L7" s="4"/>
      <c r="M7" s="165"/>
      <c r="N7" s="826"/>
      <c r="O7" s="885"/>
    </row>
    <row r="8" spans="1:19" s="2" customFormat="1" ht="12.95" customHeight="1">
      <c r="A8" s="164"/>
      <c r="B8" s="6"/>
      <c r="C8" s="7"/>
      <c r="D8" s="7"/>
      <c r="E8" s="7"/>
      <c r="F8" s="181">
        <v>600000</v>
      </c>
      <c r="G8" s="200"/>
      <c r="H8" s="433" t="s">
        <v>111</v>
      </c>
      <c r="I8" s="401">
        <f t="shared" ref="I8:J8" si="0">I9</f>
        <v>15000</v>
      </c>
      <c r="J8" s="401">
        <f t="shared" si="0"/>
        <v>15000</v>
      </c>
      <c r="K8" s="822">
        <f>K9</f>
        <v>11300</v>
      </c>
      <c r="L8" s="506">
        <f>L9</f>
        <v>0</v>
      </c>
      <c r="M8" s="401">
        <f>M9</f>
        <v>0</v>
      </c>
      <c r="N8" s="782">
        <f>N9</f>
        <v>0</v>
      </c>
      <c r="O8" s="886">
        <f t="shared" ref="O8:O48" si="1">IF(J8=0,"",N8/J8*100)</f>
        <v>0</v>
      </c>
    </row>
    <row r="9" spans="1:19" s="2" customFormat="1" ht="12.95" customHeight="1">
      <c r="A9" s="164"/>
      <c r="B9" s="6"/>
      <c r="C9" s="7"/>
      <c r="D9" s="7"/>
      <c r="E9" s="7"/>
      <c r="F9" s="182">
        <v>600000</v>
      </c>
      <c r="G9" s="201"/>
      <c r="H9" s="434" t="s">
        <v>101</v>
      </c>
      <c r="I9" s="240">
        <v>15000</v>
      </c>
      <c r="J9" s="240">
        <v>15000</v>
      </c>
      <c r="K9" s="513">
        <v>11300</v>
      </c>
      <c r="L9" s="364"/>
      <c r="M9" s="240"/>
      <c r="N9" s="791">
        <f>SUM(L9:M9)</f>
        <v>0</v>
      </c>
      <c r="O9" s="887">
        <f t="shared" si="1"/>
        <v>0</v>
      </c>
    </row>
    <row r="10" spans="1:19" s="2" customFormat="1" ht="12.95" customHeight="1">
      <c r="A10" s="164"/>
      <c r="B10" s="6"/>
      <c r="C10" s="7"/>
      <c r="D10" s="7"/>
      <c r="E10" s="7"/>
      <c r="F10" s="181"/>
      <c r="G10" s="200"/>
      <c r="H10" s="373"/>
      <c r="I10" s="240"/>
      <c r="J10" s="240"/>
      <c r="K10" s="513"/>
      <c r="L10" s="364"/>
      <c r="M10" s="240"/>
      <c r="N10" s="791"/>
      <c r="O10" s="887" t="str">
        <f t="shared" si="1"/>
        <v/>
      </c>
    </row>
    <row r="11" spans="1:19" s="1" customFormat="1" ht="12.95" customHeight="1">
      <c r="A11" s="163"/>
      <c r="B11" s="12"/>
      <c r="C11" s="8"/>
      <c r="D11" s="8"/>
      <c r="E11" s="8"/>
      <c r="F11" s="181">
        <v>611000</v>
      </c>
      <c r="G11" s="200"/>
      <c r="H11" s="25" t="s">
        <v>140</v>
      </c>
      <c r="I11" s="241">
        <f t="shared" ref="I11:J11" si="2">SUM(I12:I14)</f>
        <v>474390</v>
      </c>
      <c r="J11" s="241">
        <f t="shared" si="2"/>
        <v>474390</v>
      </c>
      <c r="K11" s="514">
        <f>SUM(K12:K14)</f>
        <v>337756</v>
      </c>
      <c r="L11" s="490">
        <f>SUM(L12:L14)</f>
        <v>0</v>
      </c>
      <c r="M11" s="241">
        <f>SUM(M12:M14)</f>
        <v>0</v>
      </c>
      <c r="N11" s="827">
        <f>SUM(N12:N14)</f>
        <v>0</v>
      </c>
      <c r="O11" s="886">
        <f t="shared" si="1"/>
        <v>0</v>
      </c>
    </row>
    <row r="12" spans="1:19" ht="12.95" customHeight="1">
      <c r="B12" s="10"/>
      <c r="C12" s="11"/>
      <c r="D12" s="11"/>
      <c r="E12" s="168"/>
      <c r="F12" s="182">
        <v>611100</v>
      </c>
      <c r="G12" s="201"/>
      <c r="H12" s="435" t="s">
        <v>161</v>
      </c>
      <c r="I12" s="242">
        <v>403430</v>
      </c>
      <c r="J12" s="242">
        <v>403430</v>
      </c>
      <c r="K12" s="515">
        <v>289375</v>
      </c>
      <c r="L12" s="367"/>
      <c r="M12" s="242"/>
      <c r="N12" s="791">
        <f t="shared" ref="N12:N14" si="3">SUM(L12:M12)</f>
        <v>0</v>
      </c>
      <c r="O12" s="887">
        <f t="shared" si="1"/>
        <v>0</v>
      </c>
    </row>
    <row r="13" spans="1:19" ht="12.95" customHeight="1">
      <c r="B13" s="10"/>
      <c r="C13" s="11"/>
      <c r="D13" s="11"/>
      <c r="E13" s="168"/>
      <c r="F13" s="182">
        <v>611200</v>
      </c>
      <c r="G13" s="201"/>
      <c r="H13" s="24" t="s">
        <v>162</v>
      </c>
      <c r="I13" s="240">
        <v>70960</v>
      </c>
      <c r="J13" s="240">
        <v>70960</v>
      </c>
      <c r="K13" s="513">
        <v>48381</v>
      </c>
      <c r="L13" s="364"/>
      <c r="M13" s="240"/>
      <c r="N13" s="791">
        <f t="shared" si="3"/>
        <v>0</v>
      </c>
      <c r="O13" s="887">
        <f t="shared" si="1"/>
        <v>0</v>
      </c>
      <c r="S13" s="408"/>
    </row>
    <row r="14" spans="1:19" ht="12.95" customHeight="1">
      <c r="B14" s="10"/>
      <c r="C14" s="11"/>
      <c r="D14" s="11"/>
      <c r="E14" s="168"/>
      <c r="F14" s="182">
        <v>611200</v>
      </c>
      <c r="G14" s="201"/>
      <c r="H14" s="442" t="s">
        <v>435</v>
      </c>
      <c r="I14" s="240">
        <v>0</v>
      </c>
      <c r="J14" s="240">
        <v>0</v>
      </c>
      <c r="K14" s="513">
        <v>0</v>
      </c>
      <c r="L14" s="364"/>
      <c r="M14" s="240"/>
      <c r="N14" s="791">
        <f t="shared" si="3"/>
        <v>0</v>
      </c>
      <c r="O14" s="887" t="str">
        <f t="shared" si="1"/>
        <v/>
      </c>
    </row>
    <row r="15" spans="1:19" ht="12.95" customHeight="1">
      <c r="B15" s="10"/>
      <c r="C15" s="11"/>
      <c r="D15" s="11"/>
      <c r="E15" s="168"/>
      <c r="F15" s="182"/>
      <c r="G15" s="201"/>
      <c r="H15" s="435"/>
      <c r="I15" s="240"/>
      <c r="J15" s="240"/>
      <c r="K15" s="513"/>
      <c r="L15" s="364"/>
      <c r="M15" s="240"/>
      <c r="N15" s="828"/>
      <c r="O15" s="887" t="str">
        <f t="shared" si="1"/>
        <v/>
      </c>
    </row>
    <row r="16" spans="1:19" s="1" customFormat="1" ht="12.95" customHeight="1">
      <c r="A16" s="163"/>
      <c r="B16" s="12"/>
      <c r="C16" s="8"/>
      <c r="D16" s="8"/>
      <c r="E16" s="8"/>
      <c r="F16" s="181">
        <v>612000</v>
      </c>
      <c r="G16" s="200"/>
      <c r="H16" s="25" t="s">
        <v>139</v>
      </c>
      <c r="I16" s="241">
        <f>I17</f>
        <v>43330</v>
      </c>
      <c r="J16" s="241">
        <f>J17</f>
        <v>43330</v>
      </c>
      <c r="K16" s="514">
        <f>K17+K18</f>
        <v>31029</v>
      </c>
      <c r="L16" s="490">
        <f>L17+L18</f>
        <v>0</v>
      </c>
      <c r="M16" s="241">
        <f>M17+M18</f>
        <v>0</v>
      </c>
      <c r="N16" s="827">
        <f>N17+N18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612100</v>
      </c>
      <c r="G17" s="201"/>
      <c r="H17" s="437" t="s">
        <v>81</v>
      </c>
      <c r="I17" s="240">
        <v>43330</v>
      </c>
      <c r="J17" s="240">
        <v>43330</v>
      </c>
      <c r="K17" s="513">
        <v>31029</v>
      </c>
      <c r="L17" s="364"/>
      <c r="M17" s="240"/>
      <c r="N17" s="791">
        <f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/>
      <c r="G18" s="201"/>
      <c r="H18" s="24"/>
      <c r="I18" s="240"/>
      <c r="J18" s="240"/>
      <c r="K18" s="513"/>
      <c r="L18" s="365"/>
      <c r="M18" s="236"/>
      <c r="N18" s="791"/>
      <c r="O18" s="887" t="str">
        <f t="shared" si="1"/>
        <v/>
      </c>
    </row>
    <row r="19" spans="1:16" s="1" customFormat="1" ht="12.95" customHeight="1">
      <c r="A19" s="163"/>
      <c r="B19" s="12"/>
      <c r="C19" s="8"/>
      <c r="D19" s="8"/>
      <c r="E19" s="8"/>
      <c r="F19" s="181">
        <v>613000</v>
      </c>
      <c r="G19" s="200"/>
      <c r="H19" s="25" t="s">
        <v>141</v>
      </c>
      <c r="I19" s="241">
        <f t="shared" ref="I19:N19" si="4">SUM(I20:I30)</f>
        <v>300380</v>
      </c>
      <c r="J19" s="241">
        <f t="shared" si="4"/>
        <v>303380</v>
      </c>
      <c r="K19" s="514">
        <f t="shared" si="4"/>
        <v>109152</v>
      </c>
      <c r="L19" s="491">
        <f t="shared" si="4"/>
        <v>0</v>
      </c>
      <c r="M19" s="239">
        <f t="shared" si="4"/>
        <v>0</v>
      </c>
      <c r="N19" s="789">
        <f t="shared" si="4"/>
        <v>0</v>
      </c>
      <c r="O19" s="886">
        <f t="shared" si="1"/>
        <v>0</v>
      </c>
    </row>
    <row r="20" spans="1:16" ht="12.95" customHeight="1">
      <c r="B20" s="10"/>
      <c r="C20" s="11"/>
      <c r="D20" s="11"/>
      <c r="E20" s="168"/>
      <c r="F20" s="182">
        <v>613100</v>
      </c>
      <c r="G20" s="201"/>
      <c r="H20" s="24" t="s">
        <v>82</v>
      </c>
      <c r="I20" s="240">
        <v>7200</v>
      </c>
      <c r="J20" s="240">
        <v>7200</v>
      </c>
      <c r="K20" s="513">
        <v>4406</v>
      </c>
      <c r="L20" s="364"/>
      <c r="M20" s="236"/>
      <c r="N20" s="791">
        <f t="shared" ref="N20:N30" si="5">SUM(L20:M20)</f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613200</v>
      </c>
      <c r="G21" s="201"/>
      <c r="H21" s="24" t="s">
        <v>83</v>
      </c>
      <c r="I21" s="240">
        <v>0</v>
      </c>
      <c r="J21" s="240">
        <v>0</v>
      </c>
      <c r="K21" s="513">
        <v>0</v>
      </c>
      <c r="L21" s="365"/>
      <c r="M21" s="236"/>
      <c r="N21" s="791">
        <f t="shared" si="5"/>
        <v>0</v>
      </c>
      <c r="O21" s="887" t="str">
        <f t="shared" si="1"/>
        <v/>
      </c>
    </row>
    <row r="22" spans="1:16" ht="12.95" customHeight="1">
      <c r="B22" s="10"/>
      <c r="C22" s="11"/>
      <c r="D22" s="11"/>
      <c r="E22" s="168"/>
      <c r="F22" s="182">
        <v>613300</v>
      </c>
      <c r="G22" s="201"/>
      <c r="H22" s="435" t="s">
        <v>163</v>
      </c>
      <c r="I22" s="240">
        <v>9600</v>
      </c>
      <c r="J22" s="240">
        <v>9600</v>
      </c>
      <c r="K22" s="513">
        <v>6112</v>
      </c>
      <c r="L22" s="365"/>
      <c r="M22" s="236"/>
      <c r="N22" s="791">
        <f t="shared" si="5"/>
        <v>0</v>
      </c>
      <c r="O22" s="887">
        <f t="shared" si="1"/>
        <v>0</v>
      </c>
    </row>
    <row r="23" spans="1:16" ht="12.95" customHeight="1">
      <c r="B23" s="10"/>
      <c r="C23" s="11"/>
      <c r="D23" s="11"/>
      <c r="E23" s="168"/>
      <c r="F23" s="182">
        <v>613400</v>
      </c>
      <c r="G23" s="201"/>
      <c r="H23" s="24" t="s">
        <v>142</v>
      </c>
      <c r="I23" s="240">
        <v>2100</v>
      </c>
      <c r="J23" s="240">
        <v>3100</v>
      </c>
      <c r="K23" s="513">
        <v>1813</v>
      </c>
      <c r="L23" s="365"/>
      <c r="M23" s="236"/>
      <c r="N23" s="791">
        <f t="shared" si="5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613500</v>
      </c>
      <c r="G24" s="201"/>
      <c r="H24" s="24" t="s">
        <v>84</v>
      </c>
      <c r="I24" s="240">
        <v>0</v>
      </c>
      <c r="J24" s="240">
        <v>0</v>
      </c>
      <c r="K24" s="513">
        <v>0</v>
      </c>
      <c r="L24" s="364"/>
      <c r="M24" s="240"/>
      <c r="N24" s="791">
        <f t="shared" si="5"/>
        <v>0</v>
      </c>
      <c r="O24" s="887" t="str">
        <f t="shared" si="1"/>
        <v/>
      </c>
    </row>
    <row r="25" spans="1:16" ht="12.95" customHeight="1">
      <c r="B25" s="10"/>
      <c r="C25" s="11"/>
      <c r="D25" s="11"/>
      <c r="E25" s="168"/>
      <c r="F25" s="182">
        <v>613600</v>
      </c>
      <c r="G25" s="201"/>
      <c r="H25" s="435" t="s">
        <v>164</v>
      </c>
      <c r="I25" s="240">
        <v>0</v>
      </c>
      <c r="J25" s="240">
        <v>0</v>
      </c>
      <c r="K25" s="513">
        <v>0</v>
      </c>
      <c r="L25" s="364"/>
      <c r="M25" s="240"/>
      <c r="N25" s="791">
        <f t="shared" si="5"/>
        <v>0</v>
      </c>
      <c r="O25" s="887" t="str">
        <f t="shared" si="1"/>
        <v/>
      </c>
    </row>
    <row r="26" spans="1:16" ht="12.95" customHeight="1">
      <c r="B26" s="10"/>
      <c r="C26" s="11"/>
      <c r="D26" s="11"/>
      <c r="E26" s="168"/>
      <c r="F26" s="182">
        <v>613700</v>
      </c>
      <c r="G26" s="201"/>
      <c r="H26" s="24" t="s">
        <v>85</v>
      </c>
      <c r="I26" s="242">
        <v>1300</v>
      </c>
      <c r="J26" s="242">
        <v>2300</v>
      </c>
      <c r="K26" s="515">
        <v>1185</v>
      </c>
      <c r="L26" s="367"/>
      <c r="M26" s="242"/>
      <c r="N26" s="791">
        <f t="shared" si="5"/>
        <v>0</v>
      </c>
      <c r="O26" s="887">
        <f t="shared" si="1"/>
        <v>0</v>
      </c>
    </row>
    <row r="27" spans="1:16" ht="12.95" customHeight="1">
      <c r="B27" s="10"/>
      <c r="C27" s="11"/>
      <c r="D27" s="11"/>
      <c r="E27" s="168"/>
      <c r="F27" s="182">
        <v>613800</v>
      </c>
      <c r="G27" s="201"/>
      <c r="H27" s="24" t="s">
        <v>143</v>
      </c>
      <c r="I27" s="240">
        <v>25240</v>
      </c>
      <c r="J27" s="240">
        <v>23240</v>
      </c>
      <c r="K27" s="513">
        <v>9513</v>
      </c>
      <c r="L27" s="364"/>
      <c r="M27" s="240"/>
      <c r="N27" s="791">
        <f t="shared" si="5"/>
        <v>0</v>
      </c>
      <c r="O27" s="887">
        <f t="shared" si="1"/>
        <v>0</v>
      </c>
    </row>
    <row r="28" spans="1:16" ht="12.95" customHeight="1">
      <c r="B28" s="10"/>
      <c r="C28" s="11"/>
      <c r="D28" s="11"/>
      <c r="E28" s="168"/>
      <c r="F28" s="182">
        <v>613900</v>
      </c>
      <c r="G28" s="201"/>
      <c r="H28" s="24" t="s">
        <v>144</v>
      </c>
      <c r="I28" s="235">
        <v>20400</v>
      </c>
      <c r="J28" s="235">
        <v>35400</v>
      </c>
      <c r="K28" s="359">
        <v>21811</v>
      </c>
      <c r="L28" s="368"/>
      <c r="M28" s="235"/>
      <c r="N28" s="791">
        <f t="shared" si="5"/>
        <v>0</v>
      </c>
      <c r="O28" s="887">
        <f t="shared" si="1"/>
        <v>0</v>
      </c>
    </row>
    <row r="29" spans="1:16" ht="12.95" customHeight="1">
      <c r="B29" s="10"/>
      <c r="C29" s="11"/>
      <c r="D29" s="11"/>
      <c r="E29" s="418"/>
      <c r="F29" s="188">
        <v>613900</v>
      </c>
      <c r="G29" s="207" t="s">
        <v>508</v>
      </c>
      <c r="H29" s="435" t="s">
        <v>438</v>
      </c>
      <c r="I29" s="240">
        <v>234540</v>
      </c>
      <c r="J29" s="240">
        <v>222540</v>
      </c>
      <c r="K29" s="513">
        <v>64312</v>
      </c>
      <c r="L29" s="364"/>
      <c r="M29" s="240"/>
      <c r="N29" s="791">
        <f t="shared" si="5"/>
        <v>0</v>
      </c>
      <c r="O29" s="887">
        <f t="shared" si="1"/>
        <v>0</v>
      </c>
      <c r="P29" s="51"/>
    </row>
    <row r="30" spans="1:16" ht="12.95" customHeight="1">
      <c r="B30" s="10"/>
      <c r="C30" s="11"/>
      <c r="D30" s="11"/>
      <c r="E30" s="168"/>
      <c r="F30" s="182">
        <v>613900</v>
      </c>
      <c r="G30" s="201"/>
      <c r="H30" s="442" t="s">
        <v>436</v>
      </c>
      <c r="I30" s="240">
        <v>0</v>
      </c>
      <c r="J30" s="240">
        <v>0</v>
      </c>
      <c r="K30" s="513">
        <v>0</v>
      </c>
      <c r="L30" s="364"/>
      <c r="M30" s="240"/>
      <c r="N30" s="791">
        <f t="shared" si="5"/>
        <v>0</v>
      </c>
      <c r="O30" s="887" t="str">
        <f t="shared" si="1"/>
        <v/>
      </c>
    </row>
    <row r="31" spans="1:16" ht="12.95" customHeight="1">
      <c r="B31" s="10"/>
      <c r="C31" s="11"/>
      <c r="D31" s="11"/>
      <c r="E31" s="418"/>
      <c r="F31" s="188"/>
      <c r="G31" s="207"/>
      <c r="H31" s="24"/>
      <c r="I31" s="240"/>
      <c r="J31" s="240"/>
      <c r="K31" s="513"/>
      <c r="L31" s="364"/>
      <c r="M31" s="240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25"/>
      <c r="E32" s="25"/>
      <c r="F32" s="181">
        <v>614000</v>
      </c>
      <c r="G32" s="200"/>
      <c r="H32" s="25" t="s">
        <v>165</v>
      </c>
      <c r="I32" s="241">
        <f t="shared" ref="I32:J32" si="6">SUM(I33:I35)</f>
        <v>1490000</v>
      </c>
      <c r="J32" s="241">
        <f t="shared" si="6"/>
        <v>1490000</v>
      </c>
      <c r="K32" s="514">
        <f>SUM(K33:K35)</f>
        <v>1352366</v>
      </c>
      <c r="L32" s="490">
        <f>SUM(L33:L35)</f>
        <v>0</v>
      </c>
      <c r="M32" s="241">
        <f>SUM(M33:M35)</f>
        <v>0</v>
      </c>
      <c r="N32" s="789">
        <f>SUM(N33:N35)</f>
        <v>0</v>
      </c>
      <c r="O32" s="886">
        <f t="shared" si="1"/>
        <v>0</v>
      </c>
    </row>
    <row r="33" spans="1:17" ht="12.95" customHeight="1">
      <c r="B33" s="10"/>
      <c r="C33" s="11"/>
      <c r="D33" s="24"/>
      <c r="E33" s="24"/>
      <c r="F33" s="182">
        <v>614100</v>
      </c>
      <c r="G33" s="198" t="s">
        <v>509</v>
      </c>
      <c r="H33" s="552" t="s">
        <v>811</v>
      </c>
      <c r="I33" s="240">
        <v>1300000</v>
      </c>
      <c r="J33" s="240">
        <v>1300000</v>
      </c>
      <c r="K33" s="513">
        <v>1300000</v>
      </c>
      <c r="L33" s="364"/>
      <c r="M33" s="240"/>
      <c r="N33" s="791">
        <f t="shared" ref="N33:N35" si="7">SUM(L33:M33)</f>
        <v>0</v>
      </c>
      <c r="O33" s="887">
        <f t="shared" si="1"/>
        <v>0</v>
      </c>
      <c r="P33" s="58"/>
      <c r="Q33" s="45"/>
    </row>
    <row r="34" spans="1:17" ht="12.95" customHeight="1">
      <c r="B34" s="10"/>
      <c r="C34" s="11"/>
      <c r="D34" s="24"/>
      <c r="E34" s="24"/>
      <c r="F34" s="222">
        <v>614800</v>
      </c>
      <c r="G34" s="209" t="s">
        <v>510</v>
      </c>
      <c r="H34" s="552" t="s">
        <v>103</v>
      </c>
      <c r="I34" s="240">
        <v>170000</v>
      </c>
      <c r="J34" s="240">
        <v>170000</v>
      </c>
      <c r="K34" s="513">
        <v>50403</v>
      </c>
      <c r="L34" s="364"/>
      <c r="M34" s="240"/>
      <c r="N34" s="791">
        <f t="shared" si="7"/>
        <v>0</v>
      </c>
      <c r="O34" s="887">
        <f t="shared" si="1"/>
        <v>0</v>
      </c>
      <c r="P34" s="45"/>
    </row>
    <row r="35" spans="1:17" ht="24.75" customHeight="1">
      <c r="B35" s="10"/>
      <c r="C35" s="11"/>
      <c r="D35" s="24"/>
      <c r="E35" s="24"/>
      <c r="F35" s="222">
        <v>614800</v>
      </c>
      <c r="G35" s="209" t="s">
        <v>511</v>
      </c>
      <c r="H35" s="460" t="s">
        <v>470</v>
      </c>
      <c r="I35" s="240">
        <v>20000</v>
      </c>
      <c r="J35" s="240">
        <v>20000</v>
      </c>
      <c r="K35" s="513">
        <v>1963</v>
      </c>
      <c r="L35" s="364"/>
      <c r="M35" s="240"/>
      <c r="N35" s="791">
        <f t="shared" si="7"/>
        <v>0</v>
      </c>
      <c r="O35" s="887">
        <f t="shared" si="1"/>
        <v>0</v>
      </c>
      <c r="P35" s="45"/>
    </row>
    <row r="36" spans="1:17" ht="12.95" customHeight="1">
      <c r="B36" s="10"/>
      <c r="C36" s="11"/>
      <c r="D36" s="24"/>
      <c r="E36" s="419"/>
      <c r="F36" s="223"/>
      <c r="G36" s="210"/>
      <c r="H36" s="38"/>
      <c r="I36" s="358"/>
      <c r="J36" s="358"/>
      <c r="K36" s="359"/>
      <c r="L36" s="364"/>
      <c r="M36" s="240"/>
      <c r="N36" s="791"/>
      <c r="O36" s="887" t="str">
        <f t="shared" si="1"/>
        <v/>
      </c>
    </row>
    <row r="37" spans="1:17" ht="12.95" customHeight="1">
      <c r="B37" s="10"/>
      <c r="C37" s="11"/>
      <c r="D37" s="11"/>
      <c r="E37" s="420"/>
      <c r="F37" s="191">
        <v>616000</v>
      </c>
      <c r="G37" s="211"/>
      <c r="H37" s="26" t="s">
        <v>168</v>
      </c>
      <c r="I37" s="357">
        <f t="shared" ref="I37" si="8">SUM(I38:I39)</f>
        <v>30430</v>
      </c>
      <c r="J37" s="357">
        <f t="shared" ref="J37" si="9">SUM(J38:J39)</f>
        <v>30430</v>
      </c>
      <c r="K37" s="360">
        <f>SUM(K38:K39)</f>
        <v>26318</v>
      </c>
      <c r="L37" s="370">
        <f>SUM(L38:L39)</f>
        <v>0</v>
      </c>
      <c r="M37" s="232">
        <f>SUM(M38:M39)</f>
        <v>0</v>
      </c>
      <c r="N37" s="789">
        <f>SUM(N38:N39)</f>
        <v>0</v>
      </c>
      <c r="O37" s="886">
        <f t="shared" si="1"/>
        <v>0</v>
      </c>
    </row>
    <row r="38" spans="1:17" ht="12.95" customHeight="1">
      <c r="B38" s="10"/>
      <c r="C38" s="11"/>
      <c r="D38" s="11"/>
      <c r="E38" s="361"/>
      <c r="F38" s="189">
        <v>616200</v>
      </c>
      <c r="G38" s="198" t="s">
        <v>512</v>
      </c>
      <c r="H38" s="40" t="s">
        <v>740</v>
      </c>
      <c r="I38" s="358">
        <v>17900</v>
      </c>
      <c r="J38" s="358">
        <v>17900</v>
      </c>
      <c r="K38" s="359">
        <v>16384</v>
      </c>
      <c r="L38" s="364"/>
      <c r="M38" s="240"/>
      <c r="N38" s="791">
        <f t="shared" ref="N38:N39" si="10">SUM(L38:M38)</f>
        <v>0</v>
      </c>
      <c r="O38" s="887">
        <f t="shared" si="1"/>
        <v>0</v>
      </c>
    </row>
    <row r="39" spans="1:17" ht="12.95" customHeight="1">
      <c r="B39" s="10"/>
      <c r="C39" s="11"/>
      <c r="D39" s="11"/>
      <c r="E39" s="361"/>
      <c r="F39" s="189">
        <v>616200</v>
      </c>
      <c r="G39" s="198" t="s">
        <v>513</v>
      </c>
      <c r="H39" s="40" t="s">
        <v>741</v>
      </c>
      <c r="I39" s="358">
        <v>12530</v>
      </c>
      <c r="J39" s="358">
        <v>12530</v>
      </c>
      <c r="K39" s="359">
        <v>9934</v>
      </c>
      <c r="L39" s="364"/>
      <c r="M39" s="240"/>
      <c r="N39" s="791">
        <f t="shared" si="10"/>
        <v>0</v>
      </c>
      <c r="O39" s="887">
        <f t="shared" si="1"/>
        <v>0</v>
      </c>
    </row>
    <row r="40" spans="1:17" ht="12.95" customHeight="1">
      <c r="B40" s="10"/>
      <c r="C40" s="11"/>
      <c r="D40" s="11"/>
      <c r="E40" s="168"/>
      <c r="F40" s="182"/>
      <c r="G40" s="201"/>
      <c r="H40" s="11"/>
      <c r="I40" s="357"/>
      <c r="J40" s="357"/>
      <c r="K40" s="360"/>
      <c r="L40" s="490"/>
      <c r="M40" s="241"/>
      <c r="N40" s="789"/>
      <c r="O40" s="887" t="str">
        <f t="shared" si="1"/>
        <v/>
      </c>
    </row>
    <row r="41" spans="1:17" ht="12.95" customHeight="1">
      <c r="B41" s="12"/>
      <c r="C41" s="8"/>
      <c r="D41" s="8"/>
      <c r="E41" s="8"/>
      <c r="F41" s="181">
        <v>821000</v>
      </c>
      <c r="G41" s="200"/>
      <c r="H41" s="8" t="s">
        <v>88</v>
      </c>
      <c r="I41" s="357">
        <f t="shared" ref="I41" si="11">SUM(I42:I43)</f>
        <v>20000</v>
      </c>
      <c r="J41" s="357">
        <f t="shared" ref="J41" si="12">SUM(J42:J43)</f>
        <v>20000</v>
      </c>
      <c r="K41" s="360">
        <f>SUM(K42:K43)</f>
        <v>14322</v>
      </c>
      <c r="L41" s="490">
        <f>SUM(L42:L43)</f>
        <v>0</v>
      </c>
      <c r="M41" s="241">
        <f>SUM(M42:M43)</f>
        <v>0</v>
      </c>
      <c r="N41" s="789">
        <f>SUM(N42:N43)</f>
        <v>0</v>
      </c>
      <c r="O41" s="886">
        <f t="shared" si="1"/>
        <v>0</v>
      </c>
    </row>
    <row r="42" spans="1:17" ht="12.95" customHeight="1">
      <c r="B42" s="10"/>
      <c r="C42" s="11"/>
      <c r="D42" s="11"/>
      <c r="E42" s="168"/>
      <c r="F42" s="182">
        <v>821200</v>
      </c>
      <c r="G42" s="201"/>
      <c r="H42" s="11" t="s">
        <v>89</v>
      </c>
      <c r="I42" s="358">
        <v>0</v>
      </c>
      <c r="J42" s="358">
        <v>0</v>
      </c>
      <c r="K42" s="359">
        <v>0</v>
      </c>
      <c r="L42" s="367"/>
      <c r="M42" s="242"/>
      <c r="N42" s="791">
        <f t="shared" ref="N42:N43" si="13">SUM(L42:M42)</f>
        <v>0</v>
      </c>
      <c r="O42" s="887" t="str">
        <f t="shared" si="1"/>
        <v/>
      </c>
    </row>
    <row r="43" spans="1:17" s="1" customFormat="1" ht="12.95" customHeight="1">
      <c r="A43" s="163"/>
      <c r="B43" s="10"/>
      <c r="C43" s="11"/>
      <c r="D43" s="11"/>
      <c r="E43" s="168"/>
      <c r="F43" s="182">
        <v>821300</v>
      </c>
      <c r="G43" s="201"/>
      <c r="H43" s="11" t="s">
        <v>90</v>
      </c>
      <c r="I43" s="358">
        <v>20000</v>
      </c>
      <c r="J43" s="358">
        <v>20000</v>
      </c>
      <c r="K43" s="359">
        <v>14322</v>
      </c>
      <c r="L43" s="367"/>
      <c r="M43" s="242"/>
      <c r="N43" s="791">
        <f t="shared" si="13"/>
        <v>0</v>
      </c>
      <c r="O43" s="887">
        <f t="shared" si="1"/>
        <v>0</v>
      </c>
    </row>
    <row r="44" spans="1:17" ht="12.95" customHeight="1">
      <c r="B44" s="10"/>
      <c r="C44" s="11"/>
      <c r="D44" s="11"/>
      <c r="E44" s="168"/>
      <c r="F44" s="182"/>
      <c r="G44" s="201"/>
      <c r="H44" s="11"/>
      <c r="I44" s="358"/>
      <c r="J44" s="358"/>
      <c r="K44" s="359"/>
      <c r="L44" s="364"/>
      <c r="M44" s="240"/>
      <c r="N44" s="791"/>
      <c r="O44" s="887" t="str">
        <f t="shared" si="1"/>
        <v/>
      </c>
    </row>
    <row r="45" spans="1:17" ht="12.95" customHeight="1">
      <c r="B45" s="12"/>
      <c r="C45" s="8"/>
      <c r="D45" s="8"/>
      <c r="E45" s="8"/>
      <c r="F45" s="181">
        <v>823000</v>
      </c>
      <c r="G45" s="200"/>
      <c r="H45" s="8" t="s">
        <v>172</v>
      </c>
      <c r="I45" s="357">
        <f t="shared" ref="I45" si="14">SUM(I46:I47)</f>
        <v>518890</v>
      </c>
      <c r="J45" s="357">
        <f t="shared" ref="J45" si="15">SUM(J46:J47)</f>
        <v>518890</v>
      </c>
      <c r="K45" s="360">
        <f>SUM(K46:K47)</f>
        <v>515908</v>
      </c>
      <c r="L45" s="490">
        <f>SUM(L46:L47)</f>
        <v>0</v>
      </c>
      <c r="M45" s="241">
        <f>SUM(M46:M47)</f>
        <v>0</v>
      </c>
      <c r="N45" s="789">
        <f>SUM(N46:N47)</f>
        <v>0</v>
      </c>
      <c r="O45" s="886">
        <f t="shared" si="1"/>
        <v>0</v>
      </c>
    </row>
    <row r="46" spans="1:17" ht="12.95" customHeight="1">
      <c r="B46" s="10"/>
      <c r="C46" s="11"/>
      <c r="D46" s="11"/>
      <c r="E46" s="168"/>
      <c r="F46" s="182">
        <v>823200</v>
      </c>
      <c r="G46" s="201" t="s">
        <v>512</v>
      </c>
      <c r="H46" s="461" t="s">
        <v>742</v>
      </c>
      <c r="I46" s="358">
        <v>88600</v>
      </c>
      <c r="J46" s="358">
        <v>88600</v>
      </c>
      <c r="K46" s="359">
        <v>85625</v>
      </c>
      <c r="L46" s="367"/>
      <c r="M46" s="242"/>
      <c r="N46" s="791">
        <f t="shared" ref="N46:N47" si="16">SUM(L46:M46)</f>
        <v>0</v>
      </c>
      <c r="O46" s="887">
        <f t="shared" si="1"/>
        <v>0</v>
      </c>
    </row>
    <row r="47" spans="1:17" ht="12.95" customHeight="1">
      <c r="B47" s="10"/>
      <c r="C47" s="11"/>
      <c r="D47" s="11"/>
      <c r="E47" s="168"/>
      <c r="F47" s="182">
        <v>823200</v>
      </c>
      <c r="G47" s="201" t="s">
        <v>513</v>
      </c>
      <c r="H47" s="461" t="s">
        <v>743</v>
      </c>
      <c r="I47" s="358">
        <v>430290</v>
      </c>
      <c r="J47" s="358">
        <v>430290</v>
      </c>
      <c r="K47" s="359">
        <v>430283</v>
      </c>
      <c r="L47" s="367"/>
      <c r="M47" s="242"/>
      <c r="N47" s="791">
        <f t="shared" si="16"/>
        <v>0</v>
      </c>
      <c r="O47" s="887">
        <f t="shared" si="1"/>
        <v>0</v>
      </c>
    </row>
    <row r="48" spans="1:17" ht="12.95" customHeight="1">
      <c r="B48" s="10"/>
      <c r="C48" s="11"/>
      <c r="D48" s="11"/>
      <c r="E48" s="168"/>
      <c r="F48" s="182"/>
      <c r="G48" s="201"/>
      <c r="H48" s="11"/>
      <c r="I48" s="371"/>
      <c r="J48" s="371"/>
      <c r="K48" s="823"/>
      <c r="L48" s="455"/>
      <c r="M48" s="402"/>
      <c r="N48" s="835"/>
      <c r="O48" s="887" t="str">
        <f t="shared" si="1"/>
        <v/>
      </c>
    </row>
    <row r="49" spans="1:15" ht="12.95" customHeight="1">
      <c r="B49" s="12"/>
      <c r="C49" s="8"/>
      <c r="D49" s="8"/>
      <c r="E49" s="8"/>
      <c r="F49" s="181"/>
      <c r="G49" s="200"/>
      <c r="H49" s="8" t="s">
        <v>91</v>
      </c>
      <c r="I49" s="481">
        <v>17</v>
      </c>
      <c r="J49" s="481">
        <v>17</v>
      </c>
      <c r="K49" s="824">
        <v>16</v>
      </c>
      <c r="L49" s="894"/>
      <c r="M49" s="507"/>
      <c r="N49" s="851"/>
      <c r="O49" s="887"/>
    </row>
    <row r="50" spans="1:15" ht="12.95" customHeight="1">
      <c r="B50" s="12"/>
      <c r="C50" s="8"/>
      <c r="D50" s="8"/>
      <c r="E50" s="8"/>
      <c r="F50" s="181"/>
      <c r="G50" s="200"/>
      <c r="H50" s="8" t="s">
        <v>105</v>
      </c>
      <c r="I50" s="374">
        <f t="shared" ref="I50:N50" si="17">I8+I11+I16+I19+I32+I37+I41+I45</f>
        <v>2892420</v>
      </c>
      <c r="J50" s="374">
        <f t="shared" ref="J50:K50" si="18">J8+J11+J16+J19+J32+J37+J41+J45</f>
        <v>2895420</v>
      </c>
      <c r="K50" s="363">
        <f t="shared" si="18"/>
        <v>2398151</v>
      </c>
      <c r="L50" s="377">
        <f t="shared" si="17"/>
        <v>0</v>
      </c>
      <c r="M50" s="170">
        <f t="shared" si="17"/>
        <v>0</v>
      </c>
      <c r="N50" s="789">
        <f t="shared" si="17"/>
        <v>0</v>
      </c>
      <c r="O50" s="886">
        <f t="shared" ref="O50:O52" si="19">IF(J50=0,"",N50/J50*100)</f>
        <v>0</v>
      </c>
    </row>
    <row r="51" spans="1:15" s="1" customFormat="1" ht="12.95" customHeight="1">
      <c r="A51" s="163"/>
      <c r="B51" s="12"/>
      <c r="C51" s="8"/>
      <c r="D51" s="8"/>
      <c r="E51" s="8"/>
      <c r="F51" s="181"/>
      <c r="G51" s="200"/>
      <c r="H51" s="8" t="s">
        <v>92</v>
      </c>
      <c r="I51" s="374">
        <f t="shared" ref="I51:K52" si="20">I50</f>
        <v>2892420</v>
      </c>
      <c r="J51" s="374">
        <f t="shared" si="20"/>
        <v>2895420</v>
      </c>
      <c r="K51" s="363">
        <f t="shared" si="20"/>
        <v>2398151</v>
      </c>
      <c r="L51" s="377">
        <f t="shared" ref="L51:N52" si="21">L50</f>
        <v>0</v>
      </c>
      <c r="M51" s="170">
        <f t="shared" si="21"/>
        <v>0</v>
      </c>
      <c r="N51" s="789">
        <f t="shared" si="21"/>
        <v>0</v>
      </c>
      <c r="O51" s="886">
        <f t="shared" si="19"/>
        <v>0</v>
      </c>
    </row>
    <row r="52" spans="1:15" s="1" customFormat="1" ht="12.95" customHeight="1">
      <c r="A52" s="163"/>
      <c r="B52" s="12"/>
      <c r="C52" s="8"/>
      <c r="D52" s="8"/>
      <c r="E52" s="8"/>
      <c r="F52" s="181"/>
      <c r="G52" s="200"/>
      <c r="H52" s="8" t="s">
        <v>93</v>
      </c>
      <c r="I52" s="374">
        <f t="shared" si="20"/>
        <v>2892420</v>
      </c>
      <c r="J52" s="374">
        <f t="shared" si="20"/>
        <v>2895420</v>
      </c>
      <c r="K52" s="363">
        <f t="shared" si="20"/>
        <v>2398151</v>
      </c>
      <c r="L52" s="377">
        <f t="shared" si="21"/>
        <v>0</v>
      </c>
      <c r="M52" s="170">
        <f t="shared" si="21"/>
        <v>0</v>
      </c>
      <c r="N52" s="789">
        <f t="shared" si="21"/>
        <v>0</v>
      </c>
      <c r="O52" s="886">
        <f t="shared" si="19"/>
        <v>0</v>
      </c>
    </row>
    <row r="53" spans="1:15" s="1" customFormat="1" ht="12.95" customHeight="1" thickBot="1">
      <c r="A53" s="163"/>
      <c r="B53" s="16"/>
      <c r="C53" s="17"/>
      <c r="D53" s="17"/>
      <c r="E53" s="17"/>
      <c r="F53" s="183"/>
      <c r="G53" s="202"/>
      <c r="H53" s="17"/>
      <c r="I53" s="17"/>
      <c r="J53" s="27"/>
      <c r="K53" s="519"/>
      <c r="L53" s="16"/>
      <c r="M53" s="17"/>
      <c r="N53" s="815"/>
      <c r="O53" s="888"/>
    </row>
    <row r="54" spans="1:15" s="1" customFormat="1" ht="12.95" customHeight="1">
      <c r="A54" s="163"/>
      <c r="B54" s="9"/>
      <c r="C54" s="9"/>
      <c r="D54" s="9"/>
      <c r="E54" s="166"/>
      <c r="F54" s="184"/>
      <c r="G54" s="203"/>
      <c r="H54" s="9"/>
      <c r="I54" s="9"/>
      <c r="J54" s="9"/>
      <c r="K54" s="166"/>
      <c r="L54" s="166"/>
      <c r="M54" s="166"/>
      <c r="N54" s="258"/>
      <c r="O54" s="219"/>
    </row>
    <row r="55" spans="1:15" ht="12.95" customHeight="1">
      <c r="F55" s="184"/>
      <c r="G55" s="203"/>
      <c r="L55" s="51"/>
      <c r="N55" s="258"/>
    </row>
    <row r="56" spans="1:15" ht="12.95" customHeight="1">
      <c r="F56" s="184"/>
      <c r="G56" s="203"/>
      <c r="N56" s="258"/>
    </row>
    <row r="57" spans="1:15" ht="12.95" customHeight="1">
      <c r="F57" s="184"/>
      <c r="G57" s="203"/>
      <c r="N57" s="258"/>
    </row>
    <row r="58" spans="1:15" ht="12.95" customHeight="1">
      <c r="F58" s="184"/>
      <c r="G58" s="203"/>
      <c r="N58" s="258"/>
    </row>
    <row r="59" spans="1:15" ht="12.95" customHeight="1">
      <c r="F59" s="184"/>
      <c r="G59" s="203"/>
      <c r="N59" s="258"/>
    </row>
    <row r="60" spans="1:15" ht="17.100000000000001" customHeight="1">
      <c r="F60" s="184"/>
      <c r="G60" s="203"/>
      <c r="N60" s="258"/>
    </row>
    <row r="61" spans="1:15" ht="14.25">
      <c r="F61" s="184"/>
      <c r="G61" s="203"/>
      <c r="N61" s="258"/>
    </row>
    <row r="62" spans="1:15" ht="14.25">
      <c r="F62" s="184"/>
      <c r="G62" s="203"/>
      <c r="N62" s="258"/>
    </row>
    <row r="63" spans="1:15" ht="14.25">
      <c r="F63" s="184"/>
      <c r="G63" s="203"/>
      <c r="N63" s="258"/>
    </row>
    <row r="64" spans="1:15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7" right="0.25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0"/>
  <dimension ref="A1:Q96"/>
  <sheetViews>
    <sheetView zoomScaleNormal="100" zoomScaleSheetLayoutView="130" workbookViewId="0">
      <selection activeCell="L11" sqref="L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644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123</v>
      </c>
      <c r="C7" s="7" t="s">
        <v>79</v>
      </c>
      <c r="D7" s="7" t="s">
        <v>80</v>
      </c>
      <c r="E7" s="422" t="s">
        <v>714</v>
      </c>
      <c r="F7" s="5"/>
      <c r="G7" s="165"/>
      <c r="H7" s="5"/>
      <c r="I7" s="5"/>
      <c r="J7" s="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322270</v>
      </c>
      <c r="J8" s="241">
        <f t="shared" si="0"/>
        <v>322270</v>
      </c>
      <c r="K8" s="231">
        <f>SUM(K9:K12)</f>
        <v>233654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7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279750</v>
      </c>
      <c r="J9" s="240">
        <v>279750</v>
      </c>
      <c r="K9" s="230">
        <v>204960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v>42520</v>
      </c>
      <c r="J10" s="240">
        <v>42520</v>
      </c>
      <c r="K10" s="230">
        <v>28694</v>
      </c>
      <c r="L10" s="364"/>
      <c r="M10" s="240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0"/>
      <c r="J12" s="240"/>
      <c r="K12" s="230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29650</v>
      </c>
      <c r="J13" s="241">
        <f t="shared" si="3"/>
        <v>29650</v>
      </c>
      <c r="K13" s="231">
        <f>K14</f>
        <v>21521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v>29650</v>
      </c>
      <c r="J14" s="240">
        <v>29650</v>
      </c>
      <c r="K14" s="230">
        <v>21521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6"/>
      <c r="J15" s="236"/>
      <c r="K15" s="225"/>
      <c r="L15" s="365"/>
      <c r="M15" s="236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SUM(I17:I26)</f>
        <v>89500</v>
      </c>
      <c r="J16" s="239">
        <f t="shared" si="4"/>
        <v>89500</v>
      </c>
      <c r="K16" s="226">
        <f>SUM(K17:K26)</f>
        <v>67988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  <c r="Q16" s="52"/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2000</v>
      </c>
      <c r="J17" s="240">
        <v>2000</v>
      </c>
      <c r="K17" s="230">
        <v>1211</v>
      </c>
      <c r="L17" s="365"/>
      <c r="M17" s="236"/>
      <c r="N17" s="828">
        <f t="shared" ref="N17:N26" si="5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0</v>
      </c>
      <c r="J18" s="240">
        <v>0</v>
      </c>
      <c r="K18" s="230">
        <v>0</v>
      </c>
      <c r="L18" s="365"/>
      <c r="M18" s="236"/>
      <c r="N18" s="828">
        <f t="shared" si="5"/>
        <v>0</v>
      </c>
      <c r="O18" s="887" t="str">
        <f t="shared" si="1"/>
        <v/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16500</v>
      </c>
      <c r="J19" s="240">
        <v>16500</v>
      </c>
      <c r="K19" s="230">
        <v>10513</v>
      </c>
      <c r="L19" s="365"/>
      <c r="M19" s="236"/>
      <c r="N19" s="828">
        <f t="shared" si="5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1000</v>
      </c>
      <c r="J20" s="240">
        <v>1000</v>
      </c>
      <c r="K20" s="230">
        <v>573</v>
      </c>
      <c r="L20" s="364"/>
      <c r="M20" s="240"/>
      <c r="N20" s="828">
        <f t="shared" si="5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0</v>
      </c>
      <c r="J21" s="240">
        <v>0</v>
      </c>
      <c r="K21" s="230">
        <v>0</v>
      </c>
      <c r="L21" s="364"/>
      <c r="M21" s="240"/>
      <c r="N21" s="828">
        <f t="shared" si="5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0</v>
      </c>
      <c r="J22" s="240">
        <v>0</v>
      </c>
      <c r="K22" s="230">
        <v>0</v>
      </c>
      <c r="L22" s="364"/>
      <c r="M22" s="240"/>
      <c r="N22" s="828">
        <f t="shared" si="5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1000</v>
      </c>
      <c r="J23" s="240">
        <v>1000</v>
      </c>
      <c r="K23" s="230">
        <v>264</v>
      </c>
      <c r="L23" s="364"/>
      <c r="M23" s="240"/>
      <c r="N23" s="828">
        <f t="shared" si="5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0</v>
      </c>
      <c r="J24" s="240">
        <v>0</v>
      </c>
      <c r="K24" s="230">
        <v>0</v>
      </c>
      <c r="L24" s="364"/>
      <c r="M24" s="240"/>
      <c r="N24" s="828">
        <f t="shared" si="5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69000</v>
      </c>
      <c r="J25" s="242">
        <v>69000</v>
      </c>
      <c r="K25" s="229">
        <v>55427</v>
      </c>
      <c r="L25" s="367"/>
      <c r="M25" s="242"/>
      <c r="N25" s="828">
        <f t="shared" si="5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0">
        <v>0</v>
      </c>
      <c r="J26" s="240">
        <v>0</v>
      </c>
      <c r="K26" s="230">
        <v>0</v>
      </c>
      <c r="L26" s="364"/>
      <c r="M26" s="240"/>
      <c r="N26" s="828">
        <f t="shared" si="5"/>
        <v>0</v>
      </c>
      <c r="O26" s="887" t="str">
        <f t="shared" si="1"/>
        <v/>
      </c>
    </row>
    <row r="27" spans="1:15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614000</v>
      </c>
      <c r="G28" s="200"/>
      <c r="H28" s="25" t="s">
        <v>165</v>
      </c>
      <c r="I28" s="241">
        <f>SUM(I29:I32)</f>
        <v>5435000</v>
      </c>
      <c r="J28" s="241">
        <f>SUM(J29:J32)</f>
        <v>5435000</v>
      </c>
      <c r="K28" s="231">
        <f t="shared" ref="K28" si="6">SUM(K29:K32)</f>
        <v>3332302</v>
      </c>
      <c r="L28" s="490">
        <f t="shared" ref="L28:M28" si="7">SUM(L29:L32)</f>
        <v>0</v>
      </c>
      <c r="M28" s="241">
        <f t="shared" si="7"/>
        <v>0</v>
      </c>
      <c r="N28" s="789">
        <f t="shared" ref="N28" si="8">SUM(N29:N32)</f>
        <v>0</v>
      </c>
      <c r="O28" s="886">
        <f t="shared" si="1"/>
        <v>0</v>
      </c>
    </row>
    <row r="29" spans="1:15" ht="12.95" customHeight="1">
      <c r="B29" s="10"/>
      <c r="C29" s="11"/>
      <c r="D29" s="24"/>
      <c r="E29" s="24"/>
      <c r="F29" s="182">
        <v>614100</v>
      </c>
      <c r="G29" s="201"/>
      <c r="H29" s="551" t="s">
        <v>817</v>
      </c>
      <c r="I29" s="242">
        <v>1500000</v>
      </c>
      <c r="J29" s="242">
        <v>1500000</v>
      </c>
      <c r="K29" s="229">
        <v>915000</v>
      </c>
      <c r="L29" s="367"/>
      <c r="M29" s="242"/>
      <c r="N29" s="828">
        <f t="shared" ref="N29:N31" si="9">SUM(L29:M29)</f>
        <v>0</v>
      </c>
      <c r="O29" s="887">
        <f t="shared" si="1"/>
        <v>0</v>
      </c>
    </row>
    <row r="30" spans="1:15" s="166" customFormat="1" ht="12.95" customHeight="1">
      <c r="B30" s="167"/>
      <c r="C30" s="168"/>
      <c r="D30" s="168"/>
      <c r="E30" s="168"/>
      <c r="F30" s="182">
        <v>614200</v>
      </c>
      <c r="G30" s="204" t="s">
        <v>605</v>
      </c>
      <c r="H30" s="445" t="s">
        <v>813</v>
      </c>
      <c r="I30" s="242">
        <v>65000</v>
      </c>
      <c r="J30" s="242">
        <v>65000</v>
      </c>
      <c r="K30" s="229">
        <v>56300</v>
      </c>
      <c r="L30" s="367"/>
      <c r="M30" s="242"/>
      <c r="N30" s="828">
        <f t="shared" si="9"/>
        <v>0</v>
      </c>
      <c r="O30" s="887">
        <f t="shared" si="1"/>
        <v>0</v>
      </c>
    </row>
    <row r="31" spans="1:15" s="166" customFormat="1" ht="12.95" customHeight="1">
      <c r="B31" s="167"/>
      <c r="C31" s="168"/>
      <c r="D31" s="168"/>
      <c r="E31" s="168"/>
      <c r="F31" s="182">
        <v>614200</v>
      </c>
      <c r="G31" s="204" t="s">
        <v>606</v>
      </c>
      <c r="H31" s="445" t="s">
        <v>814</v>
      </c>
      <c r="I31" s="242">
        <v>3770000</v>
      </c>
      <c r="J31" s="242">
        <v>3770000</v>
      </c>
      <c r="K31" s="229">
        <v>2282502</v>
      </c>
      <c r="L31" s="367"/>
      <c r="M31" s="242"/>
      <c r="N31" s="828">
        <f t="shared" si="9"/>
        <v>0</v>
      </c>
      <c r="O31" s="887">
        <f t="shared" si="1"/>
        <v>0</v>
      </c>
    </row>
    <row r="32" spans="1:15" s="166" customFormat="1" ht="12.95" customHeight="1">
      <c r="B32" s="167"/>
      <c r="C32" s="168"/>
      <c r="D32" s="168"/>
      <c r="E32" s="168"/>
      <c r="F32" s="182">
        <v>614300</v>
      </c>
      <c r="G32" s="204" t="s">
        <v>774</v>
      </c>
      <c r="H32" s="445" t="s">
        <v>770</v>
      </c>
      <c r="I32" s="242">
        <v>100000</v>
      </c>
      <c r="J32" s="242">
        <v>100000</v>
      </c>
      <c r="K32" s="229">
        <v>78500</v>
      </c>
      <c r="L32" s="367"/>
      <c r="M32" s="242"/>
      <c r="N32" s="828">
        <f t="shared" ref="N32" si="10">SUM(L32:M32)</f>
        <v>0</v>
      </c>
      <c r="O32" s="887">
        <f t="shared" si="1"/>
        <v>0</v>
      </c>
    </row>
    <row r="33" spans="1:16" ht="12.95" customHeight="1">
      <c r="B33" s="10"/>
      <c r="C33" s="11"/>
      <c r="D33" s="11"/>
      <c r="E33" s="168"/>
      <c r="F33" s="182"/>
      <c r="G33" s="201"/>
      <c r="H33" s="24"/>
      <c r="I33" s="240"/>
      <c r="J33" s="240"/>
      <c r="K33" s="230"/>
      <c r="L33" s="364"/>
      <c r="M33" s="240"/>
      <c r="N33" s="791"/>
      <c r="O33" s="887" t="str">
        <f t="shared" si="1"/>
        <v/>
      </c>
    </row>
    <row r="34" spans="1:16" ht="12.95" customHeight="1">
      <c r="B34" s="12"/>
      <c r="C34" s="8"/>
      <c r="D34" s="8"/>
      <c r="E34" s="8"/>
      <c r="F34" s="181">
        <v>821000</v>
      </c>
      <c r="G34" s="200"/>
      <c r="H34" s="25" t="s">
        <v>88</v>
      </c>
      <c r="I34" s="241">
        <f t="shared" ref="I34:J34" si="11">I35+I36</f>
        <v>3400</v>
      </c>
      <c r="J34" s="241">
        <f t="shared" si="11"/>
        <v>3400</v>
      </c>
      <c r="K34" s="231">
        <f>K35+K36</f>
        <v>1253</v>
      </c>
      <c r="L34" s="490">
        <f>L35+L36</f>
        <v>0</v>
      </c>
      <c r="M34" s="241">
        <f>M35+M36</f>
        <v>0</v>
      </c>
      <c r="N34" s="789">
        <f>N35+N36</f>
        <v>0</v>
      </c>
      <c r="O34" s="886">
        <f t="shared" si="1"/>
        <v>0</v>
      </c>
    </row>
    <row r="35" spans="1:16" s="1" customFormat="1" ht="12.95" customHeight="1">
      <c r="A35" s="163"/>
      <c r="B35" s="10"/>
      <c r="C35" s="11"/>
      <c r="D35" s="11"/>
      <c r="E35" s="168"/>
      <c r="F35" s="182">
        <v>821200</v>
      </c>
      <c r="G35" s="201"/>
      <c r="H35" s="24" t="s">
        <v>89</v>
      </c>
      <c r="I35" s="240">
        <v>0</v>
      </c>
      <c r="J35" s="240">
        <v>0</v>
      </c>
      <c r="K35" s="230">
        <v>0</v>
      </c>
      <c r="L35" s="364"/>
      <c r="M35" s="240"/>
      <c r="N35" s="828">
        <f t="shared" ref="N35:N36" si="12">SUM(L35:M35)</f>
        <v>0</v>
      </c>
      <c r="O35" s="887" t="str">
        <f t="shared" si="1"/>
        <v/>
      </c>
      <c r="P35" s="1" t="s">
        <v>145</v>
      </c>
    </row>
    <row r="36" spans="1:16" ht="12.95" customHeight="1">
      <c r="B36" s="10"/>
      <c r="C36" s="11"/>
      <c r="D36" s="11"/>
      <c r="E36" s="168"/>
      <c r="F36" s="182">
        <v>821300</v>
      </c>
      <c r="G36" s="201"/>
      <c r="H36" s="24" t="s">
        <v>90</v>
      </c>
      <c r="I36" s="240">
        <v>3400</v>
      </c>
      <c r="J36" s="240">
        <v>3400</v>
      </c>
      <c r="K36" s="230">
        <v>1253</v>
      </c>
      <c r="L36" s="364"/>
      <c r="M36" s="240"/>
      <c r="N36" s="828">
        <f t="shared" si="12"/>
        <v>0</v>
      </c>
      <c r="O36" s="887">
        <f t="shared" si="1"/>
        <v>0</v>
      </c>
    </row>
    <row r="37" spans="1:16" ht="12.95" customHeight="1">
      <c r="B37" s="10"/>
      <c r="C37" s="11"/>
      <c r="D37" s="11"/>
      <c r="E37" s="168"/>
      <c r="F37" s="182"/>
      <c r="G37" s="201"/>
      <c r="H37" s="24"/>
      <c r="I37" s="240"/>
      <c r="J37" s="240"/>
      <c r="K37" s="230"/>
      <c r="L37" s="364"/>
      <c r="M37" s="240"/>
      <c r="N37" s="791"/>
      <c r="O37" s="887" t="str">
        <f t="shared" si="1"/>
        <v/>
      </c>
    </row>
    <row r="38" spans="1:16" ht="12.95" customHeight="1">
      <c r="B38" s="12"/>
      <c r="C38" s="8"/>
      <c r="D38" s="8"/>
      <c r="E38" s="8"/>
      <c r="F38" s="181"/>
      <c r="G38" s="200"/>
      <c r="H38" s="25" t="s">
        <v>91</v>
      </c>
      <c r="I38" s="384" t="s">
        <v>891</v>
      </c>
      <c r="J38" s="384" t="s">
        <v>891</v>
      </c>
      <c r="K38" s="494" t="s">
        <v>891</v>
      </c>
      <c r="L38" s="493"/>
      <c r="M38" s="384"/>
      <c r="N38" s="782"/>
      <c r="O38" s="887"/>
    </row>
    <row r="39" spans="1:16" s="1" customFormat="1" ht="12.95" customHeight="1">
      <c r="A39" s="163"/>
      <c r="B39" s="12"/>
      <c r="C39" s="8"/>
      <c r="D39" s="8"/>
      <c r="E39" s="8"/>
      <c r="F39" s="181"/>
      <c r="G39" s="200"/>
      <c r="H39" s="8" t="s">
        <v>105</v>
      </c>
      <c r="I39" s="374">
        <f t="shared" ref="I39:N39" si="13">I8+I13+I16+I28+I34</f>
        <v>5879820</v>
      </c>
      <c r="J39" s="170">
        <f t="shared" si="13"/>
        <v>5879820</v>
      </c>
      <c r="K39" s="158">
        <f t="shared" ref="K39" si="14">K8+K13+K16+K28+K34</f>
        <v>3656718</v>
      </c>
      <c r="L39" s="377">
        <f t="shared" si="13"/>
        <v>0</v>
      </c>
      <c r="M39" s="170">
        <f t="shared" si="13"/>
        <v>0</v>
      </c>
      <c r="N39" s="789">
        <f t="shared" si="13"/>
        <v>0</v>
      </c>
      <c r="O39" s="886">
        <f>IF(J39=0,"",N39/J39*100)</f>
        <v>0</v>
      </c>
    </row>
    <row r="40" spans="1:16" s="1" customFormat="1" ht="12.95" customHeight="1">
      <c r="A40" s="163"/>
      <c r="B40" s="12"/>
      <c r="C40" s="8"/>
      <c r="D40" s="8"/>
      <c r="E40" s="8"/>
      <c r="F40" s="181"/>
      <c r="G40" s="200"/>
      <c r="H40" s="8" t="s">
        <v>92</v>
      </c>
      <c r="I40" s="15">
        <f t="shared" ref="I40:K41" si="15">I39</f>
        <v>5879820</v>
      </c>
      <c r="J40" s="15">
        <f t="shared" si="15"/>
        <v>5879820</v>
      </c>
      <c r="K40" s="158">
        <f t="shared" si="15"/>
        <v>3656718</v>
      </c>
      <c r="L40" s="377">
        <f t="shared" ref="L40:N41" si="16">L39</f>
        <v>0</v>
      </c>
      <c r="M40" s="170">
        <f t="shared" si="16"/>
        <v>0</v>
      </c>
      <c r="N40" s="789">
        <f t="shared" si="16"/>
        <v>0</v>
      </c>
      <c r="O40" s="886">
        <f>IF(J40=0,"",N40/J40*100)</f>
        <v>0</v>
      </c>
    </row>
    <row r="41" spans="1:16" s="1" customFormat="1" ht="12.95" customHeight="1">
      <c r="A41" s="163"/>
      <c r="B41" s="12"/>
      <c r="C41" s="8"/>
      <c r="D41" s="8"/>
      <c r="E41" s="8"/>
      <c r="F41" s="181"/>
      <c r="G41" s="200"/>
      <c r="H41" s="8" t="s">
        <v>93</v>
      </c>
      <c r="I41" s="15">
        <f t="shared" si="15"/>
        <v>5879820</v>
      </c>
      <c r="J41" s="15">
        <f t="shared" si="15"/>
        <v>5879820</v>
      </c>
      <c r="K41" s="158">
        <f t="shared" si="15"/>
        <v>3656718</v>
      </c>
      <c r="L41" s="377">
        <f t="shared" si="16"/>
        <v>0</v>
      </c>
      <c r="M41" s="170">
        <f t="shared" si="16"/>
        <v>0</v>
      </c>
      <c r="N41" s="789">
        <f t="shared" si="16"/>
        <v>0</v>
      </c>
      <c r="O41" s="886">
        <f>IF(J41=0,"",N41/J41*100)</f>
        <v>0</v>
      </c>
    </row>
    <row r="42" spans="1:16" s="1" customFormat="1" ht="12.95" customHeight="1" thickBot="1">
      <c r="A42" s="163"/>
      <c r="B42" s="16"/>
      <c r="C42" s="17"/>
      <c r="D42" s="17"/>
      <c r="E42" s="17"/>
      <c r="F42" s="183"/>
      <c r="G42" s="202"/>
      <c r="H42" s="17"/>
      <c r="I42" s="17"/>
      <c r="J42" s="17"/>
      <c r="K42" s="362"/>
      <c r="L42" s="16"/>
      <c r="M42" s="17"/>
      <c r="N42" s="815"/>
      <c r="O42" s="888"/>
    </row>
    <row r="43" spans="1:16" ht="12.95" customHeight="1">
      <c r="F43" s="184"/>
      <c r="G43" s="203"/>
      <c r="L43" s="406"/>
      <c r="N43" s="258"/>
    </row>
    <row r="44" spans="1:16" ht="12.95" customHeight="1">
      <c r="F44" s="184"/>
      <c r="G44" s="203"/>
      <c r="N44" s="258"/>
    </row>
    <row r="45" spans="1:16" ht="12.95" customHeight="1">
      <c r="B45" s="45"/>
      <c r="F45" s="184"/>
      <c r="G45" s="203"/>
      <c r="N45" s="258"/>
    </row>
    <row r="46" spans="1:16" ht="12.95" customHeight="1">
      <c r="B46" s="45"/>
      <c r="F46" s="184"/>
      <c r="G46" s="203"/>
      <c r="N46" s="258"/>
    </row>
    <row r="47" spans="1:16" ht="12.95" customHeight="1">
      <c r="B47" s="45"/>
      <c r="F47" s="184"/>
      <c r="G47" s="203"/>
      <c r="N47" s="258"/>
    </row>
    <row r="48" spans="1:16" ht="12.95" customHeight="1">
      <c r="B48" s="45"/>
      <c r="F48" s="184"/>
      <c r="G48" s="203"/>
      <c r="N48" s="258"/>
    </row>
    <row r="49" spans="2:14" ht="12.95" customHeight="1">
      <c r="B49" s="45"/>
      <c r="F49" s="184"/>
      <c r="G49" s="203"/>
      <c r="N49" s="258"/>
    </row>
    <row r="50" spans="2:14" ht="12.95" customHeight="1">
      <c r="F50" s="184"/>
      <c r="G50" s="203"/>
      <c r="N50" s="258"/>
    </row>
    <row r="51" spans="2:14" ht="12.95" customHeight="1">
      <c r="F51" s="184"/>
      <c r="G51" s="203"/>
      <c r="N51" s="258"/>
    </row>
    <row r="52" spans="2:14" ht="12.95" customHeight="1">
      <c r="F52" s="184"/>
      <c r="G52" s="203"/>
      <c r="N52" s="258"/>
    </row>
    <row r="53" spans="2:14" ht="12.95" customHeight="1">
      <c r="F53" s="184"/>
      <c r="G53" s="203"/>
      <c r="N53" s="258"/>
    </row>
    <row r="54" spans="2:14" ht="12.95" customHeight="1">
      <c r="F54" s="184"/>
      <c r="G54" s="203"/>
      <c r="N54" s="258"/>
    </row>
    <row r="55" spans="2:14" ht="12.95" customHeight="1">
      <c r="F55" s="184"/>
      <c r="G55" s="203"/>
      <c r="N55" s="258"/>
    </row>
    <row r="56" spans="2:14" ht="12.95" customHeight="1">
      <c r="F56" s="184"/>
      <c r="G56" s="203"/>
      <c r="N56" s="258"/>
    </row>
    <row r="57" spans="2:14" ht="12.95" customHeight="1">
      <c r="F57" s="184"/>
      <c r="G57" s="203"/>
      <c r="N57" s="258"/>
    </row>
    <row r="58" spans="2:14" ht="12.95" customHeight="1">
      <c r="F58" s="184"/>
      <c r="G58" s="203"/>
      <c r="N58" s="258"/>
    </row>
    <row r="59" spans="2:14" ht="12.95" customHeight="1">
      <c r="F59" s="184"/>
      <c r="G59" s="203"/>
      <c r="N59" s="258"/>
    </row>
    <row r="60" spans="2:14" ht="17.100000000000001" customHeight="1">
      <c r="F60" s="184"/>
      <c r="G60" s="203"/>
      <c r="N60" s="258"/>
    </row>
    <row r="61" spans="2:14" ht="17.100000000000001" customHeight="1">
      <c r="F61" s="184"/>
      <c r="G61" s="203"/>
      <c r="N61" s="258"/>
    </row>
    <row r="62" spans="2:14" ht="17.100000000000001" customHeight="1">
      <c r="F62" s="184"/>
      <c r="G62" s="203"/>
      <c r="N62" s="258"/>
    </row>
    <row r="63" spans="2:14" ht="14.25">
      <c r="F63" s="184"/>
      <c r="G63" s="203"/>
      <c r="N63" s="258"/>
    </row>
    <row r="64" spans="2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4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1"/>
  <dimension ref="A1:R96"/>
  <sheetViews>
    <sheetView topLeftCell="A2" zoomScaleNormal="100" zoomScaleSheetLayoutView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645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124</v>
      </c>
      <c r="C7" s="7" t="s">
        <v>79</v>
      </c>
      <c r="D7" s="7" t="s">
        <v>80</v>
      </c>
      <c r="E7" s="422" t="s">
        <v>712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331900</v>
      </c>
      <c r="J8" s="241">
        <f t="shared" si="0"/>
        <v>331900</v>
      </c>
      <c r="K8" s="231">
        <f>SUM(K9:K12)</f>
        <v>244265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7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271060</v>
      </c>
      <c r="J9" s="242">
        <v>271060</v>
      </c>
      <c r="K9" s="229">
        <v>200109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60840</v>
      </c>
      <c r="J10" s="242">
        <v>60840</v>
      </c>
      <c r="K10" s="229">
        <v>44156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28910</v>
      </c>
      <c r="J13" s="241">
        <f t="shared" si="3"/>
        <v>28910</v>
      </c>
      <c r="K13" s="231">
        <f>K14</f>
        <v>21011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28910</v>
      </c>
      <c r="J14" s="242">
        <v>28910</v>
      </c>
      <c r="K14" s="229">
        <v>21011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SUM(I17:I27)</f>
        <v>457000</v>
      </c>
      <c r="J16" s="239">
        <f t="shared" si="4"/>
        <v>457000</v>
      </c>
      <c r="K16" s="226">
        <f>SUM(K17:K27)</f>
        <v>229067</v>
      </c>
      <c r="L16" s="491">
        <f>SUM(L17:L27)</f>
        <v>0</v>
      </c>
      <c r="M16" s="239">
        <f>SUM(M17:M27)</f>
        <v>0</v>
      </c>
      <c r="N16" s="789">
        <f>SUM(N17:N27)</f>
        <v>0</v>
      </c>
      <c r="O16" s="886">
        <f t="shared" si="1"/>
        <v>0</v>
      </c>
    </row>
    <row r="17" spans="1:18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2500</v>
      </c>
      <c r="J17" s="242">
        <v>2500</v>
      </c>
      <c r="K17" s="229">
        <v>866</v>
      </c>
      <c r="L17" s="366"/>
      <c r="M17" s="238"/>
      <c r="N17" s="828">
        <f t="shared" ref="N17:N27" si="5">SUM(L17:M17)</f>
        <v>0</v>
      </c>
      <c r="O17" s="887">
        <f t="shared" si="1"/>
        <v>0</v>
      </c>
    </row>
    <row r="18" spans="1:18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6"/>
      <c r="M18" s="238"/>
      <c r="N18" s="828">
        <f t="shared" si="5"/>
        <v>0</v>
      </c>
      <c r="O18" s="887" t="str">
        <f t="shared" si="1"/>
        <v/>
      </c>
    </row>
    <row r="19" spans="1:18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6500</v>
      </c>
      <c r="J19" s="242">
        <v>6500</v>
      </c>
      <c r="K19" s="229">
        <v>5008</v>
      </c>
      <c r="L19" s="366"/>
      <c r="M19" s="238"/>
      <c r="N19" s="828">
        <f t="shared" si="5"/>
        <v>0</v>
      </c>
      <c r="O19" s="887">
        <f t="shared" si="1"/>
        <v>0</v>
      </c>
    </row>
    <row r="20" spans="1:18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1000</v>
      </c>
      <c r="J20" s="242">
        <v>1000</v>
      </c>
      <c r="K20" s="229">
        <v>0</v>
      </c>
      <c r="L20" s="366"/>
      <c r="M20" s="238"/>
      <c r="N20" s="828">
        <f t="shared" si="5"/>
        <v>0</v>
      </c>
      <c r="O20" s="887">
        <f t="shared" si="1"/>
        <v>0</v>
      </c>
    </row>
    <row r="21" spans="1:18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7"/>
      <c r="M21" s="242"/>
      <c r="N21" s="828">
        <f t="shared" si="5"/>
        <v>0</v>
      </c>
      <c r="O21" s="887" t="str">
        <f t="shared" si="1"/>
        <v/>
      </c>
    </row>
    <row r="22" spans="1:18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5"/>
        <v>0</v>
      </c>
      <c r="O22" s="887" t="str">
        <f t="shared" si="1"/>
        <v/>
      </c>
    </row>
    <row r="23" spans="1:18" ht="12.95" customHeight="1">
      <c r="B23" s="10"/>
      <c r="C23" s="11"/>
      <c r="D23" s="11"/>
      <c r="E23" s="418"/>
      <c r="F23" s="188">
        <v>613700</v>
      </c>
      <c r="G23" s="207"/>
      <c r="H23" s="24" t="s">
        <v>85</v>
      </c>
      <c r="I23" s="242">
        <v>2000</v>
      </c>
      <c r="J23" s="242">
        <v>2000</v>
      </c>
      <c r="K23" s="229">
        <v>814</v>
      </c>
      <c r="L23" s="367"/>
      <c r="M23" s="242"/>
      <c r="N23" s="828">
        <f t="shared" si="5"/>
        <v>0</v>
      </c>
      <c r="O23" s="887">
        <f t="shared" si="1"/>
        <v>0</v>
      </c>
    </row>
    <row r="24" spans="1:18" ht="12.95" customHeight="1">
      <c r="B24" s="10"/>
      <c r="C24" s="11"/>
      <c r="D24" s="24"/>
      <c r="E24" s="24"/>
      <c r="F24" s="182">
        <v>613700</v>
      </c>
      <c r="G24" s="198" t="s">
        <v>514</v>
      </c>
      <c r="H24" s="463" t="s">
        <v>86</v>
      </c>
      <c r="I24" s="242">
        <v>420000</v>
      </c>
      <c r="J24" s="242">
        <v>420000</v>
      </c>
      <c r="K24" s="229">
        <v>202329</v>
      </c>
      <c r="L24" s="367"/>
      <c r="M24" s="242"/>
      <c r="N24" s="828">
        <f t="shared" si="5"/>
        <v>0</v>
      </c>
      <c r="O24" s="887">
        <f t="shared" si="1"/>
        <v>0</v>
      </c>
    </row>
    <row r="25" spans="1:18" ht="12.95" customHeight="1">
      <c r="B25" s="10"/>
      <c r="C25" s="11"/>
      <c r="D25" s="11"/>
      <c r="E25" s="417"/>
      <c r="F25" s="190">
        <v>613800</v>
      </c>
      <c r="G25" s="208"/>
      <c r="H25" s="24" t="s">
        <v>143</v>
      </c>
      <c r="I25" s="242">
        <v>0</v>
      </c>
      <c r="J25" s="242">
        <v>0</v>
      </c>
      <c r="K25" s="229">
        <v>0</v>
      </c>
      <c r="L25" s="367"/>
      <c r="M25" s="242"/>
      <c r="N25" s="828">
        <f t="shared" si="5"/>
        <v>0</v>
      </c>
      <c r="O25" s="887" t="str">
        <f t="shared" si="1"/>
        <v/>
      </c>
      <c r="R25" s="51"/>
    </row>
    <row r="26" spans="1:18" ht="12.95" customHeight="1">
      <c r="B26" s="10"/>
      <c r="C26" s="11"/>
      <c r="D26" s="11"/>
      <c r="E26" s="168"/>
      <c r="F26" s="182">
        <v>613900</v>
      </c>
      <c r="G26" s="201"/>
      <c r="H26" s="24" t="s">
        <v>144</v>
      </c>
      <c r="I26" s="242">
        <v>25000</v>
      </c>
      <c r="J26" s="242">
        <v>25000</v>
      </c>
      <c r="K26" s="229">
        <v>20050</v>
      </c>
      <c r="L26" s="367"/>
      <c r="M26" s="242"/>
      <c r="N26" s="828">
        <f t="shared" si="5"/>
        <v>0</v>
      </c>
      <c r="O26" s="887">
        <f t="shared" si="1"/>
        <v>0</v>
      </c>
      <c r="P26" s="58"/>
    </row>
    <row r="27" spans="1:18" ht="12.95" customHeight="1">
      <c r="B27" s="10"/>
      <c r="C27" s="11"/>
      <c r="D27" s="11"/>
      <c r="E27" s="168"/>
      <c r="F27" s="182">
        <v>613900</v>
      </c>
      <c r="G27" s="201"/>
      <c r="H27" s="442" t="s">
        <v>436</v>
      </c>
      <c r="I27" s="242">
        <v>0</v>
      </c>
      <c r="J27" s="242">
        <v>0</v>
      </c>
      <c r="K27" s="229">
        <v>0</v>
      </c>
      <c r="L27" s="367"/>
      <c r="M27" s="242"/>
      <c r="N27" s="828">
        <f t="shared" si="5"/>
        <v>0</v>
      </c>
      <c r="O27" s="887" t="str">
        <f t="shared" si="1"/>
        <v/>
      </c>
    </row>
    <row r="28" spans="1:18" ht="12.95" customHeight="1">
      <c r="B28" s="10"/>
      <c r="C28" s="11"/>
      <c r="D28" s="11"/>
      <c r="E28" s="168"/>
      <c r="F28" s="182"/>
      <c r="G28" s="201"/>
      <c r="H28" s="24"/>
      <c r="I28" s="242"/>
      <c r="J28" s="242"/>
      <c r="K28" s="229"/>
      <c r="L28" s="367"/>
      <c r="M28" s="242"/>
      <c r="N28" s="791"/>
      <c r="O28" s="887" t="str">
        <f t="shared" si="1"/>
        <v/>
      </c>
    </row>
    <row r="29" spans="1:18" s="1" customFormat="1" ht="12.95" customHeight="1">
      <c r="A29" s="163"/>
      <c r="B29" s="12"/>
      <c r="C29" s="8"/>
      <c r="D29" s="8"/>
      <c r="E29" s="8"/>
      <c r="F29" s="181">
        <v>614000</v>
      </c>
      <c r="G29" s="200"/>
      <c r="H29" s="25" t="s">
        <v>165</v>
      </c>
      <c r="I29" s="241">
        <f>I30</f>
        <v>280000</v>
      </c>
      <c r="J29" s="241">
        <v>280000</v>
      </c>
      <c r="K29" s="231">
        <f t="shared" ref="K29" si="6">SUM(K30:K30)</f>
        <v>4000</v>
      </c>
      <c r="L29" s="490">
        <f t="shared" ref="L29:N29" si="7">L30</f>
        <v>0</v>
      </c>
      <c r="M29" s="241">
        <f t="shared" si="7"/>
        <v>0</v>
      </c>
      <c r="N29" s="789">
        <f t="shared" si="7"/>
        <v>0</v>
      </c>
      <c r="O29" s="886">
        <f t="shared" si="1"/>
        <v>0</v>
      </c>
    </row>
    <row r="30" spans="1:18" ht="12.95" customHeight="1">
      <c r="B30" s="10"/>
      <c r="C30" s="11"/>
      <c r="D30" s="24"/>
      <c r="E30" s="419"/>
      <c r="F30" s="190">
        <v>614100</v>
      </c>
      <c r="G30" s="208" t="s">
        <v>515</v>
      </c>
      <c r="H30" s="464" t="s">
        <v>146</v>
      </c>
      <c r="I30" s="242">
        <v>280000</v>
      </c>
      <c r="J30" s="242">
        <v>280000</v>
      </c>
      <c r="K30" s="229">
        <v>4000</v>
      </c>
      <c r="L30" s="367"/>
      <c r="M30" s="242"/>
      <c r="N30" s="828">
        <f t="shared" ref="N30" si="8">SUM(L30:M30)</f>
        <v>0</v>
      </c>
      <c r="O30" s="887">
        <f t="shared" si="1"/>
        <v>0</v>
      </c>
    </row>
    <row r="31" spans="1:18" ht="12.95" customHeight="1">
      <c r="B31" s="10"/>
      <c r="C31" s="11"/>
      <c r="D31" s="11"/>
      <c r="E31" s="168"/>
      <c r="F31" s="182"/>
      <c r="G31" s="201"/>
      <c r="H31" s="24"/>
      <c r="I31" s="242"/>
      <c r="J31" s="242"/>
      <c r="K31" s="229"/>
      <c r="L31" s="367"/>
      <c r="M31" s="242"/>
      <c r="N31" s="791"/>
      <c r="O31" s="887" t="str">
        <f t="shared" si="1"/>
        <v/>
      </c>
    </row>
    <row r="32" spans="1:18" s="1" customFormat="1" ht="12.95" customHeight="1">
      <c r="A32" s="163"/>
      <c r="B32" s="12"/>
      <c r="C32" s="8"/>
      <c r="D32" s="8"/>
      <c r="E32" s="8"/>
      <c r="F32" s="181">
        <v>821000</v>
      </c>
      <c r="G32" s="200"/>
      <c r="H32" s="25" t="s">
        <v>88</v>
      </c>
      <c r="I32" s="241">
        <f t="shared" ref="I32:M32" si="9">SUM(I33:I36)</f>
        <v>1986000</v>
      </c>
      <c r="J32" s="241">
        <f t="shared" si="9"/>
        <v>1986000</v>
      </c>
      <c r="K32" s="231">
        <f t="shared" si="9"/>
        <v>746089</v>
      </c>
      <c r="L32" s="490">
        <f t="shared" si="9"/>
        <v>0</v>
      </c>
      <c r="M32" s="241">
        <f t="shared" si="9"/>
        <v>0</v>
      </c>
      <c r="N32" s="789">
        <f t="shared" ref="N32" si="10">SUM(N33:N36)</f>
        <v>0</v>
      </c>
      <c r="O32" s="886">
        <f t="shared" si="1"/>
        <v>0</v>
      </c>
    </row>
    <row r="33" spans="1:17" ht="12.95" customHeight="1">
      <c r="B33" s="10"/>
      <c r="C33" s="11"/>
      <c r="D33" s="11"/>
      <c r="E33" s="168"/>
      <c r="F33" s="182">
        <v>821200</v>
      </c>
      <c r="G33" s="201"/>
      <c r="H33" s="24" t="s">
        <v>89</v>
      </c>
      <c r="I33" s="242">
        <v>0</v>
      </c>
      <c r="J33" s="242">
        <v>0</v>
      </c>
      <c r="K33" s="229">
        <v>0</v>
      </c>
      <c r="L33" s="367"/>
      <c r="M33" s="242"/>
      <c r="N33" s="828">
        <f t="shared" ref="N33:N34" si="11">SUM(L33:M33)</f>
        <v>0</v>
      </c>
      <c r="O33" s="887" t="str">
        <f t="shared" si="1"/>
        <v/>
      </c>
    </row>
    <row r="34" spans="1:17" ht="12.95" customHeight="1">
      <c r="B34" s="10"/>
      <c r="C34" s="11"/>
      <c r="D34" s="11"/>
      <c r="E34" s="168"/>
      <c r="F34" s="182">
        <v>821300</v>
      </c>
      <c r="G34" s="201"/>
      <c r="H34" s="24" t="s">
        <v>90</v>
      </c>
      <c r="I34" s="242">
        <v>6000</v>
      </c>
      <c r="J34" s="242">
        <v>6000</v>
      </c>
      <c r="K34" s="229">
        <v>2397</v>
      </c>
      <c r="L34" s="367"/>
      <c r="M34" s="242"/>
      <c r="N34" s="828">
        <f t="shared" si="11"/>
        <v>0</v>
      </c>
      <c r="O34" s="887">
        <f t="shared" si="1"/>
        <v>0</v>
      </c>
    </row>
    <row r="35" spans="1:17" s="166" customFormat="1" ht="12.95" customHeight="1">
      <c r="B35" s="167"/>
      <c r="C35" s="168"/>
      <c r="D35" s="168"/>
      <c r="E35" s="168"/>
      <c r="F35" s="185">
        <v>821500</v>
      </c>
      <c r="G35" s="204" t="s">
        <v>620</v>
      </c>
      <c r="H35" s="445" t="s">
        <v>619</v>
      </c>
      <c r="I35" s="242">
        <v>1430000</v>
      </c>
      <c r="J35" s="242">
        <v>1430000</v>
      </c>
      <c r="K35" s="229">
        <v>695369</v>
      </c>
      <c r="L35" s="367"/>
      <c r="M35" s="242"/>
      <c r="N35" s="828">
        <f t="shared" ref="N35" si="12">SUM(L35:M35)</f>
        <v>0</v>
      </c>
      <c r="O35" s="887">
        <f t="shared" si="1"/>
        <v>0</v>
      </c>
      <c r="P35" s="898"/>
      <c r="Q35" s="51"/>
    </row>
    <row r="36" spans="1:17" s="166" customFormat="1" ht="12.95" customHeight="1">
      <c r="B36" s="167"/>
      <c r="C36" s="168"/>
      <c r="D36" s="168"/>
      <c r="E36" s="168"/>
      <c r="F36" s="185">
        <v>821600</v>
      </c>
      <c r="G36" s="204" t="s">
        <v>621</v>
      </c>
      <c r="H36" s="445" t="s">
        <v>618</v>
      </c>
      <c r="I36" s="242">
        <v>550000</v>
      </c>
      <c r="J36" s="242">
        <v>550000</v>
      </c>
      <c r="K36" s="229">
        <v>48323</v>
      </c>
      <c r="L36" s="367"/>
      <c r="M36" s="242"/>
      <c r="N36" s="828">
        <f t="shared" ref="N36" si="13">SUM(L36:M36)</f>
        <v>0</v>
      </c>
      <c r="O36" s="887">
        <f t="shared" si="1"/>
        <v>0</v>
      </c>
      <c r="Q36" s="51"/>
    </row>
    <row r="37" spans="1:17" ht="12.95" customHeight="1">
      <c r="B37" s="10"/>
      <c r="C37" s="11"/>
      <c r="D37" s="11"/>
      <c r="E37" s="168"/>
      <c r="F37" s="182"/>
      <c r="G37" s="201"/>
      <c r="H37" s="24"/>
      <c r="I37" s="241"/>
      <c r="J37" s="241"/>
      <c r="K37" s="231"/>
      <c r="L37" s="490"/>
      <c r="M37" s="241"/>
      <c r="N37" s="789"/>
      <c r="O37" s="887" t="str">
        <f t="shared" si="1"/>
        <v/>
      </c>
    </row>
    <row r="38" spans="1:17" s="1" customFormat="1" ht="12.95" customHeight="1">
      <c r="A38" s="163"/>
      <c r="B38" s="12"/>
      <c r="C38" s="8"/>
      <c r="D38" s="8"/>
      <c r="E38" s="8"/>
      <c r="F38" s="181"/>
      <c r="G38" s="200"/>
      <c r="H38" s="25" t="s">
        <v>91</v>
      </c>
      <c r="I38" s="384" t="s">
        <v>906</v>
      </c>
      <c r="J38" s="384" t="s">
        <v>906</v>
      </c>
      <c r="K38" s="494" t="s">
        <v>906</v>
      </c>
      <c r="L38" s="493"/>
      <c r="M38" s="241"/>
      <c r="N38" s="782"/>
      <c r="O38" s="887"/>
    </row>
    <row r="39" spans="1:17" s="1" customFormat="1" ht="12.95" customHeight="1">
      <c r="A39" s="163"/>
      <c r="B39" s="12"/>
      <c r="C39" s="8"/>
      <c r="D39" s="8"/>
      <c r="E39" s="8"/>
      <c r="F39" s="181"/>
      <c r="G39" s="200"/>
      <c r="H39" s="8" t="s">
        <v>105</v>
      </c>
      <c r="I39" s="374">
        <f t="shared" ref="I39:N39" si="14">I8+I13+I16+I29+I32</f>
        <v>3083810</v>
      </c>
      <c r="J39" s="170">
        <f t="shared" si="14"/>
        <v>3083810</v>
      </c>
      <c r="K39" s="158">
        <f t="shared" ref="K39" si="15">K8+K13+K16+K29+K32</f>
        <v>1244432</v>
      </c>
      <c r="L39" s="377">
        <f t="shared" si="14"/>
        <v>0</v>
      </c>
      <c r="M39" s="170">
        <f t="shared" si="14"/>
        <v>0</v>
      </c>
      <c r="N39" s="789">
        <f t="shared" si="14"/>
        <v>0</v>
      </c>
      <c r="O39" s="886">
        <f>IF(J39=0,"",N39/J39*100)</f>
        <v>0</v>
      </c>
    </row>
    <row r="40" spans="1:17" s="1" customFormat="1" ht="12.95" customHeight="1">
      <c r="A40" s="163"/>
      <c r="B40" s="12"/>
      <c r="C40" s="8"/>
      <c r="D40" s="8"/>
      <c r="E40" s="8"/>
      <c r="F40" s="181"/>
      <c r="G40" s="200"/>
      <c r="H40" s="8" t="s">
        <v>92</v>
      </c>
      <c r="I40" s="15">
        <f t="shared" ref="I40:K41" si="16">I39</f>
        <v>3083810</v>
      </c>
      <c r="J40" s="15">
        <f t="shared" si="16"/>
        <v>3083810</v>
      </c>
      <c r="K40" s="158">
        <f t="shared" si="16"/>
        <v>1244432</v>
      </c>
      <c r="L40" s="377">
        <f t="shared" ref="L40:N41" si="17">L39</f>
        <v>0</v>
      </c>
      <c r="M40" s="170">
        <f t="shared" si="17"/>
        <v>0</v>
      </c>
      <c r="N40" s="789">
        <f t="shared" si="17"/>
        <v>0</v>
      </c>
      <c r="O40" s="886">
        <f>IF(J40=0,"",N40/J40*100)</f>
        <v>0</v>
      </c>
    </row>
    <row r="41" spans="1:17" s="1" customFormat="1" ht="12.95" customHeight="1">
      <c r="A41" s="163"/>
      <c r="B41" s="12"/>
      <c r="C41" s="8"/>
      <c r="D41" s="8"/>
      <c r="E41" s="8"/>
      <c r="F41" s="181"/>
      <c r="G41" s="200"/>
      <c r="H41" s="8" t="s">
        <v>93</v>
      </c>
      <c r="I41" s="15">
        <f t="shared" si="16"/>
        <v>3083810</v>
      </c>
      <c r="J41" s="15">
        <f t="shared" si="16"/>
        <v>3083810</v>
      </c>
      <c r="K41" s="158">
        <f t="shared" si="16"/>
        <v>1244432</v>
      </c>
      <c r="L41" s="377">
        <f t="shared" si="17"/>
        <v>0</v>
      </c>
      <c r="M41" s="170">
        <f t="shared" si="17"/>
        <v>0</v>
      </c>
      <c r="N41" s="789">
        <f t="shared" si="17"/>
        <v>0</v>
      </c>
      <c r="O41" s="886">
        <f>IF(J41=0,"",N41/J41*100)</f>
        <v>0</v>
      </c>
    </row>
    <row r="42" spans="1:17" ht="12.95" customHeight="1" thickBot="1">
      <c r="B42" s="16"/>
      <c r="C42" s="17"/>
      <c r="D42" s="17"/>
      <c r="E42" s="17"/>
      <c r="F42" s="183"/>
      <c r="G42" s="202"/>
      <c r="H42" s="17"/>
      <c r="I42" s="31"/>
      <c r="J42" s="31"/>
      <c r="K42" s="739"/>
      <c r="L42" s="378"/>
      <c r="M42" s="31"/>
      <c r="N42" s="829"/>
      <c r="O42" s="888"/>
    </row>
    <row r="43" spans="1:17" ht="12.95" customHeight="1">
      <c r="F43" s="184"/>
      <c r="G43" s="203"/>
      <c r="L43" s="893"/>
      <c r="N43" s="259"/>
    </row>
    <row r="44" spans="1:17" ht="12.95" customHeight="1">
      <c r="B44" s="45"/>
      <c r="F44" s="184"/>
      <c r="G44" s="203"/>
      <c r="N44" s="259"/>
    </row>
    <row r="45" spans="1:17" ht="12.95" customHeight="1">
      <c r="B45" s="45"/>
      <c r="F45" s="184"/>
      <c r="G45" s="203"/>
      <c r="N45" s="259"/>
    </row>
    <row r="46" spans="1:17" ht="12.95" customHeight="1">
      <c r="B46" s="45"/>
      <c r="F46" s="184"/>
      <c r="G46" s="203"/>
      <c r="N46" s="259"/>
    </row>
    <row r="47" spans="1:17" ht="12.95" customHeight="1">
      <c r="F47" s="184"/>
      <c r="G47" s="203"/>
      <c r="N47" s="259"/>
    </row>
    <row r="48" spans="1:17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R100"/>
  <sheetViews>
    <sheetView tabSelected="1" zoomScaleNormal="100" zoomScaleSheetLayoutView="100" workbookViewId="0">
      <selection activeCell="J16" sqref="J16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646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125</v>
      </c>
      <c r="C7" s="7" t="s">
        <v>79</v>
      </c>
      <c r="D7" s="7" t="s">
        <v>80</v>
      </c>
      <c r="E7" s="422" t="s">
        <v>715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858820</v>
      </c>
      <c r="J8" s="241">
        <f t="shared" si="0"/>
        <v>858820</v>
      </c>
      <c r="K8" s="231">
        <f>SUM(K9:K12)</f>
        <v>616897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4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717640</v>
      </c>
      <c r="J9" s="240">
        <v>717640</v>
      </c>
      <c r="K9" s="230">
        <v>512946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35">
        <v>141180</v>
      </c>
      <c r="J10" s="235">
        <v>141180</v>
      </c>
      <c r="K10" s="495">
        <v>103951</v>
      </c>
      <c r="L10" s="368"/>
      <c r="M10" s="235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0"/>
      <c r="J12" s="240"/>
      <c r="K12" s="230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75850</v>
      </c>
      <c r="J13" s="241">
        <f t="shared" si="3"/>
        <v>75850</v>
      </c>
      <c r="K13" s="231">
        <f>K14</f>
        <v>53926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v>75850</v>
      </c>
      <c r="J14" s="240">
        <v>75850</v>
      </c>
      <c r="K14" s="230">
        <v>53926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6"/>
      <c r="J15" s="236"/>
      <c r="K15" s="225"/>
      <c r="L15" s="365"/>
      <c r="M15" s="236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SUM(I17:I26)</f>
        <v>79350</v>
      </c>
      <c r="J16" s="239">
        <f t="shared" si="4"/>
        <v>79350</v>
      </c>
      <c r="K16" s="226">
        <f>SUM(K17:K26)</f>
        <v>53957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8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7300</v>
      </c>
      <c r="J17" s="240">
        <v>7300</v>
      </c>
      <c r="K17" s="230">
        <v>4585</v>
      </c>
      <c r="L17" s="364"/>
      <c r="M17" s="240"/>
      <c r="N17" s="828">
        <f t="shared" ref="N17:N26" si="5">SUM(L17:M17)</f>
        <v>0</v>
      </c>
      <c r="O17" s="887">
        <f t="shared" si="1"/>
        <v>0</v>
      </c>
    </row>
    <row r="18" spans="1:18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1500</v>
      </c>
      <c r="J18" s="240">
        <v>1500</v>
      </c>
      <c r="K18" s="230">
        <v>875</v>
      </c>
      <c r="L18" s="364"/>
      <c r="M18" s="240"/>
      <c r="N18" s="828">
        <f t="shared" si="5"/>
        <v>0</v>
      </c>
      <c r="O18" s="887">
        <f t="shared" si="1"/>
        <v>0</v>
      </c>
    </row>
    <row r="19" spans="1:18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7000</v>
      </c>
      <c r="J19" s="240">
        <v>7000</v>
      </c>
      <c r="K19" s="230">
        <v>4670</v>
      </c>
      <c r="L19" s="364"/>
      <c r="M19" s="240"/>
      <c r="N19" s="828">
        <f t="shared" si="5"/>
        <v>0</v>
      </c>
      <c r="O19" s="887">
        <f t="shared" si="1"/>
        <v>0</v>
      </c>
    </row>
    <row r="20" spans="1:18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3500</v>
      </c>
      <c r="J20" s="240">
        <v>9000</v>
      </c>
      <c r="K20" s="230">
        <v>1952</v>
      </c>
      <c r="L20" s="364"/>
      <c r="M20" s="240"/>
      <c r="N20" s="828">
        <f t="shared" si="5"/>
        <v>0</v>
      </c>
      <c r="O20" s="887">
        <f t="shared" si="1"/>
        <v>0</v>
      </c>
    </row>
    <row r="21" spans="1:18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500</v>
      </c>
      <c r="J21" s="240">
        <v>500</v>
      </c>
      <c r="K21" s="230">
        <v>323</v>
      </c>
      <c r="L21" s="364"/>
      <c r="M21" s="240"/>
      <c r="N21" s="828">
        <f t="shared" si="5"/>
        <v>0</v>
      </c>
      <c r="O21" s="887">
        <f t="shared" si="1"/>
        <v>0</v>
      </c>
    </row>
    <row r="22" spans="1:18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5500</v>
      </c>
      <c r="J22" s="240">
        <v>5500</v>
      </c>
      <c r="K22" s="230">
        <v>3753</v>
      </c>
      <c r="L22" s="364"/>
      <c r="M22" s="240"/>
      <c r="N22" s="828">
        <f t="shared" si="5"/>
        <v>0</v>
      </c>
      <c r="O22" s="887">
        <f t="shared" si="1"/>
        <v>0</v>
      </c>
    </row>
    <row r="23" spans="1:18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9000</v>
      </c>
      <c r="J23" s="240">
        <v>9000</v>
      </c>
      <c r="K23" s="230">
        <v>6532</v>
      </c>
      <c r="L23" s="364"/>
      <c r="M23" s="240"/>
      <c r="N23" s="828">
        <f t="shared" si="5"/>
        <v>0</v>
      </c>
      <c r="O23" s="887">
        <f t="shared" si="1"/>
        <v>0</v>
      </c>
    </row>
    <row r="24" spans="1:18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50</v>
      </c>
      <c r="J24" s="240">
        <v>50</v>
      </c>
      <c r="K24" s="230">
        <v>45</v>
      </c>
      <c r="L24" s="364"/>
      <c r="M24" s="240"/>
      <c r="N24" s="828">
        <f t="shared" si="5"/>
        <v>0</v>
      </c>
      <c r="O24" s="887">
        <f t="shared" si="1"/>
        <v>0</v>
      </c>
    </row>
    <row r="25" spans="1:18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0">
        <v>45000</v>
      </c>
      <c r="J25" s="240">
        <v>39500</v>
      </c>
      <c r="K25" s="230">
        <v>31222</v>
      </c>
      <c r="L25" s="364"/>
      <c r="M25" s="240"/>
      <c r="N25" s="828">
        <f t="shared" si="5"/>
        <v>0</v>
      </c>
      <c r="O25" s="887">
        <f t="shared" si="1"/>
        <v>0</v>
      </c>
      <c r="P25" s="58"/>
    </row>
    <row r="26" spans="1:18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0">
        <v>0</v>
      </c>
      <c r="J26" s="240">
        <v>0</v>
      </c>
      <c r="K26" s="230">
        <v>0</v>
      </c>
      <c r="L26" s="364"/>
      <c r="M26" s="240"/>
      <c r="N26" s="828">
        <f t="shared" si="5"/>
        <v>0</v>
      </c>
      <c r="O26" s="887" t="str">
        <f t="shared" si="1"/>
        <v/>
      </c>
    </row>
    <row r="27" spans="1:18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8" s="1" customFormat="1" ht="12.95" customHeight="1">
      <c r="A28" s="163"/>
      <c r="B28" s="12"/>
      <c r="C28" s="8"/>
      <c r="D28" s="8"/>
      <c r="E28" s="8"/>
      <c r="F28" s="181">
        <v>614000</v>
      </c>
      <c r="G28" s="200"/>
      <c r="H28" s="25" t="s">
        <v>165</v>
      </c>
      <c r="I28" s="241">
        <f t="shared" ref="I28:M28" si="6">SUM(I29:I32)</f>
        <v>2650000</v>
      </c>
      <c r="J28" s="241">
        <f t="shared" si="6"/>
        <v>2840000</v>
      </c>
      <c r="K28" s="231">
        <f t="shared" si="6"/>
        <v>1641862</v>
      </c>
      <c r="L28" s="490">
        <f t="shared" si="6"/>
        <v>0</v>
      </c>
      <c r="M28" s="241">
        <f t="shared" si="6"/>
        <v>0</v>
      </c>
      <c r="N28" s="789">
        <f t="shared" ref="N28" si="7">SUM(N29:N32)</f>
        <v>0</v>
      </c>
      <c r="O28" s="886">
        <f t="shared" si="1"/>
        <v>0</v>
      </c>
    </row>
    <row r="29" spans="1:18" s="1" customFormat="1" ht="12.95" customHeight="1">
      <c r="A29" s="163"/>
      <c r="B29" s="12"/>
      <c r="C29" s="8"/>
      <c r="D29" s="25"/>
      <c r="E29" s="25"/>
      <c r="F29" s="182">
        <v>614100</v>
      </c>
      <c r="G29" s="201" t="s">
        <v>517</v>
      </c>
      <c r="H29" s="439" t="s">
        <v>821</v>
      </c>
      <c r="I29" s="242">
        <v>100000</v>
      </c>
      <c r="J29" s="242">
        <v>100000</v>
      </c>
      <c r="K29" s="229">
        <v>19155</v>
      </c>
      <c r="L29" s="367"/>
      <c r="M29" s="242"/>
      <c r="N29" s="828">
        <f t="shared" ref="N29:N32" si="8">SUM(L29:M29)</f>
        <v>0</v>
      </c>
      <c r="O29" s="887">
        <f t="shared" si="1"/>
        <v>0</v>
      </c>
    </row>
    <row r="30" spans="1:18" ht="12.95" customHeight="1">
      <c r="B30" s="10"/>
      <c r="C30" s="11"/>
      <c r="D30" s="11"/>
      <c r="E30" s="168"/>
      <c r="F30" s="182">
        <v>614500</v>
      </c>
      <c r="G30" s="201" t="s">
        <v>516</v>
      </c>
      <c r="H30" s="459" t="s">
        <v>822</v>
      </c>
      <c r="I30" s="242">
        <v>2050000</v>
      </c>
      <c r="J30" s="242">
        <v>2050000</v>
      </c>
      <c r="K30" s="229">
        <v>1460362</v>
      </c>
      <c r="L30" s="367"/>
      <c r="M30" s="242"/>
      <c r="N30" s="828">
        <f t="shared" si="8"/>
        <v>0</v>
      </c>
      <c r="O30" s="887">
        <f t="shared" si="1"/>
        <v>0</v>
      </c>
      <c r="Q30" s="51"/>
    </row>
    <row r="31" spans="1:18" ht="12.95" customHeight="1">
      <c r="B31" s="10"/>
      <c r="C31" s="11"/>
      <c r="D31" s="11"/>
      <c r="E31" s="168"/>
      <c r="F31" s="185">
        <v>614500</v>
      </c>
      <c r="G31" s="201" t="s">
        <v>518</v>
      </c>
      <c r="H31" s="459" t="s">
        <v>823</v>
      </c>
      <c r="I31" s="242">
        <v>300000</v>
      </c>
      <c r="J31" s="242">
        <f>300000+190000</f>
        <v>490000</v>
      </c>
      <c r="K31" s="229">
        <v>9845</v>
      </c>
      <c r="L31" s="367"/>
      <c r="M31" s="242"/>
      <c r="N31" s="828">
        <f t="shared" si="8"/>
        <v>0</v>
      </c>
      <c r="O31" s="887">
        <f t="shared" si="1"/>
        <v>0</v>
      </c>
      <c r="Q31" s="411"/>
      <c r="R31" s="408"/>
    </row>
    <row r="32" spans="1:18" ht="12.95" customHeight="1">
      <c r="B32" s="10"/>
      <c r="C32" s="11"/>
      <c r="D32" s="11"/>
      <c r="E32" s="168"/>
      <c r="F32" s="185">
        <v>614500</v>
      </c>
      <c r="G32" s="201" t="s">
        <v>519</v>
      </c>
      <c r="H32" s="465" t="s">
        <v>312</v>
      </c>
      <c r="I32" s="242">
        <v>200000</v>
      </c>
      <c r="J32" s="242">
        <v>200000</v>
      </c>
      <c r="K32" s="229">
        <v>152500</v>
      </c>
      <c r="L32" s="367"/>
      <c r="M32" s="242"/>
      <c r="N32" s="828">
        <f t="shared" si="8"/>
        <v>0</v>
      </c>
      <c r="O32" s="887">
        <f t="shared" si="1"/>
        <v>0</v>
      </c>
      <c r="Q32" s="60"/>
    </row>
    <row r="33" spans="1:17" s="166" customFormat="1" ht="12.95" customHeight="1">
      <c r="B33" s="167"/>
      <c r="C33" s="168"/>
      <c r="D33" s="168"/>
      <c r="E33" s="168"/>
      <c r="F33" s="182"/>
      <c r="G33" s="201"/>
      <c r="H33" s="24"/>
      <c r="I33" s="241"/>
      <c r="J33" s="241"/>
      <c r="K33" s="231"/>
      <c r="L33" s="490"/>
      <c r="M33" s="241"/>
      <c r="N33" s="789"/>
      <c r="O33" s="887" t="str">
        <f t="shared" si="1"/>
        <v/>
      </c>
      <c r="Q33" s="411"/>
    </row>
    <row r="34" spans="1:17" s="163" customFormat="1" ht="12.95" customHeight="1">
      <c r="B34" s="169"/>
      <c r="C34" s="8"/>
      <c r="D34" s="8"/>
      <c r="E34" s="8"/>
      <c r="F34" s="181">
        <v>615000</v>
      </c>
      <c r="G34" s="200"/>
      <c r="H34" s="25" t="s">
        <v>87</v>
      </c>
      <c r="I34" s="241">
        <f t="shared" ref="I34:M34" si="9">SUM(I35:I36)</f>
        <v>550000</v>
      </c>
      <c r="J34" s="241">
        <f t="shared" si="9"/>
        <v>550000</v>
      </c>
      <c r="K34" s="231">
        <f t="shared" si="9"/>
        <v>550000</v>
      </c>
      <c r="L34" s="490">
        <f t="shared" si="9"/>
        <v>0</v>
      </c>
      <c r="M34" s="241">
        <f t="shared" si="9"/>
        <v>0</v>
      </c>
      <c r="N34" s="789">
        <f t="shared" ref="N34" si="10">SUM(N35:N36)</f>
        <v>0</v>
      </c>
      <c r="O34" s="886">
        <f t="shared" si="1"/>
        <v>0</v>
      </c>
    </row>
    <row r="35" spans="1:17" s="163" customFormat="1" ht="12.95" customHeight="1">
      <c r="B35" s="169"/>
      <c r="C35" s="8"/>
      <c r="D35" s="25"/>
      <c r="E35" s="25"/>
      <c r="F35" s="185">
        <v>615100</v>
      </c>
      <c r="G35" s="204" t="s">
        <v>729</v>
      </c>
      <c r="H35" s="439" t="s">
        <v>676</v>
      </c>
      <c r="I35" s="242">
        <v>400000</v>
      </c>
      <c r="J35" s="242">
        <v>400000</v>
      </c>
      <c r="K35" s="229">
        <v>400000</v>
      </c>
      <c r="L35" s="367"/>
      <c r="M35" s="242"/>
      <c r="N35" s="828">
        <f t="shared" ref="N35" si="11">SUM(L35:M35)</f>
        <v>0</v>
      </c>
      <c r="O35" s="887">
        <f t="shared" si="1"/>
        <v>0</v>
      </c>
      <c r="P35" s="61"/>
    </row>
    <row r="36" spans="1:17" s="163" customFormat="1" ht="12.95" customHeight="1">
      <c r="B36" s="169"/>
      <c r="C36" s="8"/>
      <c r="D36" s="25"/>
      <c r="E36" s="25"/>
      <c r="F36" s="185">
        <v>615100</v>
      </c>
      <c r="G36" s="204" t="s">
        <v>730</v>
      </c>
      <c r="H36" s="439" t="s">
        <v>672</v>
      </c>
      <c r="I36" s="242">
        <v>150000</v>
      </c>
      <c r="J36" s="242">
        <v>150000</v>
      </c>
      <c r="K36" s="229">
        <v>150000</v>
      </c>
      <c r="L36" s="367"/>
      <c r="M36" s="242"/>
      <c r="N36" s="828">
        <f t="shared" ref="N36" si="12">SUM(L36:M36)</f>
        <v>0</v>
      </c>
      <c r="O36" s="887">
        <f t="shared" si="1"/>
        <v>0</v>
      </c>
    </row>
    <row r="37" spans="1:17" ht="12.95" customHeight="1">
      <c r="B37" s="10"/>
      <c r="C37" s="11"/>
      <c r="D37" s="11"/>
      <c r="E37" s="168"/>
      <c r="F37" s="182"/>
      <c r="G37" s="201"/>
      <c r="H37" s="435"/>
      <c r="I37" s="240"/>
      <c r="J37" s="240"/>
      <c r="K37" s="230"/>
      <c r="L37" s="364"/>
      <c r="M37" s="240"/>
      <c r="N37" s="791"/>
      <c r="O37" s="887" t="str">
        <f t="shared" si="1"/>
        <v/>
      </c>
    </row>
    <row r="38" spans="1:17" s="1" customFormat="1" ht="12.95" customHeight="1">
      <c r="A38" s="163"/>
      <c r="B38" s="12"/>
      <c r="C38" s="8"/>
      <c r="D38" s="8"/>
      <c r="E38" s="8"/>
      <c r="F38" s="181">
        <v>821000</v>
      </c>
      <c r="G38" s="200"/>
      <c r="H38" s="25" t="s">
        <v>88</v>
      </c>
      <c r="I38" s="241">
        <f t="shared" ref="I38:J38" si="13">SUM(I39:I41)</f>
        <v>38000</v>
      </c>
      <c r="J38" s="241">
        <f t="shared" si="13"/>
        <v>38000</v>
      </c>
      <c r="K38" s="231">
        <f>SUM(K39:K41)</f>
        <v>14051</v>
      </c>
      <c r="L38" s="490">
        <f>SUM(L39:L41)</f>
        <v>0</v>
      </c>
      <c r="M38" s="241">
        <f>SUM(M39:M41)</f>
        <v>0</v>
      </c>
      <c r="N38" s="789">
        <f>SUM(N39:N41)</f>
        <v>0</v>
      </c>
      <c r="O38" s="886">
        <f t="shared" si="1"/>
        <v>0</v>
      </c>
    </row>
    <row r="39" spans="1:17" ht="12.95" customHeight="1">
      <c r="B39" s="10"/>
      <c r="C39" s="11"/>
      <c r="D39" s="11"/>
      <c r="E39" s="168"/>
      <c r="F39" s="182">
        <v>821200</v>
      </c>
      <c r="G39" s="201"/>
      <c r="H39" s="24" t="s">
        <v>89</v>
      </c>
      <c r="I39" s="240">
        <v>0</v>
      </c>
      <c r="J39" s="240">
        <v>0</v>
      </c>
      <c r="K39" s="230">
        <v>0</v>
      </c>
      <c r="L39" s="364"/>
      <c r="M39" s="240"/>
      <c r="N39" s="828">
        <f t="shared" ref="N39:N40" si="14">SUM(L39:M39)</f>
        <v>0</v>
      </c>
      <c r="O39" s="887" t="str">
        <f t="shared" si="1"/>
        <v/>
      </c>
    </row>
    <row r="40" spans="1:17" ht="12.95" customHeight="1">
      <c r="B40" s="10"/>
      <c r="C40" s="11"/>
      <c r="D40" s="11"/>
      <c r="E40" s="168"/>
      <c r="F40" s="182">
        <v>821300</v>
      </c>
      <c r="G40" s="201"/>
      <c r="H40" s="24" t="s">
        <v>90</v>
      </c>
      <c r="I40" s="240">
        <v>38000</v>
      </c>
      <c r="J40" s="240">
        <v>38000</v>
      </c>
      <c r="K40" s="230">
        <v>14051</v>
      </c>
      <c r="L40" s="364"/>
      <c r="M40" s="240"/>
      <c r="N40" s="828">
        <f t="shared" si="14"/>
        <v>0</v>
      </c>
      <c r="O40" s="887">
        <f t="shared" si="1"/>
        <v>0</v>
      </c>
    </row>
    <row r="41" spans="1:17" ht="12.95" customHeight="1">
      <c r="B41" s="10"/>
      <c r="C41" s="11"/>
      <c r="D41" s="11"/>
      <c r="E41" s="168"/>
      <c r="F41" s="182"/>
      <c r="G41" s="201"/>
      <c r="H41" s="435"/>
      <c r="I41" s="240"/>
      <c r="J41" s="240"/>
      <c r="K41" s="230"/>
      <c r="L41" s="364"/>
      <c r="M41" s="240"/>
      <c r="N41" s="791"/>
      <c r="O41" s="887" t="str">
        <f t="shared" si="1"/>
        <v/>
      </c>
    </row>
    <row r="42" spans="1:17" s="1" customFormat="1" ht="12.95" customHeight="1">
      <c r="A42" s="163"/>
      <c r="B42" s="12"/>
      <c r="C42" s="8"/>
      <c r="D42" s="8"/>
      <c r="E42" s="8"/>
      <c r="F42" s="181"/>
      <c r="G42" s="200"/>
      <c r="H42" s="25" t="s">
        <v>91</v>
      </c>
      <c r="I42" s="401" t="s">
        <v>893</v>
      </c>
      <c r="J42" s="401" t="s">
        <v>893</v>
      </c>
      <c r="K42" s="741" t="s">
        <v>932</v>
      </c>
      <c r="L42" s="493"/>
      <c r="M42" s="401"/>
      <c r="N42" s="782"/>
      <c r="O42" s="887"/>
    </row>
    <row r="43" spans="1:17" s="1" customFormat="1" ht="12.95" customHeight="1">
      <c r="A43" s="163"/>
      <c r="B43" s="12"/>
      <c r="C43" s="8"/>
      <c r="D43" s="8"/>
      <c r="E43" s="8"/>
      <c r="F43" s="181"/>
      <c r="G43" s="200"/>
      <c r="H43" s="8" t="s">
        <v>105</v>
      </c>
      <c r="I43" s="374">
        <f t="shared" ref="I43:N43" si="15">I8+I13+I16+I28+I34+I38</f>
        <v>4252020</v>
      </c>
      <c r="J43" s="170">
        <f t="shared" si="15"/>
        <v>4442020</v>
      </c>
      <c r="K43" s="158">
        <f t="shared" ref="K43" si="16">K8+K13+K16+K28+K34+K38</f>
        <v>2930693</v>
      </c>
      <c r="L43" s="377">
        <f t="shared" si="15"/>
        <v>0</v>
      </c>
      <c r="M43" s="170">
        <f t="shared" si="15"/>
        <v>0</v>
      </c>
      <c r="N43" s="789">
        <f t="shared" si="15"/>
        <v>0</v>
      </c>
      <c r="O43" s="886">
        <f t="shared" ref="O43:O45" si="17">IF(J43=0,"",N43/J43*100)</f>
        <v>0</v>
      </c>
    </row>
    <row r="44" spans="1:17" s="1" customFormat="1" ht="12.95" customHeight="1">
      <c r="A44" s="163"/>
      <c r="B44" s="12"/>
      <c r="C44" s="8"/>
      <c r="D44" s="8"/>
      <c r="E44" s="8"/>
      <c r="F44" s="181"/>
      <c r="G44" s="200"/>
      <c r="H44" s="8" t="s">
        <v>92</v>
      </c>
      <c r="I44" s="15">
        <f t="shared" ref="I44:K45" si="18">I43</f>
        <v>4252020</v>
      </c>
      <c r="J44" s="15">
        <f t="shared" si="18"/>
        <v>4442020</v>
      </c>
      <c r="K44" s="158">
        <f t="shared" si="18"/>
        <v>2930693</v>
      </c>
      <c r="L44" s="377">
        <f t="shared" ref="L44:N45" si="19">L43</f>
        <v>0</v>
      </c>
      <c r="M44" s="170">
        <f t="shared" si="19"/>
        <v>0</v>
      </c>
      <c r="N44" s="789">
        <f t="shared" si="19"/>
        <v>0</v>
      </c>
      <c r="O44" s="886">
        <f t="shared" si="17"/>
        <v>0</v>
      </c>
    </row>
    <row r="45" spans="1:17" s="1" customFormat="1" ht="12.95" customHeight="1">
      <c r="A45" s="163"/>
      <c r="B45" s="12"/>
      <c r="C45" s="8"/>
      <c r="D45" s="8"/>
      <c r="E45" s="8"/>
      <c r="F45" s="181"/>
      <c r="G45" s="200"/>
      <c r="H45" s="8" t="s">
        <v>93</v>
      </c>
      <c r="I45" s="15">
        <f t="shared" si="18"/>
        <v>4252020</v>
      </c>
      <c r="J45" s="15">
        <f t="shared" si="18"/>
        <v>4442020</v>
      </c>
      <c r="K45" s="158">
        <f t="shared" si="18"/>
        <v>2930693</v>
      </c>
      <c r="L45" s="377">
        <f t="shared" si="19"/>
        <v>0</v>
      </c>
      <c r="M45" s="170">
        <f t="shared" si="19"/>
        <v>0</v>
      </c>
      <c r="N45" s="789">
        <f t="shared" si="19"/>
        <v>0</v>
      </c>
      <c r="O45" s="886">
        <f t="shared" si="17"/>
        <v>0</v>
      </c>
    </row>
    <row r="46" spans="1:17" ht="12.95" customHeight="1" thickBot="1">
      <c r="B46" s="16"/>
      <c r="C46" s="17"/>
      <c r="D46" s="17"/>
      <c r="E46" s="17"/>
      <c r="F46" s="183"/>
      <c r="G46" s="202"/>
      <c r="H46" s="17"/>
      <c r="I46" s="31"/>
      <c r="J46" s="31"/>
      <c r="K46" s="739"/>
      <c r="L46" s="378"/>
      <c r="M46" s="31"/>
      <c r="N46" s="829"/>
      <c r="O46" s="888"/>
    </row>
    <row r="47" spans="1:17" ht="12.95" customHeight="1">
      <c r="F47" s="184"/>
      <c r="G47" s="203"/>
      <c r="L47" s="406"/>
      <c r="N47" s="258"/>
    </row>
    <row r="48" spans="1:17" ht="12.95" customHeight="1">
      <c r="B48" s="45"/>
      <c r="F48" s="184"/>
      <c r="G48" s="203"/>
      <c r="N48" s="258"/>
    </row>
    <row r="49" spans="2:14" ht="12.95" customHeight="1">
      <c r="B49" s="45"/>
      <c r="F49" s="184"/>
      <c r="G49" s="203"/>
      <c r="N49" s="258"/>
    </row>
    <row r="50" spans="2:14" ht="12.95" customHeight="1">
      <c r="B50" s="45"/>
      <c r="F50" s="184"/>
      <c r="G50" s="203"/>
      <c r="N50" s="258"/>
    </row>
    <row r="51" spans="2:14" ht="12.95" customHeight="1">
      <c r="F51" s="184"/>
      <c r="G51" s="203"/>
      <c r="N51" s="258"/>
    </row>
    <row r="52" spans="2:14" ht="12.95" customHeight="1">
      <c r="F52" s="184"/>
      <c r="G52" s="203"/>
      <c r="N52" s="258"/>
    </row>
    <row r="53" spans="2:14" ht="12.95" customHeight="1">
      <c r="F53" s="184"/>
      <c r="G53" s="203"/>
      <c r="N53" s="258"/>
    </row>
    <row r="54" spans="2:14" ht="12.95" customHeight="1">
      <c r="F54" s="184"/>
      <c r="G54" s="203"/>
      <c r="N54" s="258"/>
    </row>
    <row r="55" spans="2:14" ht="12.95" customHeight="1">
      <c r="F55" s="184"/>
      <c r="G55" s="203"/>
      <c r="N55" s="258"/>
    </row>
    <row r="56" spans="2:14" ht="12.95" customHeight="1">
      <c r="F56" s="184"/>
      <c r="G56" s="203"/>
      <c r="N56" s="258"/>
    </row>
    <row r="57" spans="2:14" ht="12.95" customHeight="1">
      <c r="F57" s="184"/>
      <c r="G57" s="203"/>
      <c r="N57" s="258"/>
    </row>
    <row r="58" spans="2:14" ht="12.95" customHeight="1">
      <c r="F58" s="184"/>
      <c r="G58" s="203"/>
      <c r="N58" s="258"/>
    </row>
    <row r="59" spans="2:14" ht="12.95" customHeight="1">
      <c r="F59" s="184"/>
      <c r="G59" s="203"/>
      <c r="N59" s="258"/>
    </row>
    <row r="60" spans="2:14" ht="12.95" customHeight="1">
      <c r="F60" s="184"/>
      <c r="G60" s="203"/>
      <c r="N60" s="258"/>
    </row>
    <row r="61" spans="2:14" ht="12.95" customHeight="1">
      <c r="F61" s="184"/>
      <c r="G61" s="203"/>
      <c r="N61" s="258"/>
    </row>
    <row r="62" spans="2:14" ht="12.95" customHeight="1">
      <c r="F62" s="184"/>
      <c r="G62" s="203"/>
      <c r="N62" s="258"/>
    </row>
    <row r="63" spans="2:14" ht="12.95" customHeight="1">
      <c r="F63" s="184"/>
      <c r="G63" s="203"/>
      <c r="N63" s="258"/>
    </row>
    <row r="64" spans="2:14" ht="17.100000000000001" customHeight="1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203"/>
      <c r="N74" s="258"/>
    </row>
    <row r="75" spans="6:14" ht="14.25">
      <c r="F75" s="184"/>
      <c r="G75" s="203"/>
      <c r="N75" s="258"/>
    </row>
    <row r="76" spans="6:14" ht="14.25">
      <c r="F76" s="184"/>
      <c r="G76" s="203"/>
      <c r="N76" s="258"/>
    </row>
    <row r="77" spans="6:14" ht="14.25">
      <c r="F77" s="184"/>
      <c r="G77" s="203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 ht="14.25">
      <c r="F91" s="184"/>
      <c r="G91" s="184"/>
      <c r="N91" s="258"/>
    </row>
    <row r="92" spans="6:14" ht="14.25">
      <c r="F92" s="184"/>
      <c r="G92" s="184"/>
      <c r="N92" s="258"/>
    </row>
    <row r="93" spans="6:14" ht="14.25">
      <c r="F93" s="184"/>
      <c r="G93" s="184"/>
      <c r="N93" s="258"/>
    </row>
    <row r="94" spans="6:14" ht="14.25">
      <c r="F94" s="184"/>
      <c r="G94" s="184"/>
      <c r="N94" s="258"/>
    </row>
    <row r="95" spans="6:14">
      <c r="G95" s="184"/>
    </row>
    <row r="96" spans="6:14">
      <c r="G96" s="184"/>
    </row>
    <row r="97" spans="7:7">
      <c r="G97" s="184"/>
    </row>
    <row r="98" spans="7:7">
      <c r="G98" s="184"/>
    </row>
    <row r="99" spans="7:7">
      <c r="G99" s="184"/>
    </row>
    <row r="100" spans="7:7">
      <c r="G100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3"/>
  <dimension ref="A1:Q87"/>
  <sheetViews>
    <sheetView zoomScaleNormal="100" zoomScaleSheetLayoutView="100" workbookViewId="0">
      <selection activeCell="L13" sqref="L1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647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351" customFormat="1" ht="11.1" customHeight="1"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79</v>
      </c>
      <c r="D7" s="7" t="s">
        <v>80</v>
      </c>
      <c r="E7" s="422" t="s">
        <v>716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381">
        <f t="shared" ref="I8:J8" si="0">SUM(I9:I12)</f>
        <v>461340</v>
      </c>
      <c r="J8" s="381">
        <f t="shared" si="0"/>
        <v>461340</v>
      </c>
      <c r="K8" s="744">
        <f>SUM(K9:K12)</f>
        <v>329939</v>
      </c>
      <c r="L8" s="496">
        <f>SUM(L9:L12)</f>
        <v>0</v>
      </c>
      <c r="M8" s="381">
        <f>SUM(M9:M12)</f>
        <v>0</v>
      </c>
      <c r="N8" s="827">
        <f>SUM(N9:N12)</f>
        <v>0</v>
      </c>
      <c r="O8" s="886">
        <f t="shared" ref="O8:O39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34">
        <v>392250</v>
      </c>
      <c r="J9" s="234">
        <v>392250</v>
      </c>
      <c r="K9" s="745">
        <v>280186</v>
      </c>
      <c r="L9" s="369"/>
      <c r="M9" s="234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34">
        <v>69090</v>
      </c>
      <c r="J10" s="234">
        <v>69090</v>
      </c>
      <c r="K10" s="745">
        <v>49753</v>
      </c>
      <c r="L10" s="369"/>
      <c r="M10" s="234"/>
      <c r="N10" s="828">
        <f t="shared" ref="N10:N11" si="2">SUM(L10:M10)</f>
        <v>0</v>
      </c>
      <c r="O10" s="887">
        <f t="shared" si="1"/>
        <v>0</v>
      </c>
      <c r="Q10" s="51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382">
        <v>0</v>
      </c>
      <c r="J11" s="382">
        <v>0</v>
      </c>
      <c r="K11" s="746">
        <v>0</v>
      </c>
      <c r="L11" s="497"/>
      <c r="M11" s="382"/>
      <c r="N11" s="828">
        <f t="shared" si="2"/>
        <v>0</v>
      </c>
      <c r="O11" s="887" t="str">
        <f t="shared" si="1"/>
        <v/>
      </c>
      <c r="Q11" s="50"/>
    </row>
    <row r="12" spans="1:17" ht="8.1" customHeight="1">
      <c r="B12" s="10"/>
      <c r="C12" s="11"/>
      <c r="D12" s="11"/>
      <c r="E12" s="168"/>
      <c r="F12" s="182"/>
      <c r="G12" s="201"/>
      <c r="H12" s="435"/>
      <c r="I12" s="234"/>
      <c r="J12" s="234"/>
      <c r="K12" s="745"/>
      <c r="L12" s="369"/>
      <c r="M12" s="234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381">
        <f t="shared" ref="I13:J13" si="3">I14</f>
        <v>41850</v>
      </c>
      <c r="J13" s="381">
        <f t="shared" si="3"/>
        <v>41850</v>
      </c>
      <c r="K13" s="744">
        <f>K14</f>
        <v>29537</v>
      </c>
      <c r="L13" s="496">
        <f>L14</f>
        <v>0</v>
      </c>
      <c r="M13" s="38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34">
        <v>41850</v>
      </c>
      <c r="J14" s="234">
        <v>41850</v>
      </c>
      <c r="K14" s="745">
        <v>29537</v>
      </c>
      <c r="L14" s="369"/>
      <c r="M14" s="234"/>
      <c r="N14" s="828">
        <f>SUM(L14:M14)</f>
        <v>0</v>
      </c>
      <c r="O14" s="887">
        <f t="shared" si="1"/>
        <v>0</v>
      </c>
    </row>
    <row r="15" spans="1:17" ht="8.1" customHeight="1">
      <c r="B15" s="10"/>
      <c r="C15" s="11"/>
      <c r="D15" s="11"/>
      <c r="E15" s="168"/>
      <c r="F15" s="182"/>
      <c r="G15" s="201"/>
      <c r="H15" s="24"/>
      <c r="I15" s="242"/>
      <c r="J15" s="242"/>
      <c r="K15" s="229"/>
      <c r="L15" s="367"/>
      <c r="M15" s="242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J16" si="4">SUM(I17:I29)</f>
        <v>306200</v>
      </c>
      <c r="J16" s="241">
        <f t="shared" si="4"/>
        <v>311840</v>
      </c>
      <c r="K16" s="231">
        <f>SUM(K17:K29)</f>
        <v>84858</v>
      </c>
      <c r="L16" s="490">
        <f>SUM(L17:L29)</f>
        <v>0</v>
      </c>
      <c r="M16" s="241">
        <f>SUM(M17:M29)</f>
        <v>0</v>
      </c>
      <c r="N16" s="789">
        <f>SUM(N17:N29)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6500</v>
      </c>
      <c r="J17" s="242">
        <v>6500</v>
      </c>
      <c r="K17" s="229">
        <v>3463</v>
      </c>
      <c r="L17" s="367"/>
      <c r="M17" s="242"/>
      <c r="N17" s="828">
        <f t="shared" ref="N17:N29" si="5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7"/>
      <c r="M18" s="242"/>
      <c r="N18" s="828">
        <f t="shared" si="5"/>
        <v>0</v>
      </c>
      <c r="O18" s="887" t="str">
        <f t="shared" si="1"/>
        <v/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3700</v>
      </c>
      <c r="J19" s="242">
        <v>3700</v>
      </c>
      <c r="K19" s="229">
        <v>2080</v>
      </c>
      <c r="L19" s="367"/>
      <c r="M19" s="242"/>
      <c r="N19" s="828">
        <f t="shared" si="5"/>
        <v>0</v>
      </c>
      <c r="O19" s="887">
        <f t="shared" si="1"/>
        <v>0</v>
      </c>
    </row>
    <row r="20" spans="1:16" ht="12.7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14000</v>
      </c>
      <c r="J20" s="242">
        <v>19640</v>
      </c>
      <c r="K20" s="229">
        <v>18830</v>
      </c>
      <c r="L20" s="367"/>
      <c r="M20" s="242"/>
      <c r="N20" s="828">
        <f t="shared" si="5"/>
        <v>0</v>
      </c>
      <c r="O20" s="887">
        <f t="shared" si="1"/>
        <v>0</v>
      </c>
    </row>
    <row r="21" spans="1:16" s="166" customFormat="1" ht="27" customHeight="1">
      <c r="B21" s="167"/>
      <c r="C21" s="168"/>
      <c r="D21" s="168"/>
      <c r="E21" s="569" t="s">
        <v>724</v>
      </c>
      <c r="F21" s="186">
        <v>613400</v>
      </c>
      <c r="G21" s="570" t="s">
        <v>848</v>
      </c>
      <c r="H21" s="462" t="s">
        <v>840</v>
      </c>
      <c r="I21" s="403">
        <v>188000</v>
      </c>
      <c r="J21" s="403">
        <v>188000</v>
      </c>
      <c r="K21" s="251">
        <v>0</v>
      </c>
      <c r="L21" s="508"/>
      <c r="M21" s="403"/>
      <c r="N21" s="852">
        <f t="shared" ref="N21" si="6">SUM(L21:M21)</f>
        <v>0</v>
      </c>
      <c r="O21" s="887">
        <f t="shared" ref="O21" si="7">IF(J21=0,"",N21/J21*100)</f>
        <v>0</v>
      </c>
    </row>
    <row r="22" spans="1:16" ht="12.95" customHeight="1">
      <c r="B22" s="10"/>
      <c r="C22" s="11"/>
      <c r="D22" s="11"/>
      <c r="E22" s="168"/>
      <c r="F22" s="182">
        <v>613500</v>
      </c>
      <c r="G22" s="201"/>
      <c r="H22" s="24" t="s">
        <v>84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5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613600</v>
      </c>
      <c r="G23" s="201"/>
      <c r="H23" s="435" t="s">
        <v>164</v>
      </c>
      <c r="I23" s="242">
        <v>0</v>
      </c>
      <c r="J23" s="242">
        <v>0</v>
      </c>
      <c r="K23" s="229">
        <v>0</v>
      </c>
      <c r="L23" s="367"/>
      <c r="M23" s="242"/>
      <c r="N23" s="828">
        <f t="shared" si="5"/>
        <v>0</v>
      </c>
      <c r="O23" s="887" t="str">
        <f t="shared" si="1"/>
        <v/>
      </c>
    </row>
    <row r="24" spans="1:16" ht="12.95" customHeight="1">
      <c r="B24" s="10"/>
      <c r="C24" s="11"/>
      <c r="D24" s="11"/>
      <c r="E24" s="168"/>
      <c r="F24" s="182">
        <v>613700</v>
      </c>
      <c r="G24" s="201"/>
      <c r="H24" s="24" t="s">
        <v>85</v>
      </c>
      <c r="I24" s="242">
        <v>4000</v>
      </c>
      <c r="J24" s="242">
        <v>4000</v>
      </c>
      <c r="K24" s="229">
        <v>2668</v>
      </c>
      <c r="L24" s="367"/>
      <c r="M24" s="242"/>
      <c r="N24" s="828">
        <f t="shared" si="5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613800</v>
      </c>
      <c r="G25" s="201"/>
      <c r="H25" s="24" t="s">
        <v>143</v>
      </c>
      <c r="I25" s="242">
        <v>0</v>
      </c>
      <c r="J25" s="242">
        <v>0</v>
      </c>
      <c r="K25" s="229">
        <v>0</v>
      </c>
      <c r="L25" s="367"/>
      <c r="M25" s="242"/>
      <c r="N25" s="828">
        <f t="shared" si="5"/>
        <v>0</v>
      </c>
      <c r="O25" s="887" t="str">
        <f t="shared" si="1"/>
        <v/>
      </c>
    </row>
    <row r="26" spans="1:16" ht="12.95" customHeight="1">
      <c r="B26" s="10"/>
      <c r="C26" s="11"/>
      <c r="D26" s="11"/>
      <c r="E26" s="168"/>
      <c r="F26" s="182">
        <v>613800</v>
      </c>
      <c r="G26" s="201"/>
      <c r="H26" s="435" t="s">
        <v>152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6" ht="12.95" customHeight="1">
      <c r="B27" s="10"/>
      <c r="C27" s="11"/>
      <c r="D27" s="11"/>
      <c r="E27" s="168"/>
      <c r="F27" s="182">
        <v>613900</v>
      </c>
      <c r="G27" s="201"/>
      <c r="H27" s="435" t="s">
        <v>144</v>
      </c>
      <c r="I27" s="242">
        <v>35000</v>
      </c>
      <c r="J27" s="242">
        <v>35000</v>
      </c>
      <c r="K27" s="229">
        <v>23525</v>
      </c>
      <c r="L27" s="367"/>
      <c r="M27" s="242"/>
      <c r="N27" s="828">
        <f t="shared" si="5"/>
        <v>0</v>
      </c>
      <c r="O27" s="887">
        <f t="shared" si="1"/>
        <v>0</v>
      </c>
    </row>
    <row r="28" spans="1:16" ht="12.95" customHeight="1">
      <c r="B28" s="10"/>
      <c r="C28" s="11"/>
      <c r="D28" s="11"/>
      <c r="E28" s="168"/>
      <c r="F28" s="182">
        <v>613900</v>
      </c>
      <c r="G28" s="201" t="s">
        <v>520</v>
      </c>
      <c r="H28" s="435" t="s">
        <v>147</v>
      </c>
      <c r="I28" s="242">
        <v>55000</v>
      </c>
      <c r="J28" s="242">
        <v>55000</v>
      </c>
      <c r="K28" s="229">
        <v>34292</v>
      </c>
      <c r="L28" s="367"/>
      <c r="M28" s="242"/>
      <c r="N28" s="828">
        <f t="shared" si="5"/>
        <v>0</v>
      </c>
      <c r="O28" s="887">
        <f t="shared" si="1"/>
        <v>0</v>
      </c>
    </row>
    <row r="29" spans="1:16" ht="12.95" customHeight="1">
      <c r="B29" s="10"/>
      <c r="C29" s="11"/>
      <c r="D29" s="11"/>
      <c r="E29" s="168"/>
      <c r="F29" s="182">
        <v>613900</v>
      </c>
      <c r="G29" s="201"/>
      <c r="H29" s="442" t="s">
        <v>436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si="5"/>
        <v>0</v>
      </c>
      <c r="O29" s="887" t="str">
        <f t="shared" si="1"/>
        <v/>
      </c>
    </row>
    <row r="30" spans="1:16" ht="8.1" customHeight="1">
      <c r="B30" s="10"/>
      <c r="C30" s="11"/>
      <c r="D30" s="11"/>
      <c r="E30" s="168"/>
      <c r="F30" s="182"/>
      <c r="G30" s="201"/>
      <c r="H30" s="24"/>
      <c r="I30" s="242"/>
      <c r="J30" s="242"/>
      <c r="K30" s="229"/>
      <c r="L30" s="367"/>
      <c r="M30" s="242"/>
      <c r="N30" s="791"/>
      <c r="O30" s="887" t="str">
        <f t="shared" si="1"/>
        <v/>
      </c>
    </row>
    <row r="31" spans="1:16" s="1" customFormat="1" ht="12.95" customHeight="1">
      <c r="A31" s="163"/>
      <c r="B31" s="12"/>
      <c r="C31" s="8"/>
      <c r="D31" s="8"/>
      <c r="E31" s="424"/>
      <c r="F31" s="181">
        <v>614000</v>
      </c>
      <c r="G31" s="200"/>
      <c r="H31" s="25" t="s">
        <v>165</v>
      </c>
      <c r="I31" s="241">
        <f t="shared" ref="I31:N31" si="8">SUM(I32:I39)</f>
        <v>1915000</v>
      </c>
      <c r="J31" s="241">
        <f t="shared" si="8"/>
        <v>1915000</v>
      </c>
      <c r="K31" s="231">
        <f t="shared" si="8"/>
        <v>1449117</v>
      </c>
      <c r="L31" s="490">
        <f t="shared" si="8"/>
        <v>0</v>
      </c>
      <c r="M31" s="241">
        <f t="shared" si="8"/>
        <v>0</v>
      </c>
      <c r="N31" s="789">
        <f t="shared" si="8"/>
        <v>0</v>
      </c>
      <c r="O31" s="886">
        <f t="shared" si="1"/>
        <v>0</v>
      </c>
    </row>
    <row r="32" spans="1:16" s="81" customFormat="1" ht="12.75" customHeight="1">
      <c r="B32" s="77"/>
      <c r="C32" s="78"/>
      <c r="D32" s="79"/>
      <c r="E32" s="425" t="s">
        <v>717</v>
      </c>
      <c r="F32" s="186">
        <v>614100</v>
      </c>
      <c r="G32" s="205" t="s">
        <v>521</v>
      </c>
      <c r="H32" s="553" t="s">
        <v>797</v>
      </c>
      <c r="I32" s="403">
        <v>165000</v>
      </c>
      <c r="J32" s="403">
        <v>165000</v>
      </c>
      <c r="K32" s="251">
        <v>98681</v>
      </c>
      <c r="L32" s="508"/>
      <c r="M32" s="403"/>
      <c r="N32" s="828">
        <f t="shared" ref="N32:N37" si="9">SUM(L32:M32)</f>
        <v>0</v>
      </c>
      <c r="O32" s="887">
        <f t="shared" si="1"/>
        <v>0</v>
      </c>
      <c r="P32" s="80"/>
    </row>
    <row r="33" spans="1:16" ht="12.75" customHeight="1">
      <c r="B33" s="10"/>
      <c r="C33" s="11"/>
      <c r="D33" s="11"/>
      <c r="E33" s="426"/>
      <c r="F33" s="187">
        <v>614100</v>
      </c>
      <c r="G33" s="206" t="s">
        <v>522</v>
      </c>
      <c r="H33" s="459" t="s">
        <v>820</v>
      </c>
      <c r="I33" s="242">
        <v>370000</v>
      </c>
      <c r="J33" s="242">
        <v>370000</v>
      </c>
      <c r="K33" s="229">
        <v>176236</v>
      </c>
      <c r="L33" s="367"/>
      <c r="M33" s="242"/>
      <c r="N33" s="828">
        <f t="shared" si="9"/>
        <v>0</v>
      </c>
      <c r="O33" s="887">
        <f t="shared" si="1"/>
        <v>0</v>
      </c>
    </row>
    <row r="34" spans="1:16" ht="12.95" customHeight="1">
      <c r="B34" s="10"/>
      <c r="C34" s="11"/>
      <c r="D34" s="11"/>
      <c r="E34" s="427" t="s">
        <v>717</v>
      </c>
      <c r="F34" s="182">
        <v>614200</v>
      </c>
      <c r="G34" s="201" t="s">
        <v>523</v>
      </c>
      <c r="H34" s="459" t="s">
        <v>104</v>
      </c>
      <c r="I34" s="242">
        <v>150000</v>
      </c>
      <c r="J34" s="242">
        <v>150000</v>
      </c>
      <c r="K34" s="229">
        <v>119200</v>
      </c>
      <c r="L34" s="367"/>
      <c r="M34" s="242"/>
      <c r="N34" s="828">
        <f t="shared" si="9"/>
        <v>0</v>
      </c>
      <c r="O34" s="887">
        <f t="shared" si="1"/>
        <v>0</v>
      </c>
    </row>
    <row r="35" spans="1:16" s="81" customFormat="1" ht="27.75" customHeight="1">
      <c r="B35" s="77"/>
      <c r="C35" s="78"/>
      <c r="D35" s="78"/>
      <c r="E35" s="428" t="s">
        <v>720</v>
      </c>
      <c r="F35" s="186">
        <v>614200</v>
      </c>
      <c r="G35" s="205" t="s">
        <v>524</v>
      </c>
      <c r="H35" s="554" t="s">
        <v>600</v>
      </c>
      <c r="I35" s="403">
        <v>20000</v>
      </c>
      <c r="J35" s="403">
        <v>20000</v>
      </c>
      <c r="K35" s="251">
        <v>10000</v>
      </c>
      <c r="L35" s="508"/>
      <c r="M35" s="403"/>
      <c r="N35" s="852">
        <f t="shared" si="9"/>
        <v>0</v>
      </c>
      <c r="O35" s="887">
        <f t="shared" si="1"/>
        <v>0</v>
      </c>
    </row>
    <row r="36" spans="1:16" ht="12.95" customHeight="1">
      <c r="B36" s="10"/>
      <c r="C36" s="11"/>
      <c r="D36" s="11"/>
      <c r="E36" s="427" t="s">
        <v>721</v>
      </c>
      <c r="F36" s="182">
        <v>614300</v>
      </c>
      <c r="G36" s="201" t="s">
        <v>525</v>
      </c>
      <c r="H36" s="459" t="s">
        <v>798</v>
      </c>
      <c r="I36" s="242">
        <v>370000</v>
      </c>
      <c r="J36" s="242">
        <v>370000</v>
      </c>
      <c r="K36" s="229">
        <v>277500</v>
      </c>
      <c r="L36" s="367"/>
      <c r="M36" s="242"/>
      <c r="N36" s="828">
        <f t="shared" si="9"/>
        <v>0</v>
      </c>
      <c r="O36" s="887">
        <f t="shared" si="1"/>
        <v>0</v>
      </c>
    </row>
    <row r="37" spans="1:16" ht="12.95" customHeight="1">
      <c r="B37" s="10"/>
      <c r="C37" s="11"/>
      <c r="D37" s="11"/>
      <c r="E37" s="427" t="s">
        <v>722</v>
      </c>
      <c r="F37" s="182">
        <v>614300</v>
      </c>
      <c r="G37" s="201" t="s">
        <v>526</v>
      </c>
      <c r="H37" s="459" t="s">
        <v>799</v>
      </c>
      <c r="I37" s="242">
        <v>340000</v>
      </c>
      <c r="J37" s="242">
        <v>340000</v>
      </c>
      <c r="K37" s="229">
        <v>340000</v>
      </c>
      <c r="L37" s="367"/>
      <c r="M37" s="242"/>
      <c r="N37" s="828">
        <f t="shared" si="9"/>
        <v>0</v>
      </c>
      <c r="O37" s="887">
        <f t="shared" si="1"/>
        <v>0</v>
      </c>
      <c r="P37" s="58"/>
    </row>
    <row r="38" spans="1:16" s="166" customFormat="1" ht="12.95" customHeight="1">
      <c r="B38" s="167"/>
      <c r="C38" s="168"/>
      <c r="D38" s="168"/>
      <c r="E38" s="426" t="s">
        <v>719</v>
      </c>
      <c r="F38" s="187">
        <v>614300</v>
      </c>
      <c r="G38" s="206" t="s">
        <v>613</v>
      </c>
      <c r="H38" s="555" t="s">
        <v>800</v>
      </c>
      <c r="I38" s="242">
        <v>350000</v>
      </c>
      <c r="J38" s="242">
        <v>350000</v>
      </c>
      <c r="K38" s="229">
        <v>328100</v>
      </c>
      <c r="L38" s="367"/>
      <c r="M38" s="242"/>
      <c r="N38" s="828">
        <f t="shared" ref="N38:N39" si="10">SUM(L38:M38)</f>
        <v>0</v>
      </c>
      <c r="O38" s="887">
        <f t="shared" si="1"/>
        <v>0</v>
      </c>
    </row>
    <row r="39" spans="1:16" s="166" customFormat="1" ht="12.95" customHeight="1">
      <c r="B39" s="167"/>
      <c r="C39" s="168"/>
      <c r="D39" s="168"/>
      <c r="E39" s="426" t="s">
        <v>718</v>
      </c>
      <c r="F39" s="187">
        <v>614300</v>
      </c>
      <c r="G39" s="206" t="s">
        <v>614</v>
      </c>
      <c r="H39" s="555" t="s">
        <v>801</v>
      </c>
      <c r="I39" s="242">
        <v>150000</v>
      </c>
      <c r="J39" s="242">
        <v>150000</v>
      </c>
      <c r="K39" s="229">
        <v>99400</v>
      </c>
      <c r="L39" s="367"/>
      <c r="M39" s="242"/>
      <c r="N39" s="828">
        <f t="shared" si="10"/>
        <v>0</v>
      </c>
      <c r="O39" s="887">
        <f t="shared" si="1"/>
        <v>0</v>
      </c>
    </row>
    <row r="40" spans="1:16" ht="8.1" customHeight="1">
      <c r="B40" s="10"/>
      <c r="C40" s="11"/>
      <c r="D40" s="11"/>
      <c r="E40" s="427"/>
      <c r="F40" s="182"/>
      <c r="G40" s="201"/>
      <c r="H40" s="465"/>
      <c r="I40" s="242"/>
      <c r="J40" s="242"/>
      <c r="K40" s="229"/>
      <c r="L40" s="367"/>
      <c r="M40" s="242"/>
      <c r="N40" s="791"/>
      <c r="O40" s="887" t="str">
        <f>IF(J40=0,"",N40/J40*100)</f>
        <v/>
      </c>
      <c r="P40" s="58"/>
    </row>
    <row r="41" spans="1:16" s="1" customFormat="1" ht="12.95" customHeight="1">
      <c r="A41" s="163"/>
      <c r="B41" s="12"/>
      <c r="C41" s="8"/>
      <c r="D41" s="8"/>
      <c r="E41" s="424"/>
      <c r="F41" s="181">
        <v>821000</v>
      </c>
      <c r="G41" s="200"/>
      <c r="H41" s="25" t="s">
        <v>88</v>
      </c>
      <c r="I41" s="241">
        <f t="shared" ref="I41:J41" si="11">SUM(I42:I43)</f>
        <v>231000</v>
      </c>
      <c r="J41" s="241">
        <f t="shared" si="11"/>
        <v>456593</v>
      </c>
      <c r="K41" s="231">
        <f>SUM(K42:K43)</f>
        <v>26891</v>
      </c>
      <c r="L41" s="490">
        <f>SUM(L42:L43)</f>
        <v>0</v>
      </c>
      <c r="M41" s="241">
        <f>SUM(M42:M43)</f>
        <v>0</v>
      </c>
      <c r="N41" s="789">
        <f>SUM(N42:N43)</f>
        <v>0</v>
      </c>
      <c r="O41" s="886">
        <f>IF(J41=0,"",N41/J41*100)</f>
        <v>0</v>
      </c>
    </row>
    <row r="42" spans="1:16" ht="12.95" customHeight="1">
      <c r="B42" s="10"/>
      <c r="C42" s="11"/>
      <c r="D42" s="11"/>
      <c r="E42" s="427"/>
      <c r="F42" s="182">
        <v>821200</v>
      </c>
      <c r="G42" s="201"/>
      <c r="H42" s="24" t="s">
        <v>89</v>
      </c>
      <c r="I42" s="240">
        <v>200000</v>
      </c>
      <c r="J42" s="240">
        <v>425593</v>
      </c>
      <c r="K42" s="230">
        <v>0</v>
      </c>
      <c r="L42" s="364"/>
      <c r="M42" s="240"/>
      <c r="N42" s="828">
        <f t="shared" ref="N42:N43" si="12">SUM(L42:M42)</f>
        <v>0</v>
      </c>
      <c r="O42" s="887">
        <f>IF(J42=0,"",N42/J42*100)</f>
        <v>0</v>
      </c>
    </row>
    <row r="43" spans="1:16" ht="12.95" customHeight="1">
      <c r="B43" s="10"/>
      <c r="C43" s="11"/>
      <c r="D43" s="11"/>
      <c r="E43" s="427"/>
      <c r="F43" s="182">
        <v>821300</v>
      </c>
      <c r="G43" s="201"/>
      <c r="H43" s="24" t="s">
        <v>90</v>
      </c>
      <c r="I43" s="242">
        <v>31000</v>
      </c>
      <c r="J43" s="242">
        <v>31000</v>
      </c>
      <c r="K43" s="229">
        <v>26891</v>
      </c>
      <c r="L43" s="367"/>
      <c r="M43" s="242"/>
      <c r="N43" s="828">
        <f t="shared" si="12"/>
        <v>0</v>
      </c>
      <c r="O43" s="887">
        <f>IF(J43=0,"",N43/J43*100)</f>
        <v>0</v>
      </c>
    </row>
    <row r="44" spans="1:16" ht="8.1" customHeight="1">
      <c r="B44" s="10"/>
      <c r="C44" s="11"/>
      <c r="D44" s="11"/>
      <c r="E44" s="168"/>
      <c r="F44" s="182"/>
      <c r="G44" s="201"/>
      <c r="H44" s="435"/>
      <c r="I44" s="240"/>
      <c r="J44" s="240"/>
      <c r="K44" s="230"/>
      <c r="L44" s="364"/>
      <c r="M44" s="240"/>
      <c r="N44" s="791"/>
      <c r="O44" s="887" t="str">
        <f>IF(J44=0,"",N44/J44*100)</f>
        <v/>
      </c>
    </row>
    <row r="45" spans="1:16" s="1" customFormat="1" ht="12.95" customHeight="1">
      <c r="A45" s="163"/>
      <c r="B45" s="12"/>
      <c r="C45" s="8"/>
      <c r="D45" s="8"/>
      <c r="E45" s="8"/>
      <c r="F45" s="181"/>
      <c r="G45" s="200"/>
      <c r="H45" s="25" t="s">
        <v>91</v>
      </c>
      <c r="I45" s="401" t="s">
        <v>834</v>
      </c>
      <c r="J45" s="401" t="s">
        <v>834</v>
      </c>
      <c r="K45" s="741" t="s">
        <v>933</v>
      </c>
      <c r="L45" s="506"/>
      <c r="M45" s="237"/>
      <c r="N45" s="782"/>
      <c r="O45" s="887"/>
    </row>
    <row r="46" spans="1:16" s="1" customFormat="1" ht="12.95" customHeight="1">
      <c r="A46" s="163"/>
      <c r="B46" s="12"/>
      <c r="C46" s="8"/>
      <c r="D46" s="8"/>
      <c r="E46" s="8"/>
      <c r="F46" s="181"/>
      <c r="G46" s="200"/>
      <c r="H46" s="8" t="s">
        <v>105</v>
      </c>
      <c r="I46" s="374">
        <f t="shared" ref="I46:N46" si="13">I8+I13+I16+I31+I41</f>
        <v>2955390</v>
      </c>
      <c r="J46" s="170">
        <f t="shared" si="13"/>
        <v>3186623</v>
      </c>
      <c r="K46" s="158">
        <f t="shared" si="13"/>
        <v>1920342</v>
      </c>
      <c r="L46" s="377">
        <f t="shared" si="13"/>
        <v>0</v>
      </c>
      <c r="M46" s="170">
        <f t="shared" si="13"/>
        <v>0</v>
      </c>
      <c r="N46" s="789">
        <f t="shared" si="13"/>
        <v>0</v>
      </c>
      <c r="O46" s="886">
        <f>IF(J46=0,"",N46/J46*100)</f>
        <v>0</v>
      </c>
    </row>
    <row r="47" spans="1:16" s="1" customFormat="1" ht="12.95" customHeight="1">
      <c r="A47" s="163"/>
      <c r="B47" s="12"/>
      <c r="C47" s="8"/>
      <c r="D47" s="8"/>
      <c r="E47" s="8"/>
      <c r="F47" s="181"/>
      <c r="G47" s="200"/>
      <c r="H47" s="8" t="s">
        <v>92</v>
      </c>
      <c r="I47" s="11"/>
      <c r="J47" s="11"/>
      <c r="K47" s="361"/>
      <c r="L47" s="167"/>
      <c r="M47" s="168"/>
      <c r="N47" s="835"/>
      <c r="O47" s="889"/>
    </row>
    <row r="48" spans="1:16" s="1" customFormat="1" ht="12.95" customHeight="1">
      <c r="A48" s="163"/>
      <c r="B48" s="12"/>
      <c r="C48" s="8"/>
      <c r="D48" s="8"/>
      <c r="E48" s="8"/>
      <c r="F48" s="181"/>
      <c r="G48" s="200"/>
      <c r="H48" s="8" t="s">
        <v>93</v>
      </c>
      <c r="I48" s="11"/>
      <c r="J48" s="11"/>
      <c r="K48" s="361"/>
      <c r="L48" s="167"/>
      <c r="M48" s="168"/>
      <c r="N48" s="835"/>
      <c r="O48" s="889"/>
    </row>
    <row r="49" spans="2:15" ht="8.1" customHeight="1" thickBot="1">
      <c r="B49" s="16"/>
      <c r="C49" s="17"/>
      <c r="D49" s="17"/>
      <c r="E49" s="17"/>
      <c r="F49" s="183"/>
      <c r="G49" s="202"/>
      <c r="H49" s="17"/>
      <c r="I49" s="17"/>
      <c r="J49" s="17"/>
      <c r="K49" s="362"/>
      <c r="L49" s="16"/>
      <c r="M49" s="17"/>
      <c r="N49" s="815"/>
      <c r="O49" s="888"/>
    </row>
    <row r="50" spans="2:15" ht="12.95" customHeight="1">
      <c r="F50" s="184"/>
      <c r="G50" s="203"/>
      <c r="L50" s="406"/>
      <c r="N50" s="258"/>
    </row>
    <row r="51" spans="2:15" ht="17.100000000000001" customHeight="1">
      <c r="F51" s="184"/>
      <c r="G51" s="203"/>
      <c r="N51" s="557"/>
    </row>
    <row r="52" spans="2:15" ht="17.100000000000001" customHeight="1">
      <c r="B52" s="45"/>
      <c r="F52" s="184"/>
      <c r="G52" s="203"/>
      <c r="N52" s="258"/>
    </row>
    <row r="53" spans="2:15" ht="17.100000000000001" customHeight="1">
      <c r="B53" s="45"/>
      <c r="F53" s="184"/>
      <c r="G53" s="203"/>
      <c r="N53" s="258"/>
    </row>
    <row r="54" spans="2:15" ht="14.25">
      <c r="B54" s="45"/>
      <c r="F54" s="184"/>
      <c r="G54" s="203"/>
      <c r="N54" s="258"/>
    </row>
    <row r="55" spans="2:15" ht="14.25">
      <c r="B55" s="45"/>
      <c r="F55" s="184"/>
      <c r="G55" s="203"/>
      <c r="N55" s="258"/>
    </row>
    <row r="56" spans="2:15" ht="14.25">
      <c r="F56" s="184"/>
      <c r="G56" s="203"/>
      <c r="N56" s="258"/>
    </row>
    <row r="57" spans="2:15" ht="14.25">
      <c r="F57" s="184"/>
      <c r="G57" s="203"/>
      <c r="N57" s="258"/>
    </row>
    <row r="58" spans="2:15" ht="14.25">
      <c r="F58" s="184"/>
      <c r="G58" s="203"/>
      <c r="N58" s="258"/>
    </row>
    <row r="59" spans="2:15" ht="14.25">
      <c r="F59" s="184"/>
      <c r="G59" s="203"/>
      <c r="N59" s="258"/>
    </row>
    <row r="60" spans="2:15" ht="14.25">
      <c r="F60" s="184"/>
      <c r="G60" s="203"/>
      <c r="N60" s="258"/>
    </row>
    <row r="61" spans="2:15" ht="14.25">
      <c r="F61" s="184"/>
      <c r="G61" s="203"/>
      <c r="N61" s="258"/>
    </row>
    <row r="62" spans="2:15" ht="14.25">
      <c r="F62" s="184"/>
      <c r="G62" s="203"/>
      <c r="N62" s="258"/>
    </row>
    <row r="63" spans="2:15" ht="14.25">
      <c r="F63" s="184"/>
      <c r="G63" s="203"/>
      <c r="N63" s="258"/>
    </row>
    <row r="64" spans="2:15" ht="14.25">
      <c r="F64" s="184"/>
      <c r="G64" s="203"/>
      <c r="N64" s="258"/>
    </row>
    <row r="65" spans="6:14" ht="14.25">
      <c r="F65" s="184"/>
      <c r="G65" s="184"/>
      <c r="N65" s="258"/>
    </row>
    <row r="66" spans="6:14" ht="14.25">
      <c r="F66" s="184"/>
      <c r="G66" s="184"/>
      <c r="N66" s="258"/>
    </row>
    <row r="67" spans="6:14" ht="14.25">
      <c r="F67" s="184"/>
      <c r="G67" s="184"/>
      <c r="N67" s="258"/>
    </row>
    <row r="68" spans="6:14" ht="14.25">
      <c r="F68" s="184"/>
      <c r="G68" s="184"/>
      <c r="N68" s="258"/>
    </row>
    <row r="69" spans="6:14" ht="14.25">
      <c r="F69" s="184"/>
      <c r="G69" s="184"/>
      <c r="N69" s="258"/>
    </row>
    <row r="70" spans="6:14" ht="14.25">
      <c r="F70" s="184"/>
      <c r="G70" s="184"/>
      <c r="N70" s="258"/>
    </row>
    <row r="71" spans="6:14" ht="14.25">
      <c r="F71" s="184"/>
      <c r="G71" s="184"/>
      <c r="N71" s="258"/>
    </row>
    <row r="72" spans="6:14" ht="14.25">
      <c r="F72" s="184"/>
      <c r="G72" s="184"/>
      <c r="N72" s="258"/>
    </row>
    <row r="73" spans="6:14" ht="14.25">
      <c r="F73" s="184"/>
      <c r="G73" s="184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>
      <c r="G82" s="184"/>
    </row>
    <row r="83" spans="6:14">
      <c r="G83" s="184"/>
    </row>
    <row r="84" spans="6:14">
      <c r="G84" s="184"/>
    </row>
    <row r="85" spans="6:14">
      <c r="G85" s="184"/>
    </row>
    <row r="86" spans="6:14">
      <c r="G86" s="184"/>
    </row>
    <row r="87" spans="6:14">
      <c r="G87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5"/>
  <dimension ref="A1:S96"/>
  <sheetViews>
    <sheetView zoomScaleNormal="100" zoomScaleSheetLayoutView="100" workbookViewId="0">
      <selection activeCell="M10" sqref="M1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" width="9.140625" style="9"/>
    <col min="17" max="17" width="10.140625" style="9" bestFit="1" customWidth="1"/>
    <col min="18" max="16384" width="9.140625" style="9"/>
  </cols>
  <sheetData>
    <row r="1" spans="1:19" ht="13.5" thickBot="1"/>
    <row r="2" spans="1:19" s="81" customFormat="1" ht="20.100000000000001" customHeight="1" thickTop="1" thickBot="1">
      <c r="B2" s="963" t="s">
        <v>679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84"/>
      <c r="Q2" s="249"/>
    </row>
    <row r="3" spans="1:19" s="1" customFormat="1" ht="8.1" customHeight="1" thickTop="1" thickBot="1">
      <c r="A3" s="163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9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9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9" s="163" customFormat="1" ht="27" customHeight="1">
      <c r="B5" s="971"/>
      <c r="C5" s="973"/>
      <c r="D5" s="973"/>
      <c r="E5" s="976"/>
      <c r="F5" s="978"/>
      <c r="G5" s="976"/>
      <c r="H5" s="978"/>
      <c r="I5" s="98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9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336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9" s="2" customFormat="1" ht="12.95" customHeight="1">
      <c r="A7" s="164"/>
      <c r="B7" s="6" t="s">
        <v>126</v>
      </c>
      <c r="C7" s="7" t="s">
        <v>119</v>
      </c>
      <c r="D7" s="7" t="s">
        <v>108</v>
      </c>
      <c r="E7" s="422" t="s">
        <v>723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9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1278510</v>
      </c>
      <c r="J8" s="241">
        <f t="shared" si="0"/>
        <v>1278510</v>
      </c>
      <c r="K8" s="231">
        <f>SUM(K9:K12)</f>
        <v>912875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  <c r="Q8" s="52"/>
      <c r="R8" s="52"/>
    </row>
    <row r="9" spans="1:19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1059820</v>
      </c>
      <c r="J9" s="242">
        <v>1059820</v>
      </c>
      <c r="K9" s="229">
        <v>767608</v>
      </c>
      <c r="L9" s="367"/>
      <c r="M9" s="242"/>
      <c r="N9" s="828">
        <f>SUM(L9:M9)</f>
        <v>0</v>
      </c>
      <c r="O9" s="887">
        <f t="shared" si="1"/>
        <v>0</v>
      </c>
      <c r="Q9" s="51"/>
    </row>
    <row r="10" spans="1:19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218690</v>
      </c>
      <c r="J10" s="242">
        <v>218690</v>
      </c>
      <c r="K10" s="229">
        <v>145267</v>
      </c>
      <c r="L10" s="367"/>
      <c r="M10" s="242"/>
      <c r="N10" s="828">
        <f t="shared" ref="N10:N11" si="2">SUM(L10:M10)</f>
        <v>0</v>
      </c>
      <c r="O10" s="887">
        <f t="shared" si="1"/>
        <v>0</v>
      </c>
      <c r="Q10" s="51"/>
      <c r="S10" s="408"/>
    </row>
    <row r="11" spans="1:19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9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9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110750</v>
      </c>
      <c r="J13" s="241">
        <f t="shared" si="3"/>
        <v>110750</v>
      </c>
      <c r="K13" s="231">
        <f>K14</f>
        <v>87651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9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110750</v>
      </c>
      <c r="J14" s="242">
        <v>110750</v>
      </c>
      <c r="K14" s="229">
        <v>87651</v>
      </c>
      <c r="L14" s="367"/>
      <c r="M14" s="242"/>
      <c r="N14" s="828">
        <f>SUM(L14:M14)</f>
        <v>0</v>
      </c>
      <c r="O14" s="887">
        <f t="shared" si="1"/>
        <v>0</v>
      </c>
      <c r="Q14" s="51"/>
    </row>
    <row r="15" spans="1:19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9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SUM(I17:I26)</f>
        <v>184080</v>
      </c>
      <c r="J16" s="239">
        <f t="shared" si="4"/>
        <v>184080</v>
      </c>
      <c r="K16" s="226">
        <f>SUM(K17:K26)</f>
        <v>89444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5500</v>
      </c>
      <c r="J17" s="242">
        <v>5500</v>
      </c>
      <c r="K17" s="229">
        <v>2458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90000</v>
      </c>
      <c r="J18" s="242">
        <v>90000</v>
      </c>
      <c r="K18" s="229">
        <v>32894</v>
      </c>
      <c r="L18" s="366"/>
      <c r="M18" s="238"/>
      <c r="N18" s="828">
        <f t="shared" si="5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8500</v>
      </c>
      <c r="J19" s="242">
        <v>8500</v>
      </c>
      <c r="K19" s="229">
        <v>5689</v>
      </c>
      <c r="L19" s="366"/>
      <c r="M19" s="238"/>
      <c r="N19" s="828">
        <f t="shared" si="5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22000</v>
      </c>
      <c r="J20" s="242">
        <v>22000</v>
      </c>
      <c r="K20" s="229">
        <v>16440</v>
      </c>
      <c r="L20" s="366"/>
      <c r="M20" s="238"/>
      <c r="N20" s="828">
        <f t="shared" si="5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3500</v>
      </c>
      <c r="J21" s="242">
        <v>3500</v>
      </c>
      <c r="K21" s="229">
        <v>718</v>
      </c>
      <c r="L21" s="367"/>
      <c r="M21" s="242"/>
      <c r="N21" s="828">
        <f t="shared" si="5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23000</v>
      </c>
      <c r="J23" s="242">
        <v>23000</v>
      </c>
      <c r="K23" s="229">
        <v>14226</v>
      </c>
      <c r="L23" s="366"/>
      <c r="M23" s="238"/>
      <c r="N23" s="828">
        <f t="shared" si="5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1580</v>
      </c>
      <c r="J24" s="242">
        <v>1580</v>
      </c>
      <c r="K24" s="229">
        <v>396</v>
      </c>
      <c r="L24" s="366"/>
      <c r="M24" s="238"/>
      <c r="N24" s="828">
        <f t="shared" si="5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30000</v>
      </c>
      <c r="J25" s="242">
        <v>30000</v>
      </c>
      <c r="K25" s="229">
        <v>16623</v>
      </c>
      <c r="L25" s="367"/>
      <c r="M25" s="242"/>
      <c r="N25" s="828">
        <f t="shared" si="5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72"/>
      <c r="M26" s="233"/>
      <c r="N26" s="828">
        <f t="shared" si="5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6"/>
      <c r="M27" s="238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6">SUM(I29:I31)</f>
        <v>63000</v>
      </c>
      <c r="J28" s="241">
        <f t="shared" si="6"/>
        <v>78151</v>
      </c>
      <c r="K28" s="231">
        <f>SUM(K29:K31)</f>
        <v>17575</v>
      </c>
      <c r="L28" s="492">
        <f>SUM(L29:L31)</f>
        <v>0</v>
      </c>
      <c r="M28" s="237">
        <f>SUM(M29:M31)</f>
        <v>0</v>
      </c>
      <c r="N28" s="789">
        <f>SUM(N29:N31)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30000</v>
      </c>
      <c r="J29" s="242">
        <v>45151</v>
      </c>
      <c r="K29" s="229">
        <v>3906</v>
      </c>
      <c r="L29" s="367"/>
      <c r="M29" s="242"/>
      <c r="N29" s="828">
        <f t="shared" ref="N29:N30" si="7">SUM(L29:M29)</f>
        <v>0</v>
      </c>
      <c r="O29" s="887">
        <f t="shared" si="1"/>
        <v>0</v>
      </c>
      <c r="P29" s="45"/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33000</v>
      </c>
      <c r="J30" s="242">
        <v>33000</v>
      </c>
      <c r="K30" s="229">
        <v>13669</v>
      </c>
      <c r="L30" s="367"/>
      <c r="M30" s="242"/>
      <c r="N30" s="828">
        <f t="shared" si="7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435"/>
      <c r="I31" s="242"/>
      <c r="J31" s="242"/>
      <c r="K31" s="229"/>
      <c r="L31" s="366"/>
      <c r="M31" s="238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401" t="s">
        <v>786</v>
      </c>
      <c r="J32" s="401" t="s">
        <v>786</v>
      </c>
      <c r="K32" s="741" t="s">
        <v>934</v>
      </c>
      <c r="L32" s="506"/>
      <c r="M32" s="401"/>
      <c r="N32" s="782"/>
      <c r="O32" s="887"/>
      <c r="P32" s="61"/>
    </row>
    <row r="33" spans="1:18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8">I8+I13+I16+I28</f>
        <v>1636340</v>
      </c>
      <c r="J33" s="170">
        <f t="shared" si="8"/>
        <v>1651491</v>
      </c>
      <c r="K33" s="158">
        <f t="shared" si="8"/>
        <v>1107545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8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  <c r="R34" s="1" t="s">
        <v>145</v>
      </c>
    </row>
    <row r="35" spans="1:18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379"/>
      <c r="J35" s="161"/>
      <c r="K35" s="153"/>
      <c r="L35" s="376"/>
      <c r="M35" s="161"/>
      <c r="N35" s="791"/>
      <c r="O35" s="887" t="str">
        <f>IF(J35=0,"",N35/J35*100)</f>
        <v/>
      </c>
    </row>
    <row r="36" spans="1:18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8" ht="12.95" customHeight="1">
      <c r="F37" s="184"/>
      <c r="G37" s="203"/>
      <c r="L37" s="476"/>
      <c r="N37" s="259"/>
    </row>
    <row r="38" spans="1:18" ht="12.95" customHeight="1">
      <c r="B38" s="45"/>
      <c r="F38" s="184"/>
      <c r="G38" s="203"/>
      <c r="L38" s="476"/>
      <c r="N38" s="259"/>
    </row>
    <row r="39" spans="1:18" ht="12.95" customHeight="1">
      <c r="B39" s="45"/>
      <c r="F39" s="184"/>
      <c r="G39" s="203"/>
      <c r="N39" s="259"/>
    </row>
    <row r="40" spans="1:18" ht="12.95" customHeight="1">
      <c r="B40" s="45"/>
      <c r="F40" s="184"/>
      <c r="G40" s="203"/>
      <c r="N40" s="259"/>
    </row>
    <row r="41" spans="1:18" ht="12.95" customHeight="1">
      <c r="B41" s="45"/>
      <c r="F41" s="184"/>
      <c r="G41" s="203"/>
      <c r="N41" s="259"/>
    </row>
    <row r="42" spans="1:18" ht="12.95" customHeight="1">
      <c r="B42" s="45"/>
      <c r="F42" s="184"/>
      <c r="G42" s="203"/>
      <c r="N42" s="259"/>
    </row>
    <row r="43" spans="1:18" ht="12.95" customHeight="1">
      <c r="B43" s="45"/>
      <c r="F43" s="184"/>
      <c r="G43" s="203"/>
      <c r="N43" s="259"/>
    </row>
    <row r="44" spans="1:18" ht="12.95" customHeight="1">
      <c r="B44" s="45"/>
      <c r="F44" s="184"/>
      <c r="G44" s="203"/>
      <c r="N44" s="259"/>
    </row>
    <row r="45" spans="1:18" ht="12.95" customHeight="1">
      <c r="B45" s="45"/>
      <c r="F45" s="184"/>
      <c r="G45" s="203"/>
      <c r="N45" s="259"/>
    </row>
    <row r="46" spans="1:18" ht="12.95" customHeight="1">
      <c r="B46" s="45"/>
      <c r="F46" s="184"/>
      <c r="G46" s="203"/>
      <c r="N46" s="259"/>
    </row>
    <row r="47" spans="1:18" ht="12.95" customHeight="1">
      <c r="B47" s="45"/>
      <c r="F47" s="184"/>
      <c r="G47" s="203"/>
      <c r="N47" s="259"/>
    </row>
    <row r="48" spans="1:18" ht="12.95" customHeight="1">
      <c r="B48" s="45"/>
      <c r="F48" s="184"/>
      <c r="G48" s="203"/>
      <c r="N48" s="259"/>
    </row>
    <row r="49" spans="2:14" ht="12.95" customHeight="1">
      <c r="B49" s="45"/>
      <c r="F49" s="184"/>
      <c r="G49" s="203"/>
      <c r="N49" s="259"/>
    </row>
    <row r="50" spans="2:14" ht="12.95" customHeight="1">
      <c r="B50" s="45"/>
      <c r="F50" s="184"/>
      <c r="G50" s="203"/>
      <c r="N50" s="259"/>
    </row>
    <row r="51" spans="2:14" ht="12.95" customHeight="1">
      <c r="B51" s="45"/>
      <c r="F51" s="184"/>
      <c r="G51" s="203"/>
      <c r="N51" s="259"/>
    </row>
    <row r="52" spans="2:14" ht="12.95" customHeight="1">
      <c r="F52" s="184"/>
      <c r="G52" s="203"/>
      <c r="N52" s="259"/>
    </row>
    <row r="53" spans="2:14" ht="12.95" customHeight="1">
      <c r="F53" s="184"/>
      <c r="G53" s="203"/>
      <c r="N53" s="259"/>
    </row>
    <row r="54" spans="2:14" ht="12.95" customHeight="1">
      <c r="F54" s="184"/>
      <c r="G54" s="203"/>
      <c r="N54" s="259"/>
    </row>
    <row r="55" spans="2:14" ht="12.95" customHeight="1">
      <c r="F55" s="184"/>
      <c r="G55" s="203"/>
      <c r="N55" s="259"/>
    </row>
    <row r="56" spans="2:14" ht="12.95" customHeight="1">
      <c r="F56" s="184"/>
      <c r="G56" s="203"/>
      <c r="N56" s="259"/>
    </row>
    <row r="57" spans="2:14" ht="12.95" customHeight="1">
      <c r="F57" s="184"/>
      <c r="G57" s="203"/>
      <c r="N57" s="259"/>
    </row>
    <row r="58" spans="2:14" ht="12.95" customHeight="1">
      <c r="F58" s="184"/>
      <c r="G58" s="203"/>
      <c r="N58" s="259"/>
    </row>
    <row r="59" spans="2:14" ht="12.95" customHeight="1">
      <c r="F59" s="184"/>
      <c r="G59" s="203"/>
      <c r="N59" s="259"/>
    </row>
    <row r="60" spans="2:14" ht="17.100000000000001" customHeight="1">
      <c r="F60" s="184"/>
      <c r="G60" s="203"/>
      <c r="N60" s="259"/>
    </row>
    <row r="61" spans="2:14" ht="14.25">
      <c r="F61" s="184"/>
      <c r="G61" s="203"/>
      <c r="N61" s="259"/>
    </row>
    <row r="62" spans="2:14" ht="14.25">
      <c r="F62" s="184"/>
      <c r="G62" s="203"/>
      <c r="N62" s="259"/>
    </row>
    <row r="63" spans="2:14" ht="14.25">
      <c r="F63" s="184"/>
      <c r="G63" s="203"/>
      <c r="N63" s="259"/>
    </row>
    <row r="64" spans="2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3">
    <mergeCell ref="K4:K5"/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topLeftCell="A4" zoomScaleNormal="100" zoomScaleSheetLayoutView="100" workbookViewId="0">
      <selection activeCell="K16" sqref="K16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678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4" t="s">
        <v>126</v>
      </c>
      <c r="C7" s="65" t="s">
        <v>119</v>
      </c>
      <c r="D7" s="65" t="s">
        <v>113</v>
      </c>
      <c r="E7" s="423" t="s">
        <v>723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N8" si="0">SUM(I9:I12)</f>
        <v>1095940</v>
      </c>
      <c r="J8" s="241">
        <f t="shared" si="0"/>
        <v>1095940</v>
      </c>
      <c r="K8" s="231">
        <f>SUM(K9:K12)</f>
        <v>805162</v>
      </c>
      <c r="L8" s="490">
        <f t="shared" si="0"/>
        <v>0</v>
      </c>
      <c r="M8" s="241">
        <f t="shared" si="0"/>
        <v>0</v>
      </c>
      <c r="N8" s="827">
        <f t="shared" si="0"/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>893740+2*900+4*500+200</f>
        <v>897740</v>
      </c>
      <c r="J9" s="242">
        <v>897740</v>
      </c>
      <c r="K9" s="229">
        <v>674690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>183960+1000+2*1920+4*1100+5000</f>
        <v>198200</v>
      </c>
      <c r="J10" s="242">
        <v>198200</v>
      </c>
      <c r="K10" s="229">
        <v>130472</v>
      </c>
      <c r="L10" s="367"/>
      <c r="M10" s="242"/>
      <c r="N10" s="828">
        <f t="shared" ref="N10:N11" si="2">SUM(L10:M10)</f>
        <v>0</v>
      </c>
      <c r="O10" s="887">
        <f t="shared" si="1"/>
        <v>0</v>
      </c>
      <c r="Q10" s="53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N13" si="3">I14</f>
        <v>101570</v>
      </c>
      <c r="J13" s="241">
        <f t="shared" si="3"/>
        <v>101570</v>
      </c>
      <c r="K13" s="231">
        <f>K14</f>
        <v>72486</v>
      </c>
      <c r="L13" s="490">
        <f t="shared" si="3"/>
        <v>0</v>
      </c>
      <c r="M13" s="241">
        <f t="shared" si="3"/>
        <v>0</v>
      </c>
      <c r="N13" s="827">
        <f t="shared" si="3"/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>100250+2*300+4*180</f>
        <v>101570</v>
      </c>
      <c r="J14" s="242">
        <v>101570</v>
      </c>
      <c r="K14" s="229">
        <v>72486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N16" si="4">SUM(I17:I26)</f>
        <v>200030</v>
      </c>
      <c r="J16" s="239">
        <f t="shared" ref="J16" si="5">SUM(J17:J26)</f>
        <v>200030</v>
      </c>
      <c r="K16" s="226">
        <f>SUM(K17:K26)</f>
        <v>107716</v>
      </c>
      <c r="L16" s="491">
        <f t="shared" si="4"/>
        <v>0</v>
      </c>
      <c r="M16" s="239">
        <f t="shared" si="4"/>
        <v>0</v>
      </c>
      <c r="N16" s="789">
        <f t="shared" si="4"/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5000</v>
      </c>
      <c r="J17" s="242">
        <v>5000</v>
      </c>
      <c r="K17" s="229">
        <v>3158</v>
      </c>
      <c r="L17" s="367"/>
      <c r="M17" s="242"/>
      <c r="N17" s="828">
        <f t="shared" ref="N17:N26" si="6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110000</v>
      </c>
      <c r="J18" s="242">
        <v>110000</v>
      </c>
      <c r="K18" s="229">
        <v>43312</v>
      </c>
      <c r="L18" s="366"/>
      <c r="M18" s="238"/>
      <c r="N18" s="828">
        <f t="shared" si="6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14500</v>
      </c>
      <c r="J19" s="242">
        <v>14500</v>
      </c>
      <c r="K19" s="229">
        <v>10345</v>
      </c>
      <c r="L19" s="367"/>
      <c r="M19" s="242"/>
      <c r="N19" s="828">
        <f t="shared" si="6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24000</v>
      </c>
      <c r="J20" s="242">
        <v>24000</v>
      </c>
      <c r="K20" s="229">
        <v>16324</v>
      </c>
      <c r="L20" s="367"/>
      <c r="M20" s="242"/>
      <c r="N20" s="828">
        <f t="shared" si="6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500</v>
      </c>
      <c r="J21" s="242">
        <v>500</v>
      </c>
      <c r="K21" s="229">
        <v>314</v>
      </c>
      <c r="L21" s="367"/>
      <c r="M21" s="242"/>
      <c r="N21" s="828">
        <f t="shared" si="6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6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28000</v>
      </c>
      <c r="J23" s="242">
        <v>28000</v>
      </c>
      <c r="K23" s="229">
        <v>20848</v>
      </c>
      <c r="L23" s="367"/>
      <c r="M23" s="242"/>
      <c r="N23" s="828">
        <f t="shared" si="6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1030</v>
      </c>
      <c r="J24" s="242">
        <v>1030</v>
      </c>
      <c r="K24" s="229">
        <v>0</v>
      </c>
      <c r="L24" s="367"/>
      <c r="M24" s="242"/>
      <c r="N24" s="828">
        <f t="shared" si="6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17000</v>
      </c>
      <c r="J25" s="242">
        <v>17000</v>
      </c>
      <c r="K25" s="229">
        <v>13415</v>
      </c>
      <c r="L25" s="367"/>
      <c r="M25" s="242"/>
      <c r="N25" s="828">
        <f t="shared" si="6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8"/>
      <c r="M26" s="235"/>
      <c r="N26" s="828">
        <f t="shared" si="6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N28" si="7">SUM(I29:I30)</f>
        <v>40000</v>
      </c>
      <c r="J28" s="241">
        <f t="shared" ref="J28" si="8">SUM(J29:J30)</f>
        <v>40000</v>
      </c>
      <c r="K28" s="231">
        <f>SUM(K29:K30)</f>
        <v>7010</v>
      </c>
      <c r="L28" s="490">
        <f t="shared" si="7"/>
        <v>0</v>
      </c>
      <c r="M28" s="241">
        <f t="shared" si="7"/>
        <v>0</v>
      </c>
      <c r="N28" s="789">
        <f t="shared" si="7"/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5">
        <v>821200</v>
      </c>
      <c r="G29" s="204"/>
      <c r="H29" s="438" t="s">
        <v>89</v>
      </c>
      <c r="I29" s="242">
        <v>10000</v>
      </c>
      <c r="J29" s="242">
        <v>10000</v>
      </c>
      <c r="K29" s="229">
        <v>0</v>
      </c>
      <c r="L29" s="367"/>
      <c r="M29" s="242"/>
      <c r="N29" s="828">
        <f t="shared" ref="N29:N30" si="9">SUM(L29:M29)</f>
        <v>0</v>
      </c>
      <c r="O29" s="887">
        <f t="shared" si="1"/>
        <v>0</v>
      </c>
      <c r="P29" s="45"/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30000</v>
      </c>
      <c r="J30" s="242">
        <v>30000</v>
      </c>
      <c r="K30" s="229">
        <v>7010</v>
      </c>
      <c r="L30" s="367"/>
      <c r="M30" s="242"/>
      <c r="N30" s="828">
        <f t="shared" si="9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42"/>
      <c r="J31" s="242"/>
      <c r="K31" s="229"/>
      <c r="L31" s="367"/>
      <c r="M31" s="242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862</v>
      </c>
      <c r="J32" s="384" t="s">
        <v>862</v>
      </c>
      <c r="K32" s="494" t="s">
        <v>934</v>
      </c>
      <c r="L32" s="493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0">I8+I13+I16+I28</f>
        <v>1437540</v>
      </c>
      <c r="J33" s="170">
        <f t="shared" si="10"/>
        <v>1437540</v>
      </c>
      <c r="K33" s="158">
        <f t="shared" si="10"/>
        <v>992374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/>
      <c r="J34" s="15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L37" s="406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B42" s="45"/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D307"/>
  <sheetViews>
    <sheetView topLeftCell="A4" zoomScaleNormal="100" workbookViewId="0">
      <selection activeCell="S6" sqref="S6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style="729" customWidth="1"/>
    <col min="7" max="7" width="20.7109375" customWidth="1"/>
    <col min="8" max="8" width="9.28515625" customWidth="1"/>
    <col min="9" max="9" width="6.42578125" customWidth="1"/>
    <col min="11" max="12" width="15.7109375" customWidth="1"/>
    <col min="13" max="13" width="8.7109375" customWidth="1"/>
  </cols>
  <sheetData>
    <row r="1" spans="2:30" ht="15" customHeight="1">
      <c r="B1" s="930" t="s">
        <v>912</v>
      </c>
      <c r="C1" s="931"/>
      <c r="D1" s="906"/>
      <c r="E1" s="906"/>
      <c r="F1" s="906"/>
      <c r="G1" s="906"/>
      <c r="H1" s="90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2:30" ht="15" customHeight="1">
      <c r="B2" s="906"/>
      <c r="C2" s="906"/>
      <c r="D2" s="906"/>
      <c r="E2" s="906"/>
      <c r="F2" s="906"/>
      <c r="G2" s="906"/>
      <c r="H2" s="90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2" customHeight="1">
      <c r="B3" s="906"/>
      <c r="C3" s="906"/>
      <c r="D3" s="906"/>
      <c r="E3" s="906"/>
      <c r="F3" s="906"/>
      <c r="G3" s="906"/>
      <c r="H3" s="90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s="855" customFormat="1" ht="9" customHeight="1"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</row>
    <row r="5" spans="2:30" ht="18.75" customHeight="1">
      <c r="B5" s="928" t="s">
        <v>918</v>
      </c>
      <c r="C5" s="928"/>
      <c r="D5" s="928"/>
      <c r="E5" s="928"/>
      <c r="F5" s="928"/>
      <c r="G5" s="928"/>
      <c r="H5" s="92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2:30" ht="15" customHeight="1">
      <c r="B6" s="929" t="s">
        <v>868</v>
      </c>
      <c r="C6" s="929"/>
      <c r="D6" s="929"/>
      <c r="E6" s="929"/>
      <c r="F6" s="929"/>
      <c r="G6" s="929"/>
      <c r="H6" s="929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2:30" ht="15" customHeight="1">
      <c r="B7" s="87"/>
      <c r="C7" s="87"/>
      <c r="D7" s="41"/>
      <c r="E7" s="41"/>
      <c r="F7" s="41"/>
      <c r="G7" s="41"/>
      <c r="H7" s="478"/>
      <c r="I7" s="47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2:30" s="855" customFormat="1" ht="15" customHeight="1">
      <c r="B8" s="87" t="s">
        <v>869</v>
      </c>
      <c r="C8" s="87"/>
      <c r="D8" s="41"/>
      <c r="E8" s="41"/>
      <c r="F8" s="41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</row>
    <row r="9" spans="2:30" s="855" customFormat="1" ht="6.75" customHeight="1">
      <c r="B9" s="34"/>
      <c r="C9" s="34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</row>
    <row r="10" spans="2:30" s="855" customFormat="1" ht="15" customHeight="1">
      <c r="B10" s="34" t="s">
        <v>870</v>
      </c>
      <c r="C10" s="34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3"/>
      <c r="X10" s="863"/>
      <c r="Y10" s="863"/>
      <c r="Z10" s="863"/>
      <c r="AA10" s="863"/>
      <c r="AB10" s="863"/>
    </row>
    <row r="11" spans="2:30" s="855" customFormat="1" ht="17.25" customHeight="1">
      <c r="B11" s="927" t="s">
        <v>919</v>
      </c>
      <c r="C11" s="932"/>
      <c r="D11" s="932"/>
      <c r="E11" s="932"/>
      <c r="F11" s="932"/>
      <c r="G11" s="932"/>
      <c r="H11" s="906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</row>
    <row r="12" spans="2:30" s="855" customFormat="1" ht="12.75" customHeight="1">
      <c r="B12" s="860" t="s">
        <v>871</v>
      </c>
      <c r="C12" s="353"/>
      <c r="D12" s="353"/>
      <c r="E12" s="35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863"/>
      <c r="AB12" s="863"/>
    </row>
    <row r="13" spans="2:30" ht="6.75" customHeight="1">
      <c r="B13" s="34"/>
      <c r="C13" s="34"/>
      <c r="D13" s="478"/>
      <c r="E13" s="478"/>
      <c r="G13" s="478"/>
      <c r="H13" s="478"/>
      <c r="I13" s="478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2:30" s="280" customFormat="1" ht="41.25" customHeight="1">
      <c r="B14" s="281" t="s">
        <v>195</v>
      </c>
      <c r="C14" s="282" t="s">
        <v>535</v>
      </c>
      <c r="D14" s="282" t="s">
        <v>920</v>
      </c>
      <c r="E14" s="282" t="s">
        <v>850</v>
      </c>
      <c r="F14" s="323" t="s">
        <v>921</v>
      </c>
      <c r="G14" s="323" t="s">
        <v>922</v>
      </c>
      <c r="H14" s="282" t="s">
        <v>857</v>
      </c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</row>
    <row r="15" spans="2:30" s="331" customFormat="1" ht="10.5" customHeight="1">
      <c r="B15" s="332">
        <v>1</v>
      </c>
      <c r="C15" s="332"/>
      <c r="D15" s="333">
        <v>2</v>
      </c>
      <c r="E15" s="333">
        <v>3</v>
      </c>
      <c r="F15" s="333">
        <v>4</v>
      </c>
      <c r="G15" s="333">
        <v>5</v>
      </c>
      <c r="H15" s="332" t="s">
        <v>855</v>
      </c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</row>
    <row r="16" spans="2:30" s="280" customFormat="1" ht="14.1" customHeight="1">
      <c r="B16" s="284" t="s">
        <v>548</v>
      </c>
      <c r="C16" s="284"/>
      <c r="D16" s="285">
        <f>D17+D18+D19+D20+D21</f>
        <v>57492550</v>
      </c>
      <c r="E16" s="285">
        <f>E17+E18+E19+E20+E21</f>
        <v>57498190</v>
      </c>
      <c r="F16" s="324">
        <f>F17+F18+F19+F20+F21</f>
        <v>32064926</v>
      </c>
      <c r="G16" s="324">
        <f>G17+G18+G19+G20+G21</f>
        <v>9241176</v>
      </c>
      <c r="H16" s="286">
        <f>IF(E16=0,,G16/E16*100)</f>
        <v>16.072116357054021</v>
      </c>
      <c r="I16" s="106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</row>
    <row r="17" spans="2:30" s="280" customFormat="1" ht="12.95" customHeight="1">
      <c r="B17" s="287" t="s">
        <v>536</v>
      </c>
      <c r="C17" s="288">
        <v>710</v>
      </c>
      <c r="D17" s="289">
        <f>Prihodi!D5</f>
        <v>44412420</v>
      </c>
      <c r="E17" s="289">
        <f>Prihodi!E5</f>
        <v>44412420</v>
      </c>
      <c r="F17" s="289">
        <f>Prihodi!F5</f>
        <v>22465856</v>
      </c>
      <c r="G17" s="277">
        <f>Prihodi!G5</f>
        <v>0</v>
      </c>
      <c r="H17" s="290">
        <f t="shared" ref="H17:H44" si="0">IF(E17=0,,G17/E17*100)</f>
        <v>0</v>
      </c>
      <c r="I17" s="106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</row>
    <row r="18" spans="2:30" s="280" customFormat="1" ht="12.95" customHeight="1">
      <c r="B18" s="287" t="s">
        <v>537</v>
      </c>
      <c r="C18" s="288">
        <v>720</v>
      </c>
      <c r="D18" s="289">
        <f>Prihodi!D62</f>
        <v>3741530</v>
      </c>
      <c r="E18" s="289">
        <f>Prihodi!E62</f>
        <v>3741530</v>
      </c>
      <c r="F18" s="289">
        <f>Prihodi!F62</f>
        <v>1790385</v>
      </c>
      <c r="G18" s="277">
        <f>Prihodi!G62</f>
        <v>0</v>
      </c>
      <c r="H18" s="290">
        <f t="shared" si="0"/>
        <v>0</v>
      </c>
      <c r="I18" s="106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</row>
    <row r="19" spans="2:30" s="280" customFormat="1" ht="12.95" customHeight="1">
      <c r="B19" s="287" t="s">
        <v>538</v>
      </c>
      <c r="C19" s="288">
        <v>730</v>
      </c>
      <c r="D19" s="289">
        <f>Prihodi!D178</f>
        <v>9307180</v>
      </c>
      <c r="E19" s="289">
        <f>Prihodi!E178</f>
        <v>9312820</v>
      </c>
      <c r="F19" s="289">
        <f>Prihodi!F178</f>
        <v>7776912</v>
      </c>
      <c r="G19" s="277">
        <f>Prihodi!G178</f>
        <v>9241176</v>
      </c>
      <c r="H19" s="290">
        <f t="shared" si="0"/>
        <v>99.230694891558088</v>
      </c>
      <c r="I19" s="106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</row>
    <row r="20" spans="2:30" s="280" customFormat="1" ht="12.95" customHeight="1">
      <c r="B20" s="287" t="s">
        <v>539</v>
      </c>
      <c r="C20" s="288">
        <v>740</v>
      </c>
      <c r="D20" s="289">
        <f>Prihodi!D218</f>
        <v>31030</v>
      </c>
      <c r="E20" s="289">
        <f>Prihodi!E218</f>
        <v>31030</v>
      </c>
      <c r="F20" s="289">
        <f>Prihodi!F218</f>
        <v>31016</v>
      </c>
      <c r="G20" s="277">
        <f>Prihodi!G218</f>
        <v>0</v>
      </c>
      <c r="H20" s="290">
        <f t="shared" si="0"/>
        <v>0</v>
      </c>
      <c r="I20" s="106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</row>
    <row r="21" spans="2:30" s="280" customFormat="1" ht="12.95" customHeight="1">
      <c r="B21" s="287" t="s">
        <v>540</v>
      </c>
      <c r="C21" s="288">
        <v>770</v>
      </c>
      <c r="D21" s="289">
        <f>Prihodi!D242</f>
        <v>390</v>
      </c>
      <c r="E21" s="289">
        <f>Prihodi!E242</f>
        <v>390</v>
      </c>
      <c r="F21" s="289">
        <f>Prihodi!F242</f>
        <v>757</v>
      </c>
      <c r="G21" s="277">
        <f>Prihodi!G242</f>
        <v>0</v>
      </c>
      <c r="H21" s="290">
        <f t="shared" si="0"/>
        <v>0</v>
      </c>
      <c r="I21" s="106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</row>
    <row r="22" spans="2:30" s="280" customFormat="1" ht="14.1" customHeight="1">
      <c r="B22" s="295" t="s">
        <v>549</v>
      </c>
      <c r="C22" s="296"/>
      <c r="D22" s="297">
        <f>SUM(D23:D29)</f>
        <v>53874060</v>
      </c>
      <c r="E22" s="297">
        <f>SUM(E23:E29)</f>
        <v>53977700</v>
      </c>
      <c r="F22" s="325">
        <f>SUM(F23:F29)</f>
        <v>36037059</v>
      </c>
      <c r="G22" s="325">
        <f>SUM(G23:G29)</f>
        <v>0</v>
      </c>
      <c r="H22" s="298">
        <f t="shared" si="0"/>
        <v>0</v>
      </c>
      <c r="I22" s="106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</row>
    <row r="23" spans="2:30" s="299" customFormat="1" ht="12.95" customHeight="1">
      <c r="B23" s="291" t="s">
        <v>541</v>
      </c>
      <c r="C23" s="292">
        <v>600</v>
      </c>
      <c r="D23" s="289">
        <f>Rashodi!F9</f>
        <v>910000</v>
      </c>
      <c r="E23" s="289">
        <f>Rashodi!G9</f>
        <v>910000</v>
      </c>
      <c r="F23" s="289">
        <f>Rashodi!H9</f>
        <v>666296</v>
      </c>
      <c r="G23" s="277">
        <f>Rashodi!K9</f>
        <v>0</v>
      </c>
      <c r="H23" s="294">
        <f t="shared" si="0"/>
        <v>0</v>
      </c>
      <c r="I23" s="300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</row>
    <row r="24" spans="2:30" s="299" customFormat="1" ht="12.95" customHeight="1">
      <c r="B24" s="291" t="s">
        <v>542</v>
      </c>
      <c r="C24" s="292">
        <v>611</v>
      </c>
      <c r="D24" s="289">
        <f>Rashodi!F15</f>
        <v>26622090</v>
      </c>
      <c r="E24" s="289">
        <f>Rashodi!G15</f>
        <v>26622090</v>
      </c>
      <c r="F24" s="289">
        <f>Rashodi!H15</f>
        <v>19033174</v>
      </c>
      <c r="G24" s="277">
        <f>Rashodi!K15</f>
        <v>0</v>
      </c>
      <c r="H24" s="294">
        <f t="shared" si="0"/>
        <v>0</v>
      </c>
      <c r="I24" s="300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</row>
    <row r="25" spans="2:30" s="280" customFormat="1" ht="12.95" customHeight="1">
      <c r="B25" s="291" t="s">
        <v>543</v>
      </c>
      <c r="C25" s="292">
        <v>612</v>
      </c>
      <c r="D25" s="293">
        <f>Rashodi!F21</f>
        <v>2770010</v>
      </c>
      <c r="E25" s="293">
        <f>Rashodi!G21</f>
        <v>2770010</v>
      </c>
      <c r="F25" s="293">
        <f>Rashodi!H21</f>
        <v>1956376</v>
      </c>
      <c r="G25" s="278">
        <f>Rashodi!K21</f>
        <v>0</v>
      </c>
      <c r="H25" s="294">
        <f t="shared" si="0"/>
        <v>0</v>
      </c>
      <c r="I25" s="106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</row>
    <row r="26" spans="2:30" s="280" customFormat="1" ht="12.95" customHeight="1">
      <c r="B26" s="291" t="s">
        <v>544</v>
      </c>
      <c r="C26" s="292">
        <v>613</v>
      </c>
      <c r="D26" s="293">
        <f>Rashodi!F25</f>
        <v>5631530</v>
      </c>
      <c r="E26" s="293">
        <f>Rashodi!G25</f>
        <v>5615170</v>
      </c>
      <c r="F26" s="293">
        <f>Rashodi!H25</f>
        <v>3214109</v>
      </c>
      <c r="G26" s="278">
        <f>Rashodi!K25</f>
        <v>0</v>
      </c>
      <c r="H26" s="294">
        <f>IF(E26=0,,G26/E26*100)</f>
        <v>0</v>
      </c>
      <c r="I26" s="106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</row>
    <row r="27" spans="2:30" s="280" customFormat="1" ht="12.95" customHeight="1">
      <c r="B27" s="291" t="s">
        <v>545</v>
      </c>
      <c r="C27" s="292">
        <v>614</v>
      </c>
      <c r="D27" s="293">
        <f>Rashodi!F50</f>
        <v>15960000</v>
      </c>
      <c r="E27" s="293">
        <f>Rashodi!G50</f>
        <v>16150000</v>
      </c>
      <c r="F27" s="293">
        <f>Rashodi!H50</f>
        <v>10190786</v>
      </c>
      <c r="G27" s="278">
        <f>Rashodi!K50</f>
        <v>0</v>
      </c>
      <c r="H27" s="294">
        <f t="shared" si="0"/>
        <v>0</v>
      </c>
      <c r="I27" s="106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</row>
    <row r="28" spans="2:30" s="280" customFormat="1" ht="12.95" customHeight="1">
      <c r="B28" s="291" t="s">
        <v>546</v>
      </c>
      <c r="C28" s="292">
        <v>615</v>
      </c>
      <c r="D28" s="293">
        <f>Rashodi!F90</f>
        <v>1950000</v>
      </c>
      <c r="E28" s="293">
        <f>Rashodi!G90</f>
        <v>1880000</v>
      </c>
      <c r="F28" s="293">
        <f>Rashodi!H90</f>
        <v>950000</v>
      </c>
      <c r="G28" s="278">
        <f>Rashodi!K90</f>
        <v>0</v>
      </c>
      <c r="H28" s="294">
        <f>IF(E28=0,,G28/E28*100)</f>
        <v>0</v>
      </c>
      <c r="I28" s="106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</row>
    <row r="29" spans="2:30" s="280" customFormat="1" ht="12.95" customHeight="1" thickBot="1">
      <c r="B29" s="302" t="s">
        <v>547</v>
      </c>
      <c r="C29" s="303">
        <v>616</v>
      </c>
      <c r="D29" s="304">
        <f>Rashodi!F97</f>
        <v>30430</v>
      </c>
      <c r="E29" s="304">
        <f>Rashodi!G97</f>
        <v>30430</v>
      </c>
      <c r="F29" s="304">
        <f>Rashodi!H97</f>
        <v>26318</v>
      </c>
      <c r="G29" s="279">
        <f>Rashodi!K97</f>
        <v>0</v>
      </c>
      <c r="H29" s="305">
        <f t="shared" si="0"/>
        <v>0</v>
      </c>
      <c r="I29" s="106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</row>
    <row r="30" spans="2:30" s="280" customFormat="1" ht="14.1" customHeight="1" thickTop="1" thickBot="1">
      <c r="B30" s="306" t="s">
        <v>550</v>
      </c>
      <c r="C30" s="307"/>
      <c r="D30" s="308">
        <f>D16-D22</f>
        <v>3618490</v>
      </c>
      <c r="E30" s="308">
        <f>E16-E22</f>
        <v>3520490</v>
      </c>
      <c r="F30" s="326">
        <f>F16-F22</f>
        <v>-3972133</v>
      </c>
      <c r="G30" s="326">
        <f>G16-G22</f>
        <v>9241176</v>
      </c>
      <c r="H30" s="309">
        <f t="shared" si="0"/>
        <v>262.49686833366945</v>
      </c>
      <c r="I30" s="106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</row>
    <row r="31" spans="2:30" s="280" customFormat="1" ht="14.1" customHeight="1" thickTop="1">
      <c r="B31" s="295" t="s">
        <v>551</v>
      </c>
      <c r="C31" s="296">
        <v>811</v>
      </c>
      <c r="D31" s="297">
        <f>Prihodi!D248</f>
        <v>0</v>
      </c>
      <c r="E31" s="297">
        <f>Prihodi!E248</f>
        <v>0</v>
      </c>
      <c r="F31" s="325">
        <f>Prihodi!F248</f>
        <v>0</v>
      </c>
      <c r="G31" s="325">
        <f>Prihodi!G248</f>
        <v>0</v>
      </c>
      <c r="H31" s="298">
        <f t="shared" si="0"/>
        <v>0</v>
      </c>
      <c r="I31" s="106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</row>
    <row r="32" spans="2:30" s="280" customFormat="1" ht="14.1" customHeight="1">
      <c r="B32" s="295" t="s">
        <v>552</v>
      </c>
      <c r="C32" s="296">
        <v>821</v>
      </c>
      <c r="D32" s="297">
        <f>D33</f>
        <v>3099600</v>
      </c>
      <c r="E32" s="297">
        <f>E33</f>
        <v>3559795</v>
      </c>
      <c r="F32" s="297">
        <f>F33</f>
        <v>1137324</v>
      </c>
      <c r="G32" s="325">
        <f>G33</f>
        <v>0</v>
      </c>
      <c r="H32" s="298">
        <f t="shared" si="0"/>
        <v>0</v>
      </c>
      <c r="I32" s="106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</row>
    <row r="33" spans="2:30" s="280" customFormat="1" ht="12.95" customHeight="1" thickBot="1">
      <c r="B33" s="291" t="s">
        <v>432</v>
      </c>
      <c r="C33" s="292">
        <v>821</v>
      </c>
      <c r="D33" s="293">
        <f>Rashodi!F101</f>
        <v>3099600</v>
      </c>
      <c r="E33" s="293">
        <f>Rashodi!G101</f>
        <v>3559795</v>
      </c>
      <c r="F33" s="293">
        <f>Rashodi!H101</f>
        <v>1137324</v>
      </c>
      <c r="G33" s="278">
        <f>Rashodi!K101</f>
        <v>0</v>
      </c>
      <c r="H33" s="294">
        <f>IF(E33=0,,G33/E33*100)</f>
        <v>0</v>
      </c>
      <c r="I33" s="106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</row>
    <row r="34" spans="2:30" s="280" customFormat="1" ht="14.1" customHeight="1" thickTop="1" thickBot="1">
      <c r="B34" s="310" t="s">
        <v>553</v>
      </c>
      <c r="C34" s="311"/>
      <c r="D34" s="312">
        <f>D31-D32</f>
        <v>-3099600</v>
      </c>
      <c r="E34" s="312">
        <f>E31-E32</f>
        <v>-3559795</v>
      </c>
      <c r="F34" s="327">
        <f>F31-F32</f>
        <v>-1137324</v>
      </c>
      <c r="G34" s="327">
        <f>G31-G32</f>
        <v>0</v>
      </c>
      <c r="H34" s="313">
        <f t="shared" si="0"/>
        <v>0</v>
      </c>
      <c r="I34" s="106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</row>
    <row r="35" spans="2:30" s="280" customFormat="1" ht="19.5" customHeight="1" thickTop="1" thickBot="1">
      <c r="B35" s="306" t="s">
        <v>554</v>
      </c>
      <c r="C35" s="307"/>
      <c r="D35" s="314">
        <f>D30+D34</f>
        <v>518890</v>
      </c>
      <c r="E35" s="314">
        <f>E30+E34</f>
        <v>-39305</v>
      </c>
      <c r="F35" s="328">
        <f>F30+F34</f>
        <v>-5109457</v>
      </c>
      <c r="G35" s="328">
        <f>G30+G34</f>
        <v>9241176</v>
      </c>
      <c r="H35" s="309">
        <f t="shared" si="0"/>
        <v>-23511.451469278716</v>
      </c>
      <c r="I35" s="106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</row>
    <row r="36" spans="2:30" s="280" customFormat="1" ht="14.1" customHeight="1" thickTop="1">
      <c r="B36" s="295" t="s">
        <v>555</v>
      </c>
      <c r="C36" s="296" t="s">
        <v>534</v>
      </c>
      <c r="D36" s="297">
        <f>0</f>
        <v>0</v>
      </c>
      <c r="E36" s="297">
        <f>0</f>
        <v>0</v>
      </c>
      <c r="F36" s="325">
        <f>0</f>
        <v>0</v>
      </c>
      <c r="G36" s="325">
        <f>0</f>
        <v>0</v>
      </c>
      <c r="H36" s="298">
        <f t="shared" si="0"/>
        <v>0</v>
      </c>
      <c r="I36" s="106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</row>
    <row r="37" spans="2:30" s="280" customFormat="1" ht="14.1" customHeight="1">
      <c r="B37" s="315" t="s">
        <v>772</v>
      </c>
      <c r="C37" s="316" t="s">
        <v>533</v>
      </c>
      <c r="D37" s="317">
        <f>D38</f>
        <v>518890</v>
      </c>
      <c r="E37" s="317">
        <f>E38</f>
        <v>518890</v>
      </c>
      <c r="F37" s="317">
        <f>F38</f>
        <v>515908</v>
      </c>
      <c r="G37" s="329">
        <f>G38</f>
        <v>0</v>
      </c>
      <c r="H37" s="298">
        <f t="shared" si="0"/>
        <v>0</v>
      </c>
      <c r="I37" s="106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</row>
    <row r="38" spans="2:30" s="280" customFormat="1" ht="12.95" customHeight="1" thickBot="1">
      <c r="B38" s="291" t="s">
        <v>307</v>
      </c>
      <c r="C38" s="292">
        <v>823</v>
      </c>
      <c r="D38" s="293">
        <f>Rashodi!F109</f>
        <v>518890</v>
      </c>
      <c r="E38" s="293">
        <f>Rashodi!G109</f>
        <v>518890</v>
      </c>
      <c r="F38" s="293">
        <f>Rashodi!H109</f>
        <v>515908</v>
      </c>
      <c r="G38" s="278">
        <f>Rashodi!K109</f>
        <v>0</v>
      </c>
      <c r="H38" s="294">
        <f t="shared" si="0"/>
        <v>0</v>
      </c>
      <c r="I38" s="106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</row>
    <row r="39" spans="2:30" s="280" customFormat="1" ht="14.1" customHeight="1" thickTop="1" thickBot="1">
      <c r="B39" s="310" t="s">
        <v>556</v>
      </c>
      <c r="C39" s="311"/>
      <c r="D39" s="312">
        <f>D36-D37</f>
        <v>-518890</v>
      </c>
      <c r="E39" s="312">
        <f>E36-E37</f>
        <v>-518890</v>
      </c>
      <c r="F39" s="327">
        <f>F36-F37</f>
        <v>-515908</v>
      </c>
      <c r="G39" s="327">
        <f>G36-G37</f>
        <v>0</v>
      </c>
      <c r="H39" s="313">
        <f t="shared" si="0"/>
        <v>0</v>
      </c>
      <c r="I39" s="106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</row>
    <row r="40" spans="2:30" s="280" customFormat="1" ht="14.1" customHeight="1" thickTop="1" thickBot="1">
      <c r="B40" s="310" t="s">
        <v>557</v>
      </c>
      <c r="C40" s="311"/>
      <c r="D40" s="312">
        <f>D35+D39</f>
        <v>0</v>
      </c>
      <c r="E40" s="312">
        <f>E35+E39</f>
        <v>-558195</v>
      </c>
      <c r="F40" s="327">
        <f>F35+F39</f>
        <v>-5625365</v>
      </c>
      <c r="G40" s="327">
        <f>G35+G39</f>
        <v>9241176</v>
      </c>
      <c r="H40" s="901">
        <f t="shared" si="0"/>
        <v>-1655.5461800983526</v>
      </c>
      <c r="I40" s="106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</row>
    <row r="41" spans="2:30" s="280" customFormat="1" ht="9" customHeight="1" thickTop="1">
      <c r="B41" s="318"/>
      <c r="C41" s="319"/>
      <c r="D41" s="320"/>
      <c r="E41" s="320"/>
      <c r="F41" s="330"/>
      <c r="G41" s="330"/>
      <c r="H41" s="321"/>
      <c r="I41" s="106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</row>
    <row r="42" spans="2:30" s="280" customFormat="1" ht="14.1" customHeight="1">
      <c r="B42" s="295" t="s">
        <v>558</v>
      </c>
      <c r="C42" s="296"/>
      <c r="D42" s="297">
        <f>D16+D31+D36</f>
        <v>57492550</v>
      </c>
      <c r="E42" s="297">
        <f>E16+E31+E36</f>
        <v>57498190</v>
      </c>
      <c r="F42" s="325">
        <f>F16+F31+F36</f>
        <v>32064926</v>
      </c>
      <c r="G42" s="325">
        <f>G16+G31+G36</f>
        <v>9241176</v>
      </c>
      <c r="H42" s="298">
        <f t="shared" si="0"/>
        <v>16.072116357054021</v>
      </c>
      <c r="I42" s="106"/>
      <c r="J42" s="322"/>
      <c r="K42" s="322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</row>
    <row r="43" spans="2:30" s="280" customFormat="1" ht="14.1" customHeight="1">
      <c r="B43" s="295" t="s">
        <v>559</v>
      </c>
      <c r="C43" s="296"/>
      <c r="D43" s="297">
        <f>D22+D32+D37</f>
        <v>57492550</v>
      </c>
      <c r="E43" s="297">
        <f>E22+E32+E37</f>
        <v>58056385</v>
      </c>
      <c r="F43" s="325">
        <f>F22+F32+F37</f>
        <v>37690291</v>
      </c>
      <c r="G43" s="325">
        <f>G22+G32+G37</f>
        <v>0</v>
      </c>
      <c r="H43" s="298">
        <f t="shared" si="0"/>
        <v>0</v>
      </c>
      <c r="I43" s="106"/>
      <c r="J43" s="322"/>
      <c r="K43" s="322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</row>
    <row r="44" spans="2:30" s="280" customFormat="1" ht="14.1" customHeight="1">
      <c r="B44" s="295" t="s">
        <v>560</v>
      </c>
      <c r="C44" s="296"/>
      <c r="D44" s="297">
        <f>D42-D43</f>
        <v>0</v>
      </c>
      <c r="E44" s="297">
        <f>E42-E43</f>
        <v>-558195</v>
      </c>
      <c r="F44" s="325">
        <f>F42-F43</f>
        <v>-5625365</v>
      </c>
      <c r="G44" s="325">
        <f>G42-G43</f>
        <v>9241176</v>
      </c>
      <c r="H44" s="900">
        <f t="shared" si="0"/>
        <v>-1655.5461800983526</v>
      </c>
      <c r="J44" s="283"/>
      <c r="K44" s="322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</row>
    <row r="45" spans="2:30" ht="7.5" customHeight="1">
      <c r="B45" s="88"/>
      <c r="C45" s="88"/>
      <c r="D45" s="123"/>
      <c r="E45" s="123"/>
      <c r="F45" s="123"/>
      <c r="G45" s="123"/>
      <c r="H45" s="124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2:30" ht="15" customHeight="1">
      <c r="B46" s="34"/>
      <c r="C46" s="34"/>
      <c r="D46" s="478"/>
      <c r="E46" s="353"/>
      <c r="F46" s="57"/>
      <c r="G46" s="57"/>
      <c r="H46" s="478"/>
      <c r="I46" s="47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s="855" customFormat="1" ht="15" customHeight="1">
      <c r="B47" s="34" t="s">
        <v>872</v>
      </c>
      <c r="C47" s="34"/>
      <c r="E47" s="353"/>
      <c r="F47" s="57"/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63"/>
      <c r="Y47" s="863"/>
      <c r="Z47" s="863"/>
      <c r="AA47" s="863"/>
      <c r="AB47" s="863"/>
      <c r="AC47" s="863"/>
    </row>
    <row r="48" spans="2:30" s="855" customFormat="1" ht="15" customHeight="1">
      <c r="B48" s="855" t="s">
        <v>873</v>
      </c>
      <c r="F48" s="480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  <c r="Z48" s="863"/>
      <c r="AA48" s="863"/>
      <c r="AB48" s="863"/>
      <c r="AC48" s="863"/>
    </row>
    <row r="49" spans="2:30" s="855" customFormat="1" ht="15.75" customHeight="1">
      <c r="B49" s="927" t="s">
        <v>874</v>
      </c>
      <c r="C49" s="927"/>
      <c r="D49" s="927"/>
      <c r="E49" s="927"/>
      <c r="F49" s="927"/>
      <c r="G49" s="927"/>
      <c r="H49" s="927"/>
      <c r="I49" s="863"/>
      <c r="J49" s="863"/>
      <c r="K49" s="863"/>
      <c r="L49" s="863"/>
      <c r="M49" s="863"/>
      <c r="N49" s="863"/>
      <c r="O49" s="863"/>
      <c r="P49" s="863"/>
      <c r="Q49" s="863"/>
      <c r="R49" s="863"/>
      <c r="S49" s="863"/>
      <c r="T49" s="863"/>
      <c r="U49" s="863"/>
      <c r="V49" s="863"/>
      <c r="W49" s="863"/>
      <c r="X49" s="863"/>
      <c r="Y49" s="863"/>
      <c r="Z49" s="863"/>
      <c r="AA49" s="863"/>
      <c r="AB49" s="863"/>
      <c r="AC49" s="863"/>
    </row>
    <row r="50" spans="2:30" ht="4.5" customHeight="1">
      <c r="B50" s="478"/>
      <c r="C50" s="478"/>
      <c r="D50" s="478"/>
      <c r="E50" s="478"/>
      <c r="F50" s="480"/>
      <c r="G50" s="480"/>
      <c r="H50" s="478"/>
      <c r="I50" s="478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2:30" ht="15.75" customHeight="1">
      <c r="B51" s="927"/>
      <c r="C51" s="927"/>
      <c r="D51" s="927"/>
      <c r="E51" s="927"/>
      <c r="F51" s="927"/>
      <c r="G51" s="927"/>
      <c r="H51" s="927"/>
      <c r="I51" s="92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</row>
    <row r="52" spans="2:30" ht="15" customHeight="1">
      <c r="B52" s="48"/>
      <c r="C52" s="48"/>
      <c r="D52" s="47"/>
      <c r="E52" s="47"/>
      <c r="F52" s="73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2:30" ht="15" customHeight="1">
      <c r="B53" s="47"/>
      <c r="C53" s="47"/>
      <c r="D53" s="47"/>
      <c r="E53" s="47"/>
      <c r="F53" s="73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</row>
    <row r="54" spans="2:30" ht="15" customHeight="1">
      <c r="B54" s="47"/>
      <c r="C54" s="47"/>
      <c r="D54" s="47"/>
      <c r="E54" s="47"/>
      <c r="F54" s="73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2:30" ht="15" customHeight="1">
      <c r="B55" s="47"/>
      <c r="C55" s="47"/>
      <c r="D55" s="47"/>
      <c r="E55" s="47"/>
      <c r="F55" s="73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2:30" ht="15" customHeight="1">
      <c r="B56" s="47"/>
      <c r="C56" s="47"/>
      <c r="D56" s="47"/>
      <c r="E56" s="47"/>
      <c r="F56" s="73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2:30" ht="15" customHeight="1">
      <c r="B57" s="47"/>
      <c r="C57" s="47"/>
      <c r="D57" s="47"/>
      <c r="E57" s="47"/>
      <c r="F57" s="73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2:30" ht="15" customHeight="1">
      <c r="B58" s="47"/>
      <c r="C58" s="47"/>
      <c r="D58" s="47"/>
      <c r="E58" s="47"/>
      <c r="F58" s="73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2:30" ht="15" customHeight="1">
      <c r="B59" s="47"/>
      <c r="C59" s="47"/>
      <c r="D59" s="47"/>
      <c r="E59" s="47"/>
      <c r="F59" s="73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2:30" ht="15" customHeight="1">
      <c r="B60" s="47"/>
      <c r="C60" s="47"/>
      <c r="D60" s="47"/>
      <c r="E60" s="47"/>
      <c r="F60" s="73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2:30" ht="15" customHeight="1">
      <c r="B61" s="47"/>
      <c r="C61" s="47"/>
      <c r="D61" s="47"/>
      <c r="E61" s="47"/>
      <c r="F61" s="73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2:30" ht="15" customHeight="1">
      <c r="B62" s="47"/>
      <c r="C62" s="47"/>
      <c r="D62" s="47"/>
      <c r="E62" s="47"/>
      <c r="F62" s="73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2:30" ht="15" customHeight="1">
      <c r="B63" s="47"/>
      <c r="C63" s="47"/>
      <c r="D63" s="47"/>
      <c r="E63" s="47"/>
      <c r="F63" s="73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spans="2:30" ht="15" customHeight="1">
      <c r="B64" s="47"/>
      <c r="C64" s="47"/>
      <c r="D64" s="47"/>
      <c r="E64" s="47"/>
      <c r="F64" s="73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2:30" ht="15" customHeight="1">
      <c r="B65" s="47"/>
      <c r="C65" s="47"/>
      <c r="D65" s="47"/>
      <c r="E65" s="47"/>
      <c r="F65" s="73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2:30" ht="15" customHeight="1">
      <c r="B66" s="47"/>
      <c r="C66" s="47"/>
      <c r="D66" s="47"/>
      <c r="E66" s="47"/>
      <c r="F66" s="73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2:30" ht="15" customHeight="1">
      <c r="B67" s="47"/>
      <c r="C67" s="47"/>
      <c r="D67" s="47"/>
      <c r="E67" s="47"/>
      <c r="F67" s="73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2:30" ht="15" customHeight="1">
      <c r="B68" s="47"/>
      <c r="C68" s="47"/>
      <c r="D68" s="47"/>
      <c r="E68" s="47"/>
      <c r="F68" s="73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2:30" ht="15" customHeight="1">
      <c r="B69" s="47"/>
      <c r="C69" s="47"/>
      <c r="D69" s="47"/>
      <c r="E69" s="47"/>
      <c r="F69" s="73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2:30" ht="15" customHeight="1">
      <c r="B70" s="47"/>
      <c r="C70" s="47"/>
      <c r="D70" s="47"/>
      <c r="E70" s="47"/>
      <c r="F70" s="73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2:30" ht="15" customHeight="1">
      <c r="B71" s="47"/>
      <c r="C71" s="47"/>
      <c r="D71" s="47"/>
      <c r="E71" s="47"/>
      <c r="F71" s="73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2:30" ht="15" customHeight="1">
      <c r="B72" s="47"/>
      <c r="C72" s="47"/>
      <c r="D72" s="47"/>
      <c r="E72" s="47"/>
      <c r="F72" s="73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2:30" ht="15" customHeight="1">
      <c r="B73" s="47"/>
      <c r="C73" s="47"/>
      <c r="D73" s="47"/>
      <c r="E73" s="47"/>
      <c r="F73" s="73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2:30" ht="15" customHeight="1">
      <c r="B74" s="47"/>
      <c r="C74" s="47"/>
      <c r="D74" s="47"/>
      <c r="E74" s="47"/>
      <c r="F74" s="73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2:30" ht="15" customHeight="1">
      <c r="B75" s="47"/>
      <c r="C75" s="47"/>
      <c r="D75" s="47"/>
      <c r="E75" s="47"/>
      <c r="F75" s="73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2:30" ht="15" customHeight="1">
      <c r="B76" s="47"/>
      <c r="C76" s="47"/>
      <c r="D76" s="47"/>
      <c r="E76" s="47"/>
      <c r="F76" s="73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2:30" ht="15" customHeight="1">
      <c r="B77" s="47"/>
      <c r="C77" s="47"/>
      <c r="D77" s="47"/>
      <c r="E77" s="47"/>
      <c r="F77" s="73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2:30" ht="15" customHeight="1">
      <c r="B78" s="47"/>
      <c r="C78" s="47"/>
      <c r="D78" s="47"/>
      <c r="E78" s="47"/>
      <c r="F78" s="73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2:30" ht="15" customHeight="1">
      <c r="B79" s="47"/>
      <c r="C79" s="47"/>
      <c r="D79" s="47"/>
      <c r="E79" s="47"/>
      <c r="F79" s="73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2:30" ht="15" customHeight="1">
      <c r="B80" s="47"/>
      <c r="C80" s="47"/>
      <c r="D80" s="47"/>
      <c r="E80" s="47"/>
      <c r="F80" s="73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2:30" ht="15" customHeight="1">
      <c r="B81" s="47"/>
      <c r="C81" s="47"/>
      <c r="D81" s="47"/>
      <c r="E81" s="47"/>
      <c r="F81" s="73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2:30" ht="15" customHeight="1">
      <c r="B82" s="47"/>
      <c r="C82" s="47"/>
      <c r="D82" s="47"/>
      <c r="E82" s="47"/>
      <c r="F82" s="73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2:30" ht="15" customHeight="1">
      <c r="B83" s="47"/>
      <c r="C83" s="47"/>
      <c r="D83" s="47"/>
      <c r="E83" s="47"/>
      <c r="F83" s="73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2:30" ht="15" customHeight="1">
      <c r="B84" s="47"/>
      <c r="C84" s="47"/>
      <c r="D84" s="47"/>
      <c r="E84" s="47"/>
      <c r="F84" s="73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2:30" ht="15" customHeight="1">
      <c r="B85" s="47"/>
      <c r="C85" s="47"/>
      <c r="D85" s="47"/>
      <c r="E85" s="47"/>
      <c r="F85" s="73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2:30" ht="15" customHeight="1">
      <c r="B86" s="47"/>
      <c r="C86" s="47"/>
      <c r="D86" s="47"/>
      <c r="E86" s="47"/>
      <c r="F86" s="73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2:30" ht="15" customHeight="1">
      <c r="B87" s="47"/>
      <c r="C87" s="47"/>
      <c r="D87" s="47"/>
      <c r="E87" s="47"/>
      <c r="F87" s="73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2:30" ht="15" customHeight="1">
      <c r="B88" s="47"/>
      <c r="C88" s="47"/>
      <c r="D88" s="47"/>
      <c r="E88" s="47"/>
      <c r="F88" s="73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2:30" ht="15" customHeight="1">
      <c r="B89" s="47"/>
      <c r="C89" s="47"/>
      <c r="D89" s="47"/>
      <c r="E89" s="47"/>
      <c r="F89" s="73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2:30" ht="15" customHeight="1">
      <c r="B90" s="47"/>
      <c r="C90" s="47"/>
      <c r="D90" s="47"/>
      <c r="E90" s="47"/>
      <c r="F90" s="73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2:30" ht="15" customHeight="1">
      <c r="B91" s="47"/>
      <c r="C91" s="47"/>
      <c r="D91" s="47"/>
      <c r="E91" s="47"/>
      <c r="F91" s="73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2:30" ht="15" customHeight="1">
      <c r="B92" s="47"/>
      <c r="C92" s="47"/>
      <c r="D92" s="47"/>
      <c r="E92" s="47"/>
      <c r="F92" s="73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2:30" ht="15" customHeight="1">
      <c r="B93" s="47"/>
      <c r="C93" s="47"/>
      <c r="D93" s="47"/>
      <c r="E93" s="47"/>
      <c r="F93" s="73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2:30" ht="15" customHeight="1">
      <c r="B94" s="47"/>
      <c r="C94" s="47"/>
      <c r="D94" s="47"/>
      <c r="E94" s="47"/>
      <c r="F94" s="73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2:30" ht="15" customHeight="1">
      <c r="B95" s="47"/>
      <c r="C95" s="47"/>
      <c r="D95" s="47"/>
      <c r="E95" s="47"/>
      <c r="F95" s="73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2:30" ht="15" customHeight="1">
      <c r="B96" s="47"/>
      <c r="C96" s="47"/>
      <c r="D96" s="47"/>
      <c r="E96" s="47"/>
      <c r="F96" s="73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2:30" ht="15" customHeight="1">
      <c r="B97" s="47"/>
      <c r="C97" s="47"/>
      <c r="D97" s="47"/>
      <c r="E97" s="47"/>
      <c r="F97" s="73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2:30" ht="15" customHeight="1">
      <c r="B98" s="47"/>
      <c r="C98" s="47"/>
      <c r="D98" s="47"/>
      <c r="E98" s="47"/>
      <c r="F98" s="73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2:30" ht="15" customHeight="1">
      <c r="B99" s="47"/>
      <c r="C99" s="47"/>
      <c r="D99" s="47"/>
      <c r="E99" s="47"/>
      <c r="F99" s="73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2:30" ht="15" customHeight="1">
      <c r="B100" s="47"/>
      <c r="C100" s="47"/>
      <c r="D100" s="47"/>
      <c r="E100" s="47"/>
      <c r="F100" s="73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2:30" ht="15" customHeight="1">
      <c r="B101" s="47"/>
      <c r="C101" s="47"/>
      <c r="D101" s="47"/>
      <c r="E101" s="47"/>
      <c r="F101" s="73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spans="2:30" ht="15" customHeight="1">
      <c r="B102" s="47"/>
      <c r="C102" s="47"/>
      <c r="D102" s="47"/>
      <c r="E102" s="47"/>
      <c r="F102" s="73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spans="2:30" ht="15" customHeight="1">
      <c r="B103" s="47"/>
      <c r="C103" s="47"/>
      <c r="D103" s="47"/>
      <c r="E103" s="47"/>
      <c r="F103" s="73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spans="2:30" ht="15" customHeight="1">
      <c r="B104" s="47"/>
      <c r="C104" s="47"/>
      <c r="D104" s="47"/>
      <c r="E104" s="47"/>
      <c r="F104" s="73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2:30" ht="15" customHeight="1">
      <c r="B105" s="47"/>
      <c r="C105" s="47"/>
      <c r="D105" s="47"/>
      <c r="E105" s="47"/>
      <c r="F105" s="73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spans="2:30" ht="15" customHeight="1">
      <c r="B106" s="47"/>
      <c r="C106" s="47"/>
      <c r="D106" s="47"/>
      <c r="E106" s="47"/>
      <c r="F106" s="73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spans="2:30" ht="15" customHeight="1">
      <c r="B107" s="47"/>
      <c r="C107" s="47"/>
      <c r="D107" s="47"/>
      <c r="E107" s="47"/>
      <c r="F107" s="73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spans="2:30" ht="15" customHeight="1">
      <c r="B108" s="47"/>
      <c r="C108" s="47"/>
      <c r="D108" s="47"/>
      <c r="E108" s="47"/>
      <c r="F108" s="73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spans="2:30" ht="15" customHeight="1">
      <c r="B109" s="47"/>
      <c r="C109" s="47"/>
      <c r="D109" s="47"/>
      <c r="E109" s="47"/>
      <c r="F109" s="73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spans="2:30" ht="15" customHeight="1">
      <c r="B110" s="47"/>
      <c r="C110" s="47"/>
      <c r="D110" s="47"/>
      <c r="E110" s="47"/>
      <c r="F110" s="73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spans="2:30" ht="15" customHeight="1">
      <c r="B111" s="47"/>
      <c r="C111" s="47"/>
      <c r="D111" s="47"/>
      <c r="E111" s="47"/>
      <c r="F111" s="73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spans="2:30" ht="15" customHeight="1">
      <c r="B112" s="47"/>
      <c r="C112" s="47"/>
      <c r="D112" s="47"/>
      <c r="E112" s="47"/>
      <c r="F112" s="73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spans="2:30" ht="15" customHeight="1">
      <c r="B113" s="47"/>
      <c r="C113" s="47"/>
      <c r="D113" s="47"/>
      <c r="E113" s="47"/>
      <c r="F113" s="73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spans="2:30" ht="15" customHeight="1">
      <c r="B114" s="47"/>
      <c r="C114" s="47"/>
      <c r="D114" s="47"/>
      <c r="E114" s="47"/>
      <c r="F114" s="73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spans="2:30" ht="15" customHeight="1">
      <c r="B115" s="47"/>
      <c r="C115" s="47"/>
      <c r="D115" s="47"/>
      <c r="E115" s="47"/>
      <c r="F115" s="73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spans="2:30" ht="15" customHeight="1">
      <c r="B116" s="47"/>
      <c r="C116" s="47"/>
      <c r="D116" s="47"/>
      <c r="E116" s="47"/>
      <c r="F116" s="73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spans="2:30" ht="15" customHeight="1">
      <c r="B117" s="47"/>
      <c r="C117" s="47"/>
      <c r="D117" s="47"/>
      <c r="E117" s="47"/>
      <c r="F117" s="73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spans="2:30" ht="15" customHeight="1">
      <c r="B118" s="47"/>
      <c r="C118" s="47"/>
      <c r="D118" s="47"/>
      <c r="E118" s="47"/>
      <c r="F118" s="73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spans="2:30" ht="15" customHeight="1">
      <c r="B119" s="47"/>
      <c r="C119" s="47"/>
      <c r="D119" s="47"/>
      <c r="E119" s="47"/>
      <c r="F119" s="73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spans="2:30" ht="15" customHeight="1">
      <c r="B120" s="47"/>
      <c r="C120" s="47"/>
      <c r="D120" s="47"/>
      <c r="E120" s="47"/>
      <c r="F120" s="73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spans="2:30" ht="15" customHeight="1">
      <c r="B121" s="47"/>
      <c r="C121" s="47"/>
      <c r="D121" s="47"/>
      <c r="E121" s="47"/>
      <c r="F121" s="73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spans="2:30" ht="15" customHeight="1">
      <c r="B122" s="47"/>
      <c r="C122" s="47"/>
      <c r="D122" s="47"/>
      <c r="E122" s="47"/>
      <c r="F122" s="73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spans="2:30" ht="15" customHeight="1">
      <c r="B123" s="47"/>
      <c r="C123" s="47"/>
      <c r="D123" s="47"/>
      <c r="E123" s="47"/>
      <c r="F123" s="73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spans="2:30" ht="15" customHeight="1">
      <c r="B124" s="47"/>
      <c r="C124" s="47"/>
      <c r="D124" s="47"/>
      <c r="E124" s="47"/>
      <c r="F124" s="73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spans="2:30" ht="15" customHeight="1">
      <c r="B125" s="47"/>
      <c r="C125" s="47"/>
      <c r="D125" s="47"/>
      <c r="E125" s="47"/>
      <c r="F125" s="73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spans="2:30" ht="15" customHeight="1">
      <c r="B126" s="47"/>
      <c r="C126" s="47"/>
      <c r="D126" s="47"/>
      <c r="E126" s="47"/>
      <c r="F126" s="73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spans="2:30" ht="15" customHeight="1">
      <c r="B127" s="47"/>
      <c r="C127" s="47"/>
      <c r="D127" s="47"/>
      <c r="E127" s="47"/>
      <c r="F127" s="73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2:30" ht="15" customHeight="1">
      <c r="B128" s="47"/>
      <c r="C128" s="47"/>
      <c r="D128" s="47"/>
      <c r="E128" s="47"/>
      <c r="F128" s="73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spans="2:30" ht="15" customHeight="1">
      <c r="B129" s="47"/>
      <c r="C129" s="47"/>
      <c r="D129" s="47"/>
      <c r="E129" s="47"/>
      <c r="F129" s="73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spans="2:30" ht="15" customHeight="1">
      <c r="B130" s="47"/>
      <c r="C130" s="47"/>
      <c r="D130" s="47"/>
      <c r="E130" s="47"/>
      <c r="F130" s="73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spans="2:30" ht="15" customHeight="1">
      <c r="B131" s="47"/>
      <c r="C131" s="47"/>
      <c r="D131" s="47"/>
      <c r="E131" s="47"/>
      <c r="F131" s="73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spans="2:30" ht="15" customHeight="1">
      <c r="B132" s="47"/>
      <c r="C132" s="47"/>
      <c r="D132" s="47"/>
      <c r="E132" s="47"/>
      <c r="F132" s="73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spans="2:30" ht="15" customHeight="1">
      <c r="B133" s="47"/>
      <c r="C133" s="47"/>
      <c r="D133" s="47"/>
      <c r="E133" s="47"/>
      <c r="F133" s="73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2:30" ht="15" customHeight="1">
      <c r="B134" s="47"/>
      <c r="C134" s="47"/>
      <c r="D134" s="47"/>
      <c r="E134" s="47"/>
      <c r="F134" s="73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2:30" ht="15" customHeight="1">
      <c r="B135" s="47"/>
      <c r="C135" s="47"/>
      <c r="D135" s="47"/>
      <c r="E135" s="47"/>
      <c r="F135" s="73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2:30" ht="15" customHeight="1">
      <c r="B136" s="47"/>
      <c r="C136" s="47"/>
      <c r="D136" s="47"/>
      <c r="E136" s="47"/>
      <c r="F136" s="73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2:30" ht="15" customHeight="1">
      <c r="B137" s="47"/>
      <c r="C137" s="47"/>
      <c r="D137" s="47"/>
      <c r="E137" s="47"/>
      <c r="F137" s="73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2:30" ht="15" customHeight="1">
      <c r="B138" s="47"/>
      <c r="C138" s="47"/>
      <c r="D138" s="47"/>
      <c r="E138" s="47"/>
      <c r="F138" s="73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2:30" ht="15" customHeight="1">
      <c r="B139" s="47"/>
      <c r="C139" s="47"/>
      <c r="D139" s="47"/>
      <c r="E139" s="47"/>
      <c r="F139" s="73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2:30" ht="15" customHeight="1">
      <c r="B140" s="47"/>
      <c r="C140" s="47"/>
      <c r="D140" s="47"/>
      <c r="E140" s="47"/>
      <c r="F140" s="73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2:30" ht="15" customHeight="1">
      <c r="B141" s="47"/>
      <c r="C141" s="47"/>
      <c r="D141" s="47"/>
      <c r="E141" s="47"/>
      <c r="F141" s="73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2:30" ht="15" customHeight="1">
      <c r="B142" s="47"/>
      <c r="C142" s="47"/>
      <c r="D142" s="47"/>
      <c r="E142" s="47"/>
      <c r="F142" s="73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2:30" ht="15" customHeight="1">
      <c r="B143" s="47"/>
      <c r="C143" s="47"/>
      <c r="D143" s="47"/>
      <c r="E143" s="47"/>
      <c r="F143" s="73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spans="2:30" ht="15" customHeight="1">
      <c r="B144" s="47"/>
      <c r="C144" s="47"/>
      <c r="D144" s="47"/>
      <c r="E144" s="47"/>
      <c r="F144" s="73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2:30" ht="15" customHeight="1">
      <c r="B145" s="47"/>
      <c r="C145" s="47"/>
      <c r="D145" s="47"/>
      <c r="E145" s="47"/>
      <c r="F145" s="73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2:30" ht="15" customHeight="1">
      <c r="B146" s="47"/>
      <c r="C146" s="47"/>
      <c r="D146" s="47"/>
      <c r="E146" s="47"/>
      <c r="F146" s="73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2:30" ht="15" customHeight="1">
      <c r="B147" s="47"/>
      <c r="C147" s="47"/>
      <c r="D147" s="47"/>
      <c r="E147" s="47"/>
      <c r="F147" s="73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spans="2:30" ht="15" customHeight="1">
      <c r="B148" s="47"/>
      <c r="C148" s="47"/>
      <c r="D148" s="47"/>
      <c r="E148" s="47"/>
      <c r="F148" s="73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spans="2:30" ht="15" customHeight="1">
      <c r="B149" s="47"/>
      <c r="C149" s="47"/>
      <c r="D149" s="47"/>
      <c r="E149" s="47"/>
      <c r="F149" s="73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spans="2:30" ht="15" customHeight="1">
      <c r="B150" s="47"/>
      <c r="C150" s="47"/>
      <c r="D150" s="47"/>
      <c r="E150" s="47"/>
      <c r="F150" s="73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spans="2:30" ht="15" customHeight="1">
      <c r="B151" s="47"/>
      <c r="C151" s="47"/>
      <c r="D151" s="47"/>
      <c r="E151" s="47"/>
      <c r="F151" s="73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2:30" ht="15" customHeight="1">
      <c r="B152" s="47"/>
      <c r="C152" s="47"/>
      <c r="D152" s="47"/>
      <c r="E152" s="47"/>
      <c r="F152" s="73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</row>
    <row r="153" spans="2:30" ht="15" customHeight="1">
      <c r="B153" s="47"/>
      <c r="C153" s="47"/>
      <c r="D153" s="47"/>
      <c r="E153" s="47"/>
      <c r="F153" s="73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</row>
    <row r="154" spans="2:30" ht="15" customHeight="1">
      <c r="B154" s="47"/>
      <c r="C154" s="47"/>
      <c r="D154" s="47"/>
      <c r="E154" s="47"/>
      <c r="F154" s="73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</row>
    <row r="155" spans="2:30" ht="15" customHeight="1">
      <c r="B155" s="47"/>
      <c r="C155" s="47"/>
      <c r="D155" s="47"/>
      <c r="E155" s="47"/>
      <c r="F155" s="73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</row>
    <row r="156" spans="2:30" ht="15" customHeight="1">
      <c r="B156" s="47"/>
      <c r="C156" s="47"/>
      <c r="D156" s="47"/>
      <c r="E156" s="47"/>
      <c r="F156" s="73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</row>
    <row r="157" spans="2:30" ht="15" customHeight="1">
      <c r="B157" s="47"/>
      <c r="C157" s="47"/>
      <c r="D157" s="47"/>
      <c r="E157" s="47"/>
      <c r="F157" s="73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</row>
    <row r="158" spans="2:30" ht="15" customHeight="1">
      <c r="B158" s="47"/>
      <c r="C158" s="47"/>
      <c r="D158" s="47"/>
      <c r="E158" s="47"/>
      <c r="F158" s="73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</row>
    <row r="159" spans="2:30" ht="15" customHeight="1">
      <c r="B159" s="47"/>
      <c r="C159" s="47"/>
      <c r="D159" s="47"/>
      <c r="E159" s="47"/>
      <c r="F159" s="73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</row>
    <row r="160" spans="2:30" ht="15" customHeight="1">
      <c r="B160" s="47"/>
      <c r="C160" s="47"/>
      <c r="D160" s="47"/>
      <c r="E160" s="47"/>
      <c r="F160" s="73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</row>
    <row r="161" spans="2:30" ht="15" customHeight="1">
      <c r="B161" s="47"/>
      <c r="C161" s="47"/>
      <c r="D161" s="47"/>
      <c r="E161" s="47"/>
      <c r="F161" s="73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</row>
    <row r="162" spans="2:30" ht="15" customHeight="1">
      <c r="B162" s="47"/>
      <c r="C162" s="47"/>
      <c r="D162" s="47"/>
      <c r="E162" s="47"/>
      <c r="F162" s="73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</row>
    <row r="163" spans="2:30" ht="15" customHeight="1">
      <c r="B163" s="47"/>
      <c r="C163" s="47"/>
      <c r="D163" s="47"/>
      <c r="E163" s="47"/>
      <c r="F163" s="73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</row>
    <row r="164" spans="2:30" ht="15" customHeight="1">
      <c r="B164" s="47"/>
      <c r="C164" s="47"/>
      <c r="D164" s="47"/>
      <c r="E164" s="47"/>
      <c r="F164" s="73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</row>
    <row r="165" spans="2:30" ht="15" customHeight="1">
      <c r="B165" s="47"/>
      <c r="C165" s="47"/>
      <c r="D165" s="47"/>
      <c r="E165" s="47"/>
      <c r="F165" s="73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</row>
    <row r="166" spans="2:30" ht="15" customHeight="1">
      <c r="B166" s="47"/>
      <c r="C166" s="47"/>
      <c r="D166" s="47"/>
      <c r="E166" s="47"/>
      <c r="F166" s="73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</row>
    <row r="167" spans="2:30" ht="15" customHeight="1">
      <c r="B167" s="47"/>
      <c r="C167" s="47"/>
      <c r="D167" s="47"/>
      <c r="E167" s="47"/>
      <c r="F167" s="73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</row>
    <row r="168" spans="2:30" ht="15" customHeight="1">
      <c r="B168" s="47"/>
      <c r="C168" s="47"/>
      <c r="D168" s="47"/>
      <c r="E168" s="47"/>
      <c r="F168" s="73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</row>
    <row r="169" spans="2:30" ht="15" customHeight="1">
      <c r="B169" s="47"/>
      <c r="C169" s="47"/>
      <c r="D169" s="47"/>
      <c r="E169" s="47"/>
      <c r="F169" s="73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</row>
    <row r="170" spans="2:30" ht="15" customHeight="1">
      <c r="B170" s="47"/>
      <c r="C170" s="47"/>
      <c r="D170" s="47"/>
      <c r="E170" s="47"/>
      <c r="F170" s="73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</row>
    <row r="171" spans="2:30" ht="15" customHeight="1"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</row>
    <row r="172" spans="2:30" ht="15" customHeight="1"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</row>
    <row r="173" spans="2:30" ht="15" customHeight="1"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</row>
    <row r="174" spans="2:30" ht="15" customHeight="1"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</row>
    <row r="175" spans="2:30" ht="15" customHeight="1"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</row>
    <row r="176" spans="2:30" ht="15" customHeight="1"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</row>
    <row r="177" spans="10:30" ht="15" customHeight="1"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</row>
    <row r="178" spans="10:30" ht="15" customHeight="1"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</row>
    <row r="179" spans="10:30" ht="15" customHeight="1"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</row>
    <row r="180" spans="10:30" ht="15" customHeight="1"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</row>
    <row r="181" spans="10:30" ht="15" customHeight="1"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</row>
    <row r="182" spans="10:30" ht="15" customHeight="1"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</row>
    <row r="183" spans="10:30" ht="15" customHeight="1"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</row>
    <row r="184" spans="10:30" ht="15" customHeight="1"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</row>
    <row r="185" spans="10:30" ht="15" customHeight="1"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</row>
    <row r="186" spans="10:30" ht="15" customHeight="1"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</row>
    <row r="187" spans="10:30" ht="15" customHeight="1"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</row>
    <row r="188" spans="10:30" ht="15" customHeight="1"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</row>
    <row r="189" spans="10:30" ht="15" customHeight="1"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</row>
    <row r="190" spans="10:30" ht="15" customHeight="1"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</row>
    <row r="191" spans="10:30" ht="15" customHeight="1"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</row>
    <row r="192" spans="10:30" ht="15" customHeight="1"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</row>
    <row r="193" spans="10:30" ht="15" customHeight="1"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</row>
    <row r="194" spans="10:30" ht="15" customHeight="1"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</row>
    <row r="195" spans="10:30" ht="15" customHeight="1"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</row>
    <row r="196" spans="10:30" ht="15" customHeight="1"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</row>
    <row r="197" spans="10:30" ht="15" customHeight="1"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</row>
    <row r="198" spans="10:30" ht="15" customHeight="1"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</row>
    <row r="199" spans="10:30" ht="15" customHeight="1"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</row>
    <row r="200" spans="10:30" ht="15" customHeight="1"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</row>
    <row r="201" spans="10:30" ht="15" customHeight="1"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</row>
    <row r="202" spans="10:30" ht="15" customHeight="1"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</row>
    <row r="203" spans="10:30" ht="15" customHeight="1"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</row>
    <row r="204" spans="10:30" ht="15" customHeight="1"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</row>
    <row r="205" spans="10:30" ht="15" customHeight="1"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</row>
    <row r="206" spans="10:30" ht="15" customHeight="1"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</row>
    <row r="207" spans="10:30" ht="15" customHeight="1"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</row>
    <row r="208" spans="10:30" ht="15" customHeight="1"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</row>
    <row r="209" spans="10:30" ht="15" customHeight="1"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</row>
    <row r="210" spans="10:30" ht="15" customHeight="1"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</row>
    <row r="211" spans="10:30" ht="15" customHeight="1"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</row>
    <row r="212" spans="10:30" ht="15" customHeight="1"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</row>
    <row r="213" spans="10:30" ht="15" customHeight="1"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</row>
    <row r="214" spans="10:30" ht="15" customHeight="1"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</row>
    <row r="215" spans="10:30" ht="15" customHeight="1"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</row>
    <row r="216" spans="10:30" ht="15" customHeight="1"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</row>
    <row r="217" spans="10:30" ht="15" customHeight="1"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</row>
    <row r="218" spans="10:30" ht="15" customHeight="1"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</row>
    <row r="219" spans="10:30" ht="15" customHeight="1"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</row>
    <row r="220" spans="10:30" ht="15" customHeight="1"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</row>
    <row r="221" spans="10:30" ht="15" customHeight="1"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</row>
    <row r="222" spans="10:30" ht="15" customHeight="1"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</row>
    <row r="223" spans="10:30" ht="15" customHeight="1"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</row>
    <row r="224" spans="10:30" ht="15" customHeight="1"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</row>
    <row r="225" spans="10:30" ht="15" customHeight="1"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</row>
    <row r="226" spans="10:30" ht="15" customHeight="1"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</row>
    <row r="227" spans="10:30" ht="15" customHeight="1"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</row>
    <row r="228" spans="10:30" ht="15" customHeight="1"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</row>
    <row r="229" spans="10:30" ht="15" customHeight="1"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</row>
    <row r="230" spans="10:30" ht="15" customHeight="1"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</row>
    <row r="231" spans="10:30" ht="15" customHeight="1"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</row>
    <row r="232" spans="10:30" ht="15" customHeight="1"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</row>
    <row r="233" spans="10:30" ht="15" customHeight="1"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</row>
    <row r="234" spans="10:30" ht="15" customHeight="1"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</row>
    <row r="235" spans="10:30" ht="15" customHeight="1"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</row>
    <row r="236" spans="10:30" ht="15" customHeight="1"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</row>
    <row r="237" spans="10:30" ht="15" customHeight="1"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</row>
    <row r="238" spans="10:30" ht="15" customHeight="1"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</row>
    <row r="239" spans="10:30" ht="15" customHeight="1"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</row>
    <row r="240" spans="10:30" ht="15" customHeight="1"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</row>
    <row r="241" spans="10:30" ht="15" customHeight="1"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</row>
    <row r="242" spans="10:30" ht="15" customHeight="1"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</row>
    <row r="243" spans="10:30" ht="15" customHeight="1"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</row>
    <row r="244" spans="10:30" ht="15" customHeight="1"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</row>
    <row r="245" spans="10:30" ht="15" customHeight="1"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</row>
    <row r="246" spans="10:30" ht="15" customHeight="1"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</row>
    <row r="247" spans="10:30" ht="15" customHeight="1"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0:30" ht="15" customHeight="1"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</row>
    <row r="249" spans="10:30" ht="15" customHeight="1"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</row>
    <row r="250" spans="10:30" ht="15" customHeight="1"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</row>
    <row r="251" spans="10:30" ht="15" customHeight="1"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</row>
    <row r="252" spans="10:30" ht="15" customHeight="1"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</row>
    <row r="253" spans="10:30" ht="15" customHeight="1"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0:30" ht="15" customHeight="1"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0:30" ht="15" customHeight="1"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0:30" ht="15" customHeight="1"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0:30" ht="15" customHeight="1"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0:30" ht="15" customHeight="1"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0:30" ht="15" customHeight="1"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</row>
    <row r="260" spans="10:30" ht="15" customHeight="1"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</row>
    <row r="261" spans="10:30" ht="15" customHeight="1"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</row>
    <row r="262" spans="10:30" ht="15" customHeight="1"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</row>
    <row r="263" spans="10:30" ht="15" customHeight="1"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</row>
    <row r="264" spans="10:30" ht="15" customHeight="1"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</row>
    <row r="265" spans="10:30" ht="15" customHeight="1"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</row>
    <row r="266" spans="10:30" ht="15" customHeight="1"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</row>
    <row r="267" spans="10:30" ht="15" customHeight="1"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</row>
    <row r="268" spans="10:30" ht="15" customHeight="1"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</row>
    <row r="269" spans="10:30" ht="15" customHeight="1"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</row>
    <row r="270" spans="10:30" ht="15" customHeight="1"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</row>
    <row r="271" spans="10:30" ht="15" customHeight="1"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</row>
    <row r="272" spans="10:30" ht="15" customHeight="1"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</row>
    <row r="273" spans="10:30" ht="15" customHeight="1"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</row>
    <row r="274" spans="10:30" ht="15" customHeight="1"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</row>
    <row r="275" spans="10:30" ht="15" customHeight="1"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</row>
    <row r="276" spans="10:30" ht="15" customHeight="1"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</row>
    <row r="277" spans="10:30" ht="15" customHeight="1"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</row>
    <row r="278" spans="10:30" ht="15" customHeight="1"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</row>
    <row r="279" spans="10:30" ht="15" customHeight="1"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</row>
    <row r="280" spans="10:30" ht="15" customHeight="1"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</row>
    <row r="281" spans="10:30" ht="15" customHeight="1"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</row>
    <row r="282" spans="10:30" ht="15" customHeight="1"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</row>
    <row r="283" spans="10:30" ht="15" customHeight="1"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</row>
    <row r="284" spans="10:30" ht="15" customHeight="1"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</row>
    <row r="285" spans="10:30" ht="15" customHeight="1"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</row>
    <row r="286" spans="10:30" ht="15" customHeight="1"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</row>
    <row r="287" spans="10:30" ht="15" customHeight="1"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</row>
    <row r="288" spans="10:30" ht="15" customHeight="1"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</row>
    <row r="289" spans="10:30" ht="15" customHeight="1"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</row>
    <row r="290" spans="10:30" ht="15" customHeight="1"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</row>
    <row r="291" spans="10:30" ht="15" customHeight="1"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</row>
    <row r="292" spans="10:30" ht="15" customHeight="1"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</row>
    <row r="293" spans="10:30" ht="15" customHeight="1"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</row>
    <row r="294" spans="10:30" ht="15" customHeight="1"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</row>
    <row r="295" spans="10:30" ht="15" customHeight="1"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</row>
    <row r="296" spans="10:30" ht="15" customHeight="1"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</row>
    <row r="297" spans="10:30" ht="15" customHeight="1"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</row>
    <row r="298" spans="10:30" ht="15" customHeight="1"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</row>
    <row r="299" spans="10:30" ht="15" customHeight="1"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</row>
    <row r="300" spans="10:30" ht="15" customHeight="1"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</row>
    <row r="301" spans="10:30" ht="15" customHeight="1"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</row>
    <row r="302" spans="10:30" ht="15" customHeight="1"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</row>
    <row r="303" spans="10:30" ht="15" customHeight="1"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</row>
    <row r="304" spans="10:30" ht="15" customHeight="1"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</row>
    <row r="305" spans="10:30" ht="15" customHeight="1"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</row>
    <row r="306" spans="10:30" ht="15" customHeight="1"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</row>
    <row r="307" spans="10:30" ht="15" customHeight="1"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</row>
  </sheetData>
  <mergeCells count="6">
    <mergeCell ref="B51:I51"/>
    <mergeCell ref="B5:H5"/>
    <mergeCell ref="B6:H6"/>
    <mergeCell ref="B1:H3"/>
    <mergeCell ref="B11:H11"/>
    <mergeCell ref="B49:H49"/>
  </mergeCells>
  <phoneticPr fontId="0" type="noConversion"/>
  <pageMargins left="1.02" right="0.31496062992125984" top="0.35433070866141736" bottom="0.51181102362204722" header="0.39370078740157483" footer="0.31496062992125984"/>
  <pageSetup paperSize="9" scale="76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M13" sqref="M1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677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4" t="s">
        <v>126</v>
      </c>
      <c r="C7" s="65" t="s">
        <v>119</v>
      </c>
      <c r="D7" s="65" t="s">
        <v>114</v>
      </c>
      <c r="E7" s="423" t="s">
        <v>723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1032750</v>
      </c>
      <c r="J8" s="241">
        <f t="shared" si="0"/>
        <v>1032750</v>
      </c>
      <c r="K8" s="231">
        <f>SUM(K9:K12)</f>
        <v>738254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859540+1*900+3*500</f>
        <v>861940</v>
      </c>
      <c r="J9" s="242">
        <v>861940</v>
      </c>
      <c r="K9" s="229">
        <v>623611</v>
      </c>
      <c r="L9" s="367"/>
      <c r="M9" s="242"/>
      <c r="N9" s="828">
        <f>SUM(L9:M9)</f>
        <v>0</v>
      </c>
      <c r="O9" s="887">
        <f t="shared" si="1"/>
        <v>0</v>
      </c>
      <c r="P9" s="45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165590+1*1920+3*1100</f>
        <v>170810</v>
      </c>
      <c r="J10" s="242">
        <v>170810</v>
      </c>
      <c r="K10" s="229">
        <v>114643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91260</v>
      </c>
      <c r="J13" s="241">
        <f t="shared" si="5"/>
        <v>91260</v>
      </c>
      <c r="K13" s="231">
        <f>K14</f>
        <v>66336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90420+1*300+3*180</f>
        <v>91260</v>
      </c>
      <c r="J14" s="242">
        <v>91260</v>
      </c>
      <c r="K14" s="229">
        <v>66336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" si="7">SUM(I17:I26)</f>
        <v>160700</v>
      </c>
      <c r="J16" s="239">
        <f t="shared" ref="J16:K16" si="8">SUM(J17:J26)</f>
        <v>160700</v>
      </c>
      <c r="K16" s="226">
        <f t="shared" si="8"/>
        <v>88489</v>
      </c>
      <c r="L16" s="491">
        <f t="shared" ref="L16:N16" si="9">SUM(L17:L26)</f>
        <v>0</v>
      </c>
      <c r="M16" s="239">
        <f t="shared" si="9"/>
        <v>0</v>
      </c>
      <c r="N16" s="789">
        <f t="shared" si="9"/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4800</v>
      </c>
      <c r="J17" s="242">
        <v>4800</v>
      </c>
      <c r="K17" s="229">
        <v>2962</v>
      </c>
      <c r="L17" s="367"/>
      <c r="M17" s="242"/>
      <c r="N17" s="828">
        <f t="shared" ref="N17:N26" si="10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65000</v>
      </c>
      <c r="J18" s="242">
        <v>65000</v>
      </c>
      <c r="K18" s="229">
        <v>25440</v>
      </c>
      <c r="L18" s="366"/>
      <c r="M18" s="238"/>
      <c r="N18" s="828">
        <f t="shared" si="10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8000</v>
      </c>
      <c r="J19" s="242">
        <v>8000</v>
      </c>
      <c r="K19" s="229">
        <v>4356</v>
      </c>
      <c r="L19" s="366"/>
      <c r="M19" s="238"/>
      <c r="N19" s="828">
        <f t="shared" si="10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20000</v>
      </c>
      <c r="J20" s="242">
        <v>20000</v>
      </c>
      <c r="K20" s="229">
        <v>14026</v>
      </c>
      <c r="L20" s="366"/>
      <c r="M20" s="238"/>
      <c r="N20" s="828">
        <f t="shared" si="10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3500</v>
      </c>
      <c r="J21" s="242">
        <v>3500</v>
      </c>
      <c r="K21" s="229">
        <v>1130</v>
      </c>
      <c r="L21" s="367"/>
      <c r="M21" s="242"/>
      <c r="N21" s="828">
        <f t="shared" si="10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10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21000</v>
      </c>
      <c r="J23" s="242">
        <v>21000</v>
      </c>
      <c r="K23" s="229">
        <v>13438</v>
      </c>
      <c r="L23" s="367"/>
      <c r="M23" s="242"/>
      <c r="N23" s="828">
        <f t="shared" si="10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1400</v>
      </c>
      <c r="J24" s="242">
        <v>1400</v>
      </c>
      <c r="K24" s="229">
        <v>390</v>
      </c>
      <c r="L24" s="367"/>
      <c r="M24" s="242"/>
      <c r="N24" s="828">
        <f t="shared" si="10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37000</v>
      </c>
      <c r="J25" s="242">
        <v>37000</v>
      </c>
      <c r="K25" s="229">
        <v>26747</v>
      </c>
      <c r="L25" s="369"/>
      <c r="M25" s="234"/>
      <c r="N25" s="828">
        <f t="shared" si="10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8"/>
      <c r="M26" s="235"/>
      <c r="N26" s="828">
        <f t="shared" si="10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11">SUM(I29:I30)</f>
        <v>28000</v>
      </c>
      <c r="J28" s="241">
        <f t="shared" ref="J28" si="12">SUM(J29:J30)</f>
        <v>28000</v>
      </c>
      <c r="K28" s="231">
        <f>SUM(K29:K30)</f>
        <v>0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5">
        <v>821200</v>
      </c>
      <c r="G29" s="204"/>
      <c r="H29" s="438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13">SUM(L29:M29)</f>
        <v>0</v>
      </c>
      <c r="O29" s="887" t="str">
        <f t="shared" si="1"/>
        <v/>
      </c>
      <c r="P29" s="45"/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28000</v>
      </c>
      <c r="J30" s="242">
        <v>28000</v>
      </c>
      <c r="K30" s="229">
        <v>0</v>
      </c>
      <c r="L30" s="367"/>
      <c r="M30" s="242"/>
      <c r="N30" s="828">
        <f t="shared" si="13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787</v>
      </c>
      <c r="J32" s="384" t="s">
        <v>787</v>
      </c>
      <c r="K32" s="494" t="s">
        <v>945</v>
      </c>
      <c r="L32" s="493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4">I8+I13+I16+I28</f>
        <v>1312710</v>
      </c>
      <c r="J33" s="170">
        <f t="shared" si="14"/>
        <v>1312710</v>
      </c>
      <c r="K33" s="158">
        <f t="shared" si="14"/>
        <v>893079</v>
      </c>
      <c r="L33" s="377">
        <f t="shared" ref="L33:N33" si="15">L8+L13+L16+L28</f>
        <v>0</v>
      </c>
      <c r="M33" s="170">
        <f t="shared" si="15"/>
        <v>0</v>
      </c>
      <c r="N33" s="789">
        <f t="shared" si="15"/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>I33+'22'!I33+'21'!I33</f>
        <v>4386590</v>
      </c>
      <c r="J34" s="170">
        <f>J33+'22'!J33+'21'!J33</f>
        <v>4401741</v>
      </c>
      <c r="K34" s="158">
        <f>K33+'22'!K33+'21'!K33</f>
        <v>2992998</v>
      </c>
      <c r="L34" s="377">
        <f>L33+'22'!L33+'21'!L33</f>
        <v>0</v>
      </c>
      <c r="M34" s="170">
        <f>M33+'22'!M33+'21'!M33</f>
        <v>0</v>
      </c>
      <c r="N34" s="789">
        <f>N33+'22'!N33+'21'!N33</f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9"/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B42" s="45"/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7.100000000000001" customHeight="1">
      <c r="F59" s="184"/>
      <c r="G59" s="203"/>
      <c r="N59" s="258"/>
    </row>
    <row r="60" spans="6:14" ht="14.25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184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>
      <c r="G90" s="184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zoomScaleNormal="100" zoomScaleSheetLayoutView="100" workbookViewId="0">
      <selection activeCell="Q15" sqref="Q15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662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336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80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1359440</v>
      </c>
      <c r="J8" s="241">
        <f t="shared" si="0"/>
        <v>1359440</v>
      </c>
      <c r="K8" s="231">
        <f>SUM(K9:K12)</f>
        <v>975589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1147060+2*500</f>
        <v>1148060</v>
      </c>
      <c r="J9" s="242">
        <v>1148060</v>
      </c>
      <c r="K9" s="229">
        <v>819467</v>
      </c>
      <c r="L9" s="367"/>
      <c r="M9" s="242"/>
      <c r="N9" s="828">
        <f>SUM(L9:M9)</f>
        <v>0</v>
      </c>
      <c r="O9" s="887">
        <f t="shared" si="1"/>
        <v>0</v>
      </c>
      <c r="P9" s="58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209180+2*1100</f>
        <v>211380</v>
      </c>
      <c r="J10" s="242">
        <v>211380</v>
      </c>
      <c r="K10" s="229">
        <v>156122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126940</v>
      </c>
      <c r="J13" s="241">
        <f t="shared" si="5"/>
        <v>126940</v>
      </c>
      <c r="K13" s="231">
        <f>K14</f>
        <v>89048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126580+2*180</f>
        <v>126940</v>
      </c>
      <c r="J14" s="242">
        <v>126940</v>
      </c>
      <c r="K14" s="229">
        <v>89048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118800</v>
      </c>
      <c r="J16" s="239">
        <f t="shared" si="7"/>
        <v>118800</v>
      </c>
      <c r="K16" s="226">
        <f>SUM(K17:K26)</f>
        <v>80800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5000</v>
      </c>
      <c r="J17" s="242">
        <v>4000</v>
      </c>
      <c r="K17" s="229">
        <v>3420</v>
      </c>
      <c r="L17" s="367"/>
      <c r="M17" s="242"/>
      <c r="N17" s="828">
        <f t="shared" ref="N17:N26" si="8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45000</v>
      </c>
      <c r="J18" s="242">
        <v>45000</v>
      </c>
      <c r="K18" s="229">
        <v>28001</v>
      </c>
      <c r="L18" s="367"/>
      <c r="M18" s="242"/>
      <c r="N18" s="828">
        <f t="shared" si="8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7000</v>
      </c>
      <c r="J19" s="242">
        <v>7000</v>
      </c>
      <c r="K19" s="229">
        <v>3950</v>
      </c>
      <c r="L19" s="367"/>
      <c r="M19" s="242"/>
      <c r="N19" s="828">
        <f t="shared" si="8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15000</v>
      </c>
      <c r="J20" s="242">
        <v>12000</v>
      </c>
      <c r="K20" s="229">
        <v>6848</v>
      </c>
      <c r="L20" s="367"/>
      <c r="M20" s="242"/>
      <c r="N20" s="828">
        <f t="shared" si="8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500</v>
      </c>
      <c r="J21" s="242">
        <v>500</v>
      </c>
      <c r="K21" s="229">
        <v>116</v>
      </c>
      <c r="L21" s="367"/>
      <c r="M21" s="242"/>
      <c r="N21" s="828">
        <f t="shared" si="8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8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10000</v>
      </c>
      <c r="J23" s="242">
        <v>6000</v>
      </c>
      <c r="K23" s="229">
        <v>3225</v>
      </c>
      <c r="L23" s="367"/>
      <c r="M23" s="242"/>
      <c r="N23" s="828">
        <f t="shared" si="8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1300</v>
      </c>
      <c r="J24" s="242">
        <v>1300</v>
      </c>
      <c r="K24" s="229">
        <v>540</v>
      </c>
      <c r="L24" s="367"/>
      <c r="M24" s="242"/>
      <c r="N24" s="828">
        <f t="shared" si="8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35000</v>
      </c>
      <c r="J25" s="242">
        <v>43000</v>
      </c>
      <c r="K25" s="229">
        <v>34700</v>
      </c>
      <c r="L25" s="367"/>
      <c r="M25" s="242"/>
      <c r="N25" s="828">
        <f t="shared" si="8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8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849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SUM(I29:I30)</f>
        <v>40000</v>
      </c>
      <c r="J28" s="241">
        <f t="shared" si="9"/>
        <v>40000</v>
      </c>
      <c r="K28" s="231">
        <f>SUM(K29:K30)</f>
        <v>6543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15000</v>
      </c>
      <c r="J29" s="242">
        <v>15000</v>
      </c>
      <c r="K29" s="229">
        <v>4868</v>
      </c>
      <c r="L29" s="367"/>
      <c r="M29" s="242"/>
      <c r="N29" s="828">
        <f t="shared" ref="N29:N30" si="10">SUM(L29:M29)</f>
        <v>0</v>
      </c>
      <c r="O29" s="887">
        <f t="shared" si="1"/>
        <v>0</v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25000</v>
      </c>
      <c r="J30" s="242">
        <v>25000</v>
      </c>
      <c r="K30" s="229">
        <v>1675</v>
      </c>
      <c r="L30" s="367"/>
      <c r="M30" s="242"/>
      <c r="N30" s="828">
        <f t="shared" si="10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42"/>
      <c r="J31" s="242"/>
      <c r="K31" s="229"/>
      <c r="L31" s="367"/>
      <c r="M31" s="242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896</v>
      </c>
      <c r="J32" s="384" t="s">
        <v>896</v>
      </c>
      <c r="K32" s="494" t="s">
        <v>946</v>
      </c>
      <c r="L32" s="493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1645180</v>
      </c>
      <c r="J33" s="170">
        <f t="shared" si="11"/>
        <v>1645180</v>
      </c>
      <c r="K33" s="158">
        <f t="shared" si="11"/>
        <v>1151980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L37" s="893"/>
      <c r="N37" s="259"/>
    </row>
    <row r="38" spans="1:15" ht="12.95" customHeight="1"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B45" s="45"/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topLeftCell="A19" zoomScaleNormal="100" workbookViewId="0">
      <selection activeCell="M33" sqref="M3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680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108</v>
      </c>
      <c r="E7" s="422" t="s">
        <v>724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2779300</v>
      </c>
      <c r="J8" s="241">
        <f t="shared" si="0"/>
        <v>2779300</v>
      </c>
      <c r="K8" s="231">
        <f>SUM(K9:K12)</f>
        <v>2004588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f t="shared" ref="I9" si="2">2324830+3*900+1*500</f>
        <v>2328030</v>
      </c>
      <c r="J9" s="240">
        <v>2328030</v>
      </c>
      <c r="K9" s="230">
        <v>1690937</v>
      </c>
      <c r="L9" s="364"/>
      <c r="M9" s="240"/>
      <c r="N9" s="828">
        <f>SUM(L9:M9)</f>
        <v>0</v>
      </c>
      <c r="O9" s="887">
        <f t="shared" si="1"/>
        <v>0</v>
      </c>
      <c r="Q9" s="51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f t="shared" ref="I10" si="3">444410+3*1920+1*1100</f>
        <v>451270</v>
      </c>
      <c r="J10" s="240">
        <v>451270</v>
      </c>
      <c r="K10" s="230">
        <v>313651</v>
      </c>
      <c r="L10" s="364"/>
      <c r="M10" s="240"/>
      <c r="N10" s="828">
        <f t="shared" ref="N10:N11" si="4">SUM(L10:M10)</f>
        <v>0</v>
      </c>
      <c r="O10" s="887">
        <f t="shared" si="1"/>
        <v>0</v>
      </c>
      <c r="Q10" s="51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0"/>
      <c r="J12" s="240"/>
      <c r="K12" s="230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245580</v>
      </c>
      <c r="J13" s="241">
        <f t="shared" si="5"/>
        <v>245580</v>
      </c>
      <c r="K13" s="231">
        <f>K14</f>
        <v>178802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f t="shared" ref="I14" si="6">244500+3*300+1*180</f>
        <v>245580</v>
      </c>
      <c r="J14" s="240">
        <v>245580</v>
      </c>
      <c r="K14" s="230">
        <v>178802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40"/>
      <c r="J15" s="240"/>
      <c r="K15" s="230"/>
      <c r="L15" s="364"/>
      <c r="M15" s="240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" si="7">SUM(I17:I26)</f>
        <v>228050</v>
      </c>
      <c r="J16" s="239">
        <f t="shared" ref="J16" si="8">SUM(J17:J26)</f>
        <v>228050</v>
      </c>
      <c r="K16" s="226">
        <f>SUM(K17:K26)</f>
        <v>142316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5500</v>
      </c>
      <c r="J17" s="240">
        <v>5500</v>
      </c>
      <c r="K17" s="230">
        <v>3001</v>
      </c>
      <c r="L17" s="365"/>
      <c r="M17" s="236"/>
      <c r="N17" s="828">
        <f t="shared" ref="N17:N26" si="9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95000</v>
      </c>
      <c r="J18" s="240">
        <v>95000</v>
      </c>
      <c r="K18" s="230">
        <v>61747</v>
      </c>
      <c r="L18" s="365"/>
      <c r="M18" s="236"/>
      <c r="N18" s="828">
        <f t="shared" si="9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12000</v>
      </c>
      <c r="J19" s="240">
        <v>12000</v>
      </c>
      <c r="K19" s="230">
        <v>8140</v>
      </c>
      <c r="L19" s="365"/>
      <c r="M19" s="236"/>
      <c r="N19" s="828">
        <f t="shared" si="9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25000</v>
      </c>
      <c r="J20" s="240">
        <v>25000</v>
      </c>
      <c r="K20" s="230">
        <v>8932</v>
      </c>
      <c r="L20" s="364"/>
      <c r="M20" s="240"/>
      <c r="N20" s="828">
        <f t="shared" si="9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2000</v>
      </c>
      <c r="J21" s="240">
        <v>2000</v>
      </c>
      <c r="K21" s="230">
        <v>1240</v>
      </c>
      <c r="L21" s="364"/>
      <c r="M21" s="240"/>
      <c r="N21" s="828">
        <f t="shared" si="9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0</v>
      </c>
      <c r="J22" s="240">
        <v>0</v>
      </c>
      <c r="K22" s="230">
        <v>0</v>
      </c>
      <c r="L22" s="364"/>
      <c r="M22" s="240"/>
      <c r="N22" s="828">
        <f t="shared" si="9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36000</v>
      </c>
      <c r="J23" s="240">
        <v>36000</v>
      </c>
      <c r="K23" s="230">
        <v>17162</v>
      </c>
      <c r="L23" s="364"/>
      <c r="M23" s="240"/>
      <c r="N23" s="828">
        <f t="shared" si="9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2550</v>
      </c>
      <c r="J24" s="240">
        <v>2550</v>
      </c>
      <c r="K24" s="230">
        <v>1055</v>
      </c>
      <c r="L24" s="364"/>
      <c r="M24" s="240"/>
      <c r="N24" s="828">
        <f t="shared" si="9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0">
        <v>50000</v>
      </c>
      <c r="J25" s="240">
        <v>50000</v>
      </c>
      <c r="K25" s="230">
        <v>41039</v>
      </c>
      <c r="L25" s="364"/>
      <c r="M25" s="240"/>
      <c r="N25" s="828">
        <f t="shared" si="9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8"/>
      <c r="M26" s="235"/>
      <c r="N26" s="828">
        <f t="shared" si="9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0"/>
      <c r="J27" s="240"/>
      <c r="K27" s="230"/>
      <c r="L27" s="364"/>
      <c r="M27" s="240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10">SUM(I29:I31)</f>
        <v>44000</v>
      </c>
      <c r="J28" s="241">
        <f t="shared" ref="J28" si="11">SUM(J29:J31)</f>
        <v>44000</v>
      </c>
      <c r="K28" s="231">
        <f>SUM(K29:K31)</f>
        <v>25137</v>
      </c>
      <c r="L28" s="490">
        <f>SUM(L29:L31)</f>
        <v>0</v>
      </c>
      <c r="M28" s="241">
        <f>SUM(M29:M31)</f>
        <v>0</v>
      </c>
      <c r="N28" s="789">
        <f>SUM(N29:N31)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0">
        <v>20000</v>
      </c>
      <c r="J29" s="240">
        <v>20000</v>
      </c>
      <c r="K29" s="230">
        <v>15137</v>
      </c>
      <c r="L29" s="364"/>
      <c r="M29" s="240"/>
      <c r="N29" s="828">
        <f t="shared" ref="N29:N30" si="12">SUM(L29:M29)</f>
        <v>0</v>
      </c>
      <c r="O29" s="887">
        <f t="shared" si="1"/>
        <v>0</v>
      </c>
      <c r="P29" s="45"/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0">
        <v>24000</v>
      </c>
      <c r="J30" s="240">
        <v>24000</v>
      </c>
      <c r="K30" s="230">
        <v>10000</v>
      </c>
      <c r="L30" s="364"/>
      <c r="M30" s="240"/>
      <c r="N30" s="828">
        <f t="shared" si="12"/>
        <v>0</v>
      </c>
      <c r="O30" s="887">
        <f t="shared" si="1"/>
        <v>0</v>
      </c>
      <c r="P30" s="408"/>
    </row>
    <row r="31" spans="1:16" ht="12.95" customHeight="1">
      <c r="B31" s="10"/>
      <c r="C31" s="11"/>
      <c r="D31" s="11"/>
      <c r="E31" s="168"/>
      <c r="F31" s="182"/>
      <c r="G31" s="201"/>
      <c r="H31" s="435"/>
      <c r="I31" s="240"/>
      <c r="J31" s="240"/>
      <c r="K31" s="230"/>
      <c r="L31" s="364"/>
      <c r="M31" s="240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401" t="s">
        <v>897</v>
      </c>
      <c r="J32" s="401" t="s">
        <v>897</v>
      </c>
      <c r="K32" s="741" t="s">
        <v>947</v>
      </c>
      <c r="L32" s="506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3">I8+I13+I16+I28</f>
        <v>3296930</v>
      </c>
      <c r="J33" s="170">
        <f t="shared" si="13"/>
        <v>3296930</v>
      </c>
      <c r="K33" s="158">
        <f t="shared" si="13"/>
        <v>2350843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/>
      <c r="J34" s="15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L37" s="406"/>
      <c r="M37" s="522"/>
      <c r="N37" s="258"/>
    </row>
    <row r="38" spans="1:15" ht="12.95" customHeight="1">
      <c r="F38" s="184"/>
      <c r="G38" s="203"/>
      <c r="L38" s="60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B42" s="45"/>
      <c r="F42" s="184"/>
      <c r="G42" s="203"/>
      <c r="N42" s="258"/>
    </row>
    <row r="43" spans="1:15" ht="12.95" customHeight="1">
      <c r="B43" s="45"/>
      <c r="F43" s="184"/>
      <c r="G43" s="203"/>
      <c r="N43" s="258"/>
    </row>
    <row r="44" spans="1:15" ht="12.95" customHeight="1">
      <c r="B44" s="45"/>
      <c r="F44" s="184"/>
      <c r="G44" s="203"/>
      <c r="N44" s="258"/>
    </row>
    <row r="45" spans="1:15" ht="12.95" customHeight="1">
      <c r="B45" s="45"/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topLeftCell="A16" zoomScaleNormal="100" workbookViewId="0">
      <selection activeCell="M31" sqref="M3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682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113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767940</v>
      </c>
      <c r="J8" s="241">
        <f t="shared" si="0"/>
        <v>767940</v>
      </c>
      <c r="K8" s="231">
        <f>SUM(K9:K12)</f>
        <v>551619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1" si="1">IF(J8=0,"",N8/J8*100)</f>
        <v>0</v>
      </c>
      <c r="Q8" s="52"/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655850</v>
      </c>
      <c r="J9" s="242">
        <v>655850</v>
      </c>
      <c r="K9" s="229">
        <v>479248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2">112090</f>
        <v>112090</v>
      </c>
      <c r="J10" s="242">
        <v>112090</v>
      </c>
      <c r="K10" s="229">
        <v>72371</v>
      </c>
      <c r="L10" s="367"/>
      <c r="M10" s="242"/>
      <c r="N10" s="828">
        <f t="shared" ref="N10:N11" si="3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3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2"/>
      <c r="J12" s="242"/>
      <c r="K12" s="229"/>
      <c r="L12" s="367"/>
      <c r="M12" s="242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4">I14</f>
        <v>72150</v>
      </c>
      <c r="J13" s="241">
        <f t="shared" si="4"/>
        <v>72150</v>
      </c>
      <c r="K13" s="231">
        <f>K14</f>
        <v>51039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5">72150</f>
        <v>72150</v>
      </c>
      <c r="J14" s="242">
        <v>72150</v>
      </c>
      <c r="K14" s="229">
        <v>51039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6">SUM(I17:I26)</f>
        <v>59180</v>
      </c>
      <c r="J16" s="239">
        <f t="shared" si="6"/>
        <v>59180</v>
      </c>
      <c r="K16" s="226">
        <f>SUM(K17:K26)</f>
        <v>41163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2500</v>
      </c>
      <c r="J17" s="242">
        <v>2500</v>
      </c>
      <c r="K17" s="229">
        <v>2099</v>
      </c>
      <c r="L17" s="366"/>
      <c r="M17" s="238"/>
      <c r="N17" s="828">
        <f t="shared" ref="N17:N26" si="7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20000</v>
      </c>
      <c r="J18" s="242">
        <v>20000</v>
      </c>
      <c r="K18" s="229">
        <v>15611</v>
      </c>
      <c r="L18" s="366"/>
      <c r="M18" s="238"/>
      <c r="N18" s="828">
        <f t="shared" si="7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3700</v>
      </c>
      <c r="J19" s="242">
        <v>3700</v>
      </c>
      <c r="K19" s="229">
        <v>2520</v>
      </c>
      <c r="L19" s="366"/>
      <c r="M19" s="238"/>
      <c r="N19" s="828">
        <f t="shared" si="7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12000</v>
      </c>
      <c r="J20" s="242">
        <v>12000</v>
      </c>
      <c r="K20" s="229">
        <v>5767</v>
      </c>
      <c r="L20" s="366"/>
      <c r="M20" s="238"/>
      <c r="N20" s="828">
        <f t="shared" si="7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300</v>
      </c>
      <c r="J21" s="242">
        <v>300</v>
      </c>
      <c r="K21" s="229">
        <v>205</v>
      </c>
      <c r="L21" s="366"/>
      <c r="M21" s="238"/>
      <c r="N21" s="828">
        <f t="shared" si="7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7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12000</v>
      </c>
      <c r="J23" s="242">
        <v>12000</v>
      </c>
      <c r="K23" s="229">
        <v>7878</v>
      </c>
      <c r="L23" s="367"/>
      <c r="M23" s="242"/>
      <c r="N23" s="828">
        <f t="shared" si="7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680</v>
      </c>
      <c r="J24" s="242">
        <v>680</v>
      </c>
      <c r="K24" s="229">
        <v>240</v>
      </c>
      <c r="L24" s="367"/>
      <c r="M24" s="242"/>
      <c r="N24" s="828">
        <f t="shared" si="7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8000</v>
      </c>
      <c r="J25" s="242">
        <v>8000</v>
      </c>
      <c r="K25" s="229">
        <v>6843</v>
      </c>
      <c r="L25" s="367"/>
      <c r="M25" s="242"/>
      <c r="N25" s="828">
        <f t="shared" si="7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8"/>
      <c r="M26" s="235"/>
      <c r="N26" s="828">
        <f t="shared" si="7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8">SUM(I29:I30)</f>
        <v>15000</v>
      </c>
      <c r="J28" s="241">
        <f t="shared" si="8"/>
        <v>15000</v>
      </c>
      <c r="K28" s="231">
        <f>SUM(K29:K30)</f>
        <v>3422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12000</v>
      </c>
      <c r="J29" s="242">
        <v>12000</v>
      </c>
      <c r="K29" s="229">
        <v>3422</v>
      </c>
      <c r="L29" s="367"/>
      <c r="M29" s="242"/>
      <c r="N29" s="828">
        <f t="shared" ref="N29:N30" si="9">SUM(L29:M29)</f>
        <v>0</v>
      </c>
      <c r="O29" s="887">
        <f t="shared" si="1"/>
        <v>0</v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3000</v>
      </c>
      <c r="J30" s="242">
        <v>3000</v>
      </c>
      <c r="K30" s="229">
        <v>0</v>
      </c>
      <c r="L30" s="367"/>
      <c r="M30" s="242"/>
      <c r="N30" s="828">
        <f t="shared" si="9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401" t="s">
        <v>863</v>
      </c>
      <c r="J32" s="401" t="s">
        <v>863</v>
      </c>
      <c r="K32" s="741" t="s">
        <v>948</v>
      </c>
      <c r="L32" s="506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0">I8+I13+I16+I28</f>
        <v>914270</v>
      </c>
      <c r="J33" s="170">
        <f t="shared" si="10"/>
        <v>914270</v>
      </c>
      <c r="K33" s="158">
        <f t="shared" si="10"/>
        <v>647243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B45" s="45"/>
      <c r="F45" s="184"/>
      <c r="G45" s="203"/>
      <c r="N45" s="259"/>
    </row>
    <row r="46" spans="1:15" ht="12.95" customHeight="1">
      <c r="B46" s="45"/>
      <c r="F46" s="184"/>
      <c r="G46" s="203"/>
      <c r="N46" s="259"/>
    </row>
    <row r="47" spans="1:15" ht="12.95" customHeight="1">
      <c r="B47" s="45"/>
      <c r="F47" s="184"/>
      <c r="G47" s="203"/>
      <c r="N47" s="259"/>
    </row>
    <row r="48" spans="1:15" ht="12.95" customHeight="1">
      <c r="B48" s="45"/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topLeftCell="A25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694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114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869980</v>
      </c>
      <c r="J8" s="241">
        <f t="shared" si="0"/>
        <v>869980</v>
      </c>
      <c r="K8" s="231">
        <f>SUM(K9:K11)</f>
        <v>619109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731930</f>
        <v>731930</v>
      </c>
      <c r="J9" s="242">
        <v>731930</v>
      </c>
      <c r="K9" s="229">
        <v>533156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133550+4500</f>
        <v>138050</v>
      </c>
      <c r="J10" s="242">
        <v>138050</v>
      </c>
      <c r="K10" s="229">
        <v>85953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76280</v>
      </c>
      <c r="J13" s="241">
        <f t="shared" si="5"/>
        <v>76280</v>
      </c>
      <c r="K13" s="231">
        <f>K14</f>
        <v>56467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76280</f>
        <v>76280</v>
      </c>
      <c r="J14" s="242">
        <v>76280</v>
      </c>
      <c r="K14" s="229">
        <v>56467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101800</v>
      </c>
      <c r="J16" s="239">
        <f t="shared" si="7"/>
        <v>101800</v>
      </c>
      <c r="K16" s="226">
        <f>SUM(K17:K26)</f>
        <v>65507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3500</v>
      </c>
      <c r="J17" s="242">
        <v>3500</v>
      </c>
      <c r="K17" s="229">
        <v>2514</v>
      </c>
      <c r="L17" s="366"/>
      <c r="M17" s="238"/>
      <c r="N17" s="828">
        <f t="shared" ref="N17:N26" si="8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50000</v>
      </c>
      <c r="J18" s="242">
        <v>50000</v>
      </c>
      <c r="K18" s="229">
        <v>30994</v>
      </c>
      <c r="L18" s="366"/>
      <c r="M18" s="238"/>
      <c r="N18" s="828">
        <f t="shared" si="8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3000</v>
      </c>
      <c r="J19" s="242">
        <v>3000</v>
      </c>
      <c r="K19" s="229">
        <v>1444</v>
      </c>
      <c r="L19" s="367"/>
      <c r="M19" s="242"/>
      <c r="N19" s="828">
        <f t="shared" si="8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10000</v>
      </c>
      <c r="J20" s="242">
        <v>10000</v>
      </c>
      <c r="K20" s="229">
        <v>7486</v>
      </c>
      <c r="L20" s="367"/>
      <c r="M20" s="242"/>
      <c r="N20" s="828">
        <f t="shared" si="8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500</v>
      </c>
      <c r="J21" s="242">
        <v>500</v>
      </c>
      <c r="K21" s="229">
        <v>150</v>
      </c>
      <c r="L21" s="367"/>
      <c r="M21" s="242"/>
      <c r="N21" s="828">
        <f t="shared" si="8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8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16000</v>
      </c>
      <c r="J23" s="242">
        <v>13500</v>
      </c>
      <c r="K23" s="229">
        <v>4029</v>
      </c>
      <c r="L23" s="367"/>
      <c r="M23" s="242"/>
      <c r="N23" s="828">
        <f t="shared" si="8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800</v>
      </c>
      <c r="J24" s="242">
        <v>800</v>
      </c>
      <c r="K24" s="229">
        <v>448</v>
      </c>
      <c r="L24" s="367"/>
      <c r="M24" s="242"/>
      <c r="N24" s="828">
        <f t="shared" si="8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18000</v>
      </c>
      <c r="J25" s="242">
        <v>20500</v>
      </c>
      <c r="K25" s="229">
        <v>18442</v>
      </c>
      <c r="L25" s="367"/>
      <c r="M25" s="242"/>
      <c r="N25" s="828">
        <f t="shared" si="8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8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SUM(I29:I30)</f>
        <v>30000</v>
      </c>
      <c r="J28" s="241">
        <f t="shared" si="9"/>
        <v>30000</v>
      </c>
      <c r="K28" s="231">
        <f>SUM(K29:K30)</f>
        <v>11775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12000</v>
      </c>
      <c r="J29" s="242">
        <v>12000</v>
      </c>
      <c r="K29" s="229">
        <v>4755</v>
      </c>
      <c r="L29" s="367"/>
      <c r="M29" s="242"/>
      <c r="N29" s="828">
        <f t="shared" ref="N29:N30" si="10">SUM(L29:M29)</f>
        <v>0</v>
      </c>
      <c r="O29" s="887">
        <f t="shared" si="1"/>
        <v>0</v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18000</v>
      </c>
      <c r="J30" s="242">
        <v>18000</v>
      </c>
      <c r="K30" s="229">
        <v>7020</v>
      </c>
      <c r="L30" s="367"/>
      <c r="M30" s="242"/>
      <c r="N30" s="828">
        <f t="shared" si="10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894</v>
      </c>
      <c r="J32" s="384" t="s">
        <v>894</v>
      </c>
      <c r="K32" s="494" t="s">
        <v>949</v>
      </c>
      <c r="L32" s="493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1078060</v>
      </c>
      <c r="J33" s="170">
        <f t="shared" si="11"/>
        <v>1078060</v>
      </c>
      <c r="K33" s="158">
        <f t="shared" si="11"/>
        <v>752858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379"/>
      <c r="J35" s="161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topLeftCell="A19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681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128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1086800</v>
      </c>
      <c r="J8" s="241">
        <f t="shared" si="0"/>
        <v>1086800</v>
      </c>
      <c r="K8" s="231">
        <f>SUM(K9:K11)</f>
        <v>767736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901370+1*900+2*500+2640</f>
        <v>905910</v>
      </c>
      <c r="J9" s="242">
        <v>905910</v>
      </c>
      <c r="K9" s="229">
        <v>648140</v>
      </c>
      <c r="L9" s="367"/>
      <c r="M9" s="242"/>
      <c r="N9" s="828">
        <f>SUM(L9:M9)</f>
        <v>0</v>
      </c>
      <c r="O9" s="887">
        <f t="shared" si="1"/>
        <v>0</v>
      </c>
      <c r="P9" s="45"/>
      <c r="Q9" s="51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172580+1*1920+2*1100+4190</f>
        <v>180890</v>
      </c>
      <c r="J10" s="242">
        <v>180890</v>
      </c>
      <c r="K10" s="229">
        <v>119596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94060</v>
      </c>
      <c r="J13" s="241">
        <f t="shared" si="5"/>
        <v>94060</v>
      </c>
      <c r="K13" s="231">
        <f>K14</f>
        <v>67983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93400+1*300+2*180</f>
        <v>94060</v>
      </c>
      <c r="J14" s="242">
        <v>94060</v>
      </c>
      <c r="K14" s="229">
        <v>67983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" si="7">SUM(I17:I26)</f>
        <v>158160</v>
      </c>
      <c r="J16" s="239">
        <f t="shared" ref="J16" si="8">SUM(J17:J26)</f>
        <v>158160</v>
      </c>
      <c r="K16" s="226">
        <f>SUM(K17:K26)</f>
        <v>99768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2600</v>
      </c>
      <c r="J17" s="242">
        <v>2600</v>
      </c>
      <c r="K17" s="229">
        <v>2280</v>
      </c>
      <c r="L17" s="366"/>
      <c r="M17" s="238"/>
      <c r="N17" s="828">
        <f t="shared" ref="N17:N26" si="9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95000</v>
      </c>
      <c r="J18" s="242">
        <v>95000</v>
      </c>
      <c r="K18" s="229">
        <v>54444</v>
      </c>
      <c r="L18" s="366"/>
      <c r="M18" s="238"/>
      <c r="N18" s="828">
        <f t="shared" si="9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6800</v>
      </c>
      <c r="J19" s="242">
        <v>6800</v>
      </c>
      <c r="K19" s="229">
        <v>4207</v>
      </c>
      <c r="L19" s="366"/>
      <c r="M19" s="238"/>
      <c r="N19" s="828">
        <f t="shared" si="9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13000</v>
      </c>
      <c r="J20" s="242">
        <v>13000</v>
      </c>
      <c r="K20" s="229">
        <v>11841</v>
      </c>
      <c r="L20" s="366"/>
      <c r="M20" s="238"/>
      <c r="N20" s="828">
        <f t="shared" si="9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1200</v>
      </c>
      <c r="J21" s="242">
        <v>1200</v>
      </c>
      <c r="K21" s="229">
        <v>953</v>
      </c>
      <c r="L21" s="367"/>
      <c r="M21" s="242"/>
      <c r="N21" s="828">
        <f t="shared" si="9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9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14000</v>
      </c>
      <c r="J23" s="242">
        <v>14000</v>
      </c>
      <c r="K23" s="229">
        <v>7118</v>
      </c>
      <c r="L23" s="367"/>
      <c r="M23" s="242"/>
      <c r="N23" s="828">
        <f t="shared" si="9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2060</v>
      </c>
      <c r="J24" s="242">
        <v>2060</v>
      </c>
      <c r="K24" s="229">
        <v>1627</v>
      </c>
      <c r="L24" s="367"/>
      <c r="M24" s="242"/>
      <c r="N24" s="828">
        <f t="shared" si="9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23500</v>
      </c>
      <c r="J25" s="242">
        <v>23500</v>
      </c>
      <c r="K25" s="229">
        <v>17298</v>
      </c>
      <c r="L25" s="367"/>
      <c r="M25" s="242"/>
      <c r="N25" s="828">
        <f t="shared" si="9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35">
        <v>0</v>
      </c>
      <c r="J26" s="235">
        <v>0</v>
      </c>
      <c r="K26" s="495">
        <v>0</v>
      </c>
      <c r="L26" s="368"/>
      <c r="M26" s="235"/>
      <c r="N26" s="828">
        <f t="shared" si="9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10">SUM(I29:I30)</f>
        <v>18000</v>
      </c>
      <c r="J28" s="241">
        <f t="shared" ref="J28" si="11">SUM(J29:J30)</f>
        <v>18000</v>
      </c>
      <c r="K28" s="231">
        <f>SUM(K29:K30)</f>
        <v>12931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10000</v>
      </c>
      <c r="J29" s="242">
        <v>10000</v>
      </c>
      <c r="K29" s="229">
        <v>4932</v>
      </c>
      <c r="L29" s="367"/>
      <c r="M29" s="242"/>
      <c r="N29" s="828">
        <f t="shared" ref="N29:N30" si="12">SUM(L29:M29)</f>
        <v>0</v>
      </c>
      <c r="O29" s="887">
        <f t="shared" si="1"/>
        <v>0</v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8000</v>
      </c>
      <c r="J30" s="242">
        <v>8000</v>
      </c>
      <c r="K30" s="229">
        <v>7999</v>
      </c>
      <c r="L30" s="367"/>
      <c r="M30" s="242"/>
      <c r="N30" s="828">
        <f t="shared" si="12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838</v>
      </c>
      <c r="J32" s="384" t="s">
        <v>838</v>
      </c>
      <c r="K32" s="494" t="s">
        <v>838</v>
      </c>
      <c r="L32" s="493"/>
      <c r="M32" s="384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3">I8+I13+I16+I28</f>
        <v>1357020</v>
      </c>
      <c r="J33" s="170">
        <f t="shared" si="13"/>
        <v>1357020</v>
      </c>
      <c r="K33" s="158">
        <f t="shared" si="13"/>
        <v>948418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topLeftCell="A16" zoomScaleNormal="100" workbookViewId="0">
      <selection activeCell="L29" sqref="L29:M3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683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129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414440</v>
      </c>
      <c r="J8" s="241">
        <f t="shared" si="0"/>
        <v>414440</v>
      </c>
      <c r="K8" s="231">
        <f>SUM(K9:K11)</f>
        <v>290417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338740+1*900+1*500</f>
        <v>340140</v>
      </c>
      <c r="J9" s="242">
        <v>340140</v>
      </c>
      <c r="K9" s="229">
        <v>244756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71280+1*1920+1*1100</f>
        <v>74300</v>
      </c>
      <c r="J10" s="242">
        <v>74300</v>
      </c>
      <c r="K10" s="229">
        <v>45661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35600</v>
      </c>
      <c r="J13" s="241">
        <f t="shared" si="5"/>
        <v>35600</v>
      </c>
      <c r="K13" s="231">
        <f>K14</f>
        <v>26044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35120+1*300+1*180</f>
        <v>35600</v>
      </c>
      <c r="J14" s="242">
        <v>35600</v>
      </c>
      <c r="K14" s="229">
        <v>26044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" si="7">SUM(I17:I26)</f>
        <v>70260</v>
      </c>
      <c r="J16" s="239">
        <f t="shared" ref="J16" si="8">SUM(J17:J26)</f>
        <v>70260</v>
      </c>
      <c r="K16" s="226">
        <f>SUM(K17:K26)</f>
        <v>40922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2500</v>
      </c>
      <c r="J17" s="242">
        <v>2500</v>
      </c>
      <c r="K17" s="229">
        <v>1337</v>
      </c>
      <c r="L17" s="366"/>
      <c r="M17" s="238"/>
      <c r="N17" s="828">
        <f t="shared" ref="N17:N26" si="9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24000</v>
      </c>
      <c r="J18" s="242">
        <v>24000</v>
      </c>
      <c r="K18" s="229">
        <v>14940</v>
      </c>
      <c r="L18" s="366"/>
      <c r="M18" s="238"/>
      <c r="N18" s="828">
        <f t="shared" si="9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3300</v>
      </c>
      <c r="J19" s="242">
        <v>3300</v>
      </c>
      <c r="K19" s="229">
        <v>1926</v>
      </c>
      <c r="L19" s="366"/>
      <c r="M19" s="238"/>
      <c r="N19" s="828">
        <f t="shared" si="9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9500</v>
      </c>
      <c r="J20" s="242">
        <v>9500</v>
      </c>
      <c r="K20" s="229">
        <v>3837</v>
      </c>
      <c r="L20" s="366"/>
      <c r="M20" s="238"/>
      <c r="N20" s="828">
        <f t="shared" si="9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600</v>
      </c>
      <c r="J21" s="242">
        <v>600</v>
      </c>
      <c r="K21" s="229">
        <v>488</v>
      </c>
      <c r="L21" s="366"/>
      <c r="M21" s="238"/>
      <c r="N21" s="828">
        <f t="shared" si="9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9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7000</v>
      </c>
      <c r="J23" s="242">
        <v>7000</v>
      </c>
      <c r="K23" s="229">
        <v>1029</v>
      </c>
      <c r="L23" s="366"/>
      <c r="M23" s="238"/>
      <c r="N23" s="828">
        <f t="shared" si="9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360</v>
      </c>
      <c r="J24" s="242">
        <v>360</v>
      </c>
      <c r="K24" s="229">
        <v>210</v>
      </c>
      <c r="L24" s="367"/>
      <c r="M24" s="242"/>
      <c r="N24" s="828">
        <f t="shared" si="9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23000</v>
      </c>
      <c r="J25" s="242">
        <v>23000</v>
      </c>
      <c r="K25" s="229">
        <v>17155</v>
      </c>
      <c r="L25" s="367"/>
      <c r="M25" s="242"/>
      <c r="N25" s="828">
        <f t="shared" si="9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9"/>
        <v>0</v>
      </c>
      <c r="O26" s="887" t="str">
        <f t="shared" si="1"/>
        <v/>
      </c>
    </row>
    <row r="27" spans="1:15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10">SUM(I29:I30)</f>
        <v>3500</v>
      </c>
      <c r="J28" s="241">
        <f t="shared" ref="J28" si="11">SUM(J29:J30)</f>
        <v>3500</v>
      </c>
      <c r="K28" s="231">
        <f>SUM(K29:K30)</f>
        <v>842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12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3500</v>
      </c>
      <c r="J30" s="242">
        <v>3500</v>
      </c>
      <c r="K30" s="229">
        <v>842</v>
      </c>
      <c r="L30" s="367"/>
      <c r="M30" s="242"/>
      <c r="N30" s="828">
        <f t="shared" si="12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401" t="s">
        <v>839</v>
      </c>
      <c r="J32" s="401" t="s">
        <v>839</v>
      </c>
      <c r="K32" s="741" t="s">
        <v>950</v>
      </c>
      <c r="L32" s="506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3">I8+I13+I16+I28</f>
        <v>523800</v>
      </c>
      <c r="J33" s="170">
        <f t="shared" si="13"/>
        <v>523800</v>
      </c>
      <c r="K33" s="158">
        <f t="shared" si="13"/>
        <v>358225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/>
      <c r="J34" s="170"/>
      <c r="K34" s="158"/>
      <c r="L34" s="377"/>
      <c r="M34" s="170"/>
      <c r="N34" s="789"/>
      <c r="O34" s="887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29"/>
      <c r="J35" s="29"/>
      <c r="K35" s="153"/>
      <c r="L35" s="376"/>
      <c r="M35" s="161"/>
      <c r="N35" s="791"/>
      <c r="O35" s="887" t="str">
        <f>IF(J35=0,"",N35/J35*100)</f>
        <v/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B45" s="45"/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topLeftCell="A19" zoomScaleNormal="100" workbookViewId="0">
      <selection activeCell="L33" sqref="L3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684</v>
      </c>
      <c r="C2" s="964"/>
      <c r="D2" s="964"/>
      <c r="E2" s="964"/>
      <c r="F2" s="964"/>
      <c r="G2" s="964"/>
      <c r="H2" s="964"/>
      <c r="I2" s="964"/>
      <c r="J2" s="998"/>
      <c r="K2" s="998"/>
      <c r="L2" s="998"/>
      <c r="M2" s="998"/>
      <c r="N2" s="998"/>
      <c r="O2" s="999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126</v>
      </c>
      <c r="C7" s="7" t="s">
        <v>127</v>
      </c>
      <c r="D7" s="7" t="s">
        <v>130</v>
      </c>
      <c r="E7" s="422" t="s">
        <v>724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690630</v>
      </c>
      <c r="J8" s="241">
        <f t="shared" si="0"/>
        <v>690630</v>
      </c>
      <c r="K8" s="231">
        <f>SUM(K9:K11)</f>
        <v>484605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577650+1*900+2*500</f>
        <v>579550</v>
      </c>
      <c r="J9" s="242">
        <v>579550</v>
      </c>
      <c r="K9" s="229">
        <v>415158</v>
      </c>
      <c r="L9" s="367"/>
      <c r="M9" s="242"/>
      <c r="N9" s="828">
        <f>SUM(L9:M9)</f>
        <v>0</v>
      </c>
      <c r="O9" s="887">
        <f t="shared" si="1"/>
        <v>0</v>
      </c>
      <c r="Q9" s="51"/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106960+1920+2*1100</f>
        <v>111080</v>
      </c>
      <c r="J10" s="242">
        <v>111080</v>
      </c>
      <c r="K10" s="229">
        <v>69447</v>
      </c>
      <c r="L10" s="367"/>
      <c r="M10" s="242"/>
      <c r="N10" s="828">
        <f t="shared" ref="N10:N11" si="4">SUM(L10:M10)</f>
        <v>0</v>
      </c>
      <c r="O10" s="887">
        <f t="shared" si="1"/>
        <v>0</v>
      </c>
      <c r="Q10" s="51"/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1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  <c r="Q12" s="51"/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60940</v>
      </c>
      <c r="J13" s="241">
        <f t="shared" si="5"/>
        <v>60940</v>
      </c>
      <c r="K13" s="231">
        <f>K14</f>
        <v>44228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  <c r="Q13" s="51"/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60280+1*300+2*180</f>
        <v>60940</v>
      </c>
      <c r="J14" s="242">
        <v>60940</v>
      </c>
      <c r="K14" s="229">
        <v>44228</v>
      </c>
      <c r="L14" s="367"/>
      <c r="M14" s="242"/>
      <c r="N14" s="828">
        <f>SUM(L14:M14)</f>
        <v>0</v>
      </c>
      <c r="O14" s="887">
        <f t="shared" si="1"/>
        <v>0</v>
      </c>
      <c r="Q14" s="51"/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" si="7">SUM(I17:I26)</f>
        <v>76120</v>
      </c>
      <c r="J16" s="239">
        <f t="shared" ref="J16" si="8">SUM(J17:J26)</f>
        <v>76120</v>
      </c>
      <c r="K16" s="226">
        <f>SUM(K17:K26)</f>
        <v>56145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4200</v>
      </c>
      <c r="J17" s="242">
        <v>4200</v>
      </c>
      <c r="K17" s="229">
        <v>3429</v>
      </c>
      <c r="L17" s="366"/>
      <c r="M17" s="238"/>
      <c r="N17" s="828">
        <f t="shared" ref="N17:N26" si="9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35000</v>
      </c>
      <c r="J18" s="242">
        <v>35000</v>
      </c>
      <c r="K18" s="229">
        <v>24287</v>
      </c>
      <c r="L18" s="366"/>
      <c r="M18" s="238"/>
      <c r="N18" s="828">
        <f t="shared" si="9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2200</v>
      </c>
      <c r="J19" s="242">
        <v>2200</v>
      </c>
      <c r="K19" s="229">
        <v>1198</v>
      </c>
      <c r="L19" s="366"/>
      <c r="M19" s="238"/>
      <c r="N19" s="828">
        <f t="shared" si="9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10000</v>
      </c>
      <c r="J20" s="242">
        <v>10000</v>
      </c>
      <c r="K20" s="229">
        <v>6177</v>
      </c>
      <c r="L20" s="367"/>
      <c r="M20" s="242"/>
      <c r="N20" s="828">
        <f t="shared" si="9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1000</v>
      </c>
      <c r="J21" s="242">
        <v>1000</v>
      </c>
      <c r="K21" s="229">
        <v>582</v>
      </c>
      <c r="L21" s="367"/>
      <c r="M21" s="242"/>
      <c r="N21" s="828">
        <f t="shared" si="9"/>
        <v>0</v>
      </c>
      <c r="O21" s="887">
        <f t="shared" si="1"/>
        <v>0</v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9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12000</v>
      </c>
      <c r="J23" s="242">
        <v>12000</v>
      </c>
      <c r="K23" s="229">
        <v>9299</v>
      </c>
      <c r="L23" s="367"/>
      <c r="M23" s="242"/>
      <c r="N23" s="828">
        <f t="shared" si="9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720</v>
      </c>
      <c r="J24" s="242">
        <v>720</v>
      </c>
      <c r="K24" s="229">
        <v>406</v>
      </c>
      <c r="L24" s="367"/>
      <c r="M24" s="242"/>
      <c r="N24" s="828">
        <f t="shared" si="9"/>
        <v>0</v>
      </c>
      <c r="O24" s="887">
        <f t="shared" si="1"/>
        <v>0</v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11000</v>
      </c>
      <c r="J25" s="242">
        <v>11000</v>
      </c>
      <c r="K25" s="229">
        <v>10767</v>
      </c>
      <c r="L25" s="367"/>
      <c r="M25" s="242"/>
      <c r="N25" s="828">
        <f t="shared" si="9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9"/>
        <v>0</v>
      </c>
      <c r="O26" s="887" t="str">
        <f t="shared" si="1"/>
        <v/>
      </c>
    </row>
    <row r="27" spans="1:15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5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10">SUM(I29:I31)</f>
        <v>5000</v>
      </c>
      <c r="J28" s="241">
        <f t="shared" ref="J28" si="11">SUM(J29:J31)</f>
        <v>5000</v>
      </c>
      <c r="K28" s="231">
        <f>SUM(K29:K31)</f>
        <v>1701</v>
      </c>
      <c r="L28" s="490">
        <f>SUM(L29:L31)</f>
        <v>0</v>
      </c>
      <c r="M28" s="241">
        <f>SUM(M29:M31)</f>
        <v>0</v>
      </c>
      <c r="N28" s="789">
        <f>SUM(N29:N31)</f>
        <v>0</v>
      </c>
      <c r="O28" s="886">
        <f t="shared" si="1"/>
        <v>0</v>
      </c>
    </row>
    <row r="29" spans="1:15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12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5000</v>
      </c>
      <c r="J30" s="242">
        <v>5000</v>
      </c>
      <c r="K30" s="229">
        <v>1701</v>
      </c>
      <c r="L30" s="367"/>
      <c r="M30" s="242"/>
      <c r="N30" s="828">
        <f t="shared" si="12"/>
        <v>0</v>
      </c>
      <c r="O30" s="887">
        <f t="shared" si="1"/>
        <v>0</v>
      </c>
    </row>
    <row r="31" spans="1:15" ht="12.95" customHeight="1">
      <c r="B31" s="10"/>
      <c r="C31" s="11"/>
      <c r="D31" s="11"/>
      <c r="E31" s="168"/>
      <c r="F31" s="182"/>
      <c r="G31" s="201"/>
      <c r="H31" s="435"/>
      <c r="I31" s="242"/>
      <c r="J31" s="242"/>
      <c r="K31" s="229"/>
      <c r="L31" s="367"/>
      <c r="M31" s="242"/>
      <c r="N31" s="791"/>
      <c r="O31" s="887" t="str">
        <f t="shared" si="1"/>
        <v/>
      </c>
    </row>
    <row r="32" spans="1:15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384" t="s">
        <v>864</v>
      </c>
      <c r="J32" s="384" t="s">
        <v>864</v>
      </c>
      <c r="K32" s="494" t="s">
        <v>951</v>
      </c>
      <c r="L32" s="506"/>
      <c r="M32" s="401"/>
      <c r="N32" s="782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3">I8+I13+I16+I28</f>
        <v>832690</v>
      </c>
      <c r="J33" s="170">
        <f t="shared" si="13"/>
        <v>832690</v>
      </c>
      <c r="K33" s="158">
        <f t="shared" si="13"/>
        <v>586679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>I33+'29'!I33+'28'!I33+'27'!I33+'26'!I33+'25'!I33+'24'!I33</f>
        <v>9647950</v>
      </c>
      <c r="J34" s="170">
        <f>J33+'29'!J33+'28'!J33+'27'!J33+'26'!J33+'25'!J33+'24'!J33</f>
        <v>9647950</v>
      </c>
      <c r="K34" s="158">
        <f>K33+'29'!K33+'28'!K33+'27'!K33+'26'!K33+'25'!K33+'24'!K33</f>
        <v>6796246</v>
      </c>
      <c r="L34" s="377">
        <f>L33+'29'!L33+'28'!L33+'27'!L33+'26'!L33+'25'!L33+'24'!L33</f>
        <v>0</v>
      </c>
      <c r="M34" s="170">
        <f>M33+'29'!M33+'28'!M33+'27'!M33+'26'!M33+'25'!M33+'24'!M33</f>
        <v>0</v>
      </c>
      <c r="N34" s="789">
        <f>N33+'29'!N33+'28'!N33+'27'!N33+'26'!N33+'25'!N33+'24'!N33</f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>I34+'23'!I34+'20'!I46</f>
        <v>16989930</v>
      </c>
      <c r="J35" s="15">
        <f>J34+'23'!J34+'20'!J46</f>
        <v>17236314</v>
      </c>
      <c r="K35" s="158">
        <f>K34+'23'!K34+'20'!K46</f>
        <v>11709586</v>
      </c>
      <c r="L35" s="377">
        <f>L34+'23'!L34+'20'!L46</f>
        <v>0</v>
      </c>
      <c r="M35" s="170">
        <f>M34+'23'!M34+'20'!M46</f>
        <v>0</v>
      </c>
      <c r="N35" s="789">
        <f>N34+'23'!N34+'20'!N46</f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B44" s="45"/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topLeftCell="A17" zoomScaleNormal="100" workbookViewId="0">
      <selection activeCell="L32" sqref="L32:M33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648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131</v>
      </c>
      <c r="C7" s="7" t="s">
        <v>79</v>
      </c>
      <c r="D7" s="7" t="s">
        <v>80</v>
      </c>
      <c r="E7" s="422" t="s">
        <v>714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311630</v>
      </c>
      <c r="J8" s="241">
        <f t="shared" si="0"/>
        <v>311630</v>
      </c>
      <c r="K8" s="231">
        <f>SUM(K9:K11)</f>
        <v>223489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4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234370+1000+7*1420+4*1800</f>
        <v>252510</v>
      </c>
      <c r="J9" s="242">
        <v>252510</v>
      </c>
      <c r="K9" s="229">
        <v>179032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54470+800+7*22*10+550+4*22*20</f>
        <v>59120</v>
      </c>
      <c r="J10" s="242">
        <v>59120</v>
      </c>
      <c r="K10" s="229">
        <v>44457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26840</v>
      </c>
      <c r="J13" s="241">
        <f t="shared" si="5"/>
        <v>26840</v>
      </c>
      <c r="K13" s="231">
        <f>K14</f>
        <v>18798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24620+300+7*160+4*200</f>
        <v>26840</v>
      </c>
      <c r="J14" s="242">
        <v>26840</v>
      </c>
      <c r="K14" s="229">
        <v>18798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41"/>
      <c r="J15" s="241"/>
      <c r="K15" s="231"/>
      <c r="L15" s="490"/>
      <c r="M15" s="241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2">
        <f t="shared" ref="I16:K16" si="7">SUM(I17:I26)</f>
        <v>49000</v>
      </c>
      <c r="J16" s="232">
        <f t="shared" si="7"/>
        <v>49000</v>
      </c>
      <c r="K16" s="737">
        <f t="shared" si="7"/>
        <v>36182</v>
      </c>
      <c r="L16" s="370">
        <f t="shared" ref="L16" si="8">SUM(L17:L26)</f>
        <v>0</v>
      </c>
      <c r="M16" s="241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2000</v>
      </c>
      <c r="J17" s="242">
        <v>2500</v>
      </c>
      <c r="K17" s="229">
        <v>1925</v>
      </c>
      <c r="L17" s="367"/>
      <c r="M17" s="242"/>
      <c r="N17" s="828">
        <f t="shared" ref="N17:N26" si="9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0</v>
      </c>
      <c r="J18" s="242">
        <v>0</v>
      </c>
      <c r="K18" s="229">
        <v>0</v>
      </c>
      <c r="L18" s="367"/>
      <c r="M18" s="242"/>
      <c r="N18" s="828">
        <f t="shared" si="9"/>
        <v>0</v>
      </c>
      <c r="O18" s="887" t="str">
        <f t="shared" si="1"/>
        <v/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3000</v>
      </c>
      <c r="J19" s="242">
        <v>3000</v>
      </c>
      <c r="K19" s="229">
        <v>1905</v>
      </c>
      <c r="L19" s="367"/>
      <c r="M19" s="242"/>
      <c r="N19" s="828">
        <f t="shared" si="9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1500</v>
      </c>
      <c r="J20" s="242">
        <v>1500</v>
      </c>
      <c r="K20" s="229">
        <v>629</v>
      </c>
      <c r="L20" s="367"/>
      <c r="M20" s="242"/>
      <c r="N20" s="828">
        <f t="shared" si="9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0</v>
      </c>
      <c r="J21" s="242">
        <v>0</v>
      </c>
      <c r="K21" s="229">
        <v>0</v>
      </c>
      <c r="L21" s="367"/>
      <c r="M21" s="242"/>
      <c r="N21" s="828">
        <f t="shared" si="9"/>
        <v>0</v>
      </c>
      <c r="O21" s="887" t="str">
        <f t="shared" si="1"/>
        <v/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9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1500</v>
      </c>
      <c r="J23" s="242">
        <v>1500</v>
      </c>
      <c r="K23" s="229">
        <v>558</v>
      </c>
      <c r="L23" s="367"/>
      <c r="M23" s="242"/>
      <c r="N23" s="828">
        <f t="shared" si="9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0</v>
      </c>
      <c r="J24" s="242">
        <v>0</v>
      </c>
      <c r="K24" s="229">
        <v>0</v>
      </c>
      <c r="L24" s="367"/>
      <c r="M24" s="242"/>
      <c r="N24" s="828">
        <f t="shared" si="9"/>
        <v>0</v>
      </c>
      <c r="O24" s="887" t="str">
        <f t="shared" si="1"/>
        <v/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f t="shared" ref="I25" si="10">45000-4*1000</f>
        <v>41000</v>
      </c>
      <c r="J25" s="242">
        <v>40500</v>
      </c>
      <c r="K25" s="229">
        <v>31165</v>
      </c>
      <c r="L25" s="367"/>
      <c r="M25" s="242"/>
      <c r="N25" s="828">
        <f t="shared" si="9"/>
        <v>0</v>
      </c>
      <c r="O25" s="887">
        <f t="shared" si="1"/>
        <v>0</v>
      </c>
      <c r="P25" s="58"/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9"/>
        <v>0</v>
      </c>
      <c r="O26" s="887" t="str">
        <f t="shared" si="1"/>
        <v/>
      </c>
    </row>
    <row r="27" spans="1:16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614000</v>
      </c>
      <c r="G28" s="200"/>
      <c r="H28" s="25" t="s">
        <v>165</v>
      </c>
      <c r="I28" s="241">
        <f t="shared" ref="I28:J28" si="11">SUM(I29:I29)</f>
        <v>1800000</v>
      </c>
      <c r="J28" s="241">
        <f t="shared" si="11"/>
        <v>1800000</v>
      </c>
      <c r="K28" s="743">
        <f>SUM(K29:K29)</f>
        <v>1282264</v>
      </c>
      <c r="L28" s="509">
        <f>SUM(L29:L29)</f>
        <v>0</v>
      </c>
      <c r="M28" s="241">
        <f>SUM(M29:M29)</f>
        <v>0</v>
      </c>
      <c r="N28" s="789">
        <f>SUM(N29:N29)</f>
        <v>0</v>
      </c>
      <c r="O28" s="886">
        <f t="shared" si="1"/>
        <v>0</v>
      </c>
    </row>
    <row r="29" spans="1:16" s="166" customFormat="1" ht="12.95" customHeight="1">
      <c r="B29" s="167"/>
      <c r="C29" s="168"/>
      <c r="D29" s="168"/>
      <c r="E29" s="168"/>
      <c r="F29" s="182">
        <v>614200</v>
      </c>
      <c r="G29" s="201" t="s">
        <v>527</v>
      </c>
      <c r="H29" s="555" t="s">
        <v>827</v>
      </c>
      <c r="I29" s="242">
        <v>1800000</v>
      </c>
      <c r="J29" s="242">
        <v>1800000</v>
      </c>
      <c r="K29" s="229">
        <v>1282264</v>
      </c>
      <c r="L29" s="367"/>
      <c r="M29" s="242"/>
      <c r="N29" s="828">
        <f>SUM(L29:M29)</f>
        <v>0</v>
      </c>
      <c r="O29" s="887">
        <f t="shared" si="1"/>
        <v>0</v>
      </c>
    </row>
    <row r="30" spans="1:16" ht="12.95" customHeight="1">
      <c r="B30" s="10"/>
      <c r="C30" s="11"/>
      <c r="D30" s="11"/>
      <c r="E30" s="168"/>
      <c r="F30" s="182"/>
      <c r="G30" s="201"/>
      <c r="H30" s="24"/>
      <c r="I30" s="242"/>
      <c r="J30" s="242"/>
      <c r="K30" s="229"/>
      <c r="L30" s="367"/>
      <c r="M30" s="242"/>
      <c r="N30" s="791"/>
      <c r="O30" s="887" t="str">
        <f t="shared" si="1"/>
        <v/>
      </c>
    </row>
    <row r="31" spans="1:16" s="1" customFormat="1" ht="12.95" customHeight="1">
      <c r="A31" s="163"/>
      <c r="B31" s="12"/>
      <c r="C31" s="8"/>
      <c r="D31" s="8"/>
      <c r="E31" s="8"/>
      <c r="F31" s="181">
        <v>821000</v>
      </c>
      <c r="G31" s="200"/>
      <c r="H31" s="25" t="s">
        <v>88</v>
      </c>
      <c r="I31" s="241">
        <f t="shared" ref="I31" si="12">SUM(I32:I33)</f>
        <v>6200</v>
      </c>
      <c r="J31" s="241">
        <f>SUM(J32:J33)</f>
        <v>6200</v>
      </c>
      <c r="K31" s="231">
        <f t="shared" ref="K31" si="13">SUM(K32:K33)</f>
        <v>5686</v>
      </c>
      <c r="L31" s="490">
        <f t="shared" ref="L31" si="14">SUM(L32:L33)</f>
        <v>0</v>
      </c>
      <c r="M31" s="241">
        <f>SUM(M32:M33)</f>
        <v>0</v>
      </c>
      <c r="N31" s="789">
        <f>SUM(N32:N33)</f>
        <v>0</v>
      </c>
      <c r="O31" s="887">
        <f t="shared" si="1"/>
        <v>0</v>
      </c>
    </row>
    <row r="32" spans="1:16" ht="12.95" customHeight="1">
      <c r="B32" s="10"/>
      <c r="C32" s="11"/>
      <c r="D32" s="11"/>
      <c r="E32" s="168"/>
      <c r="F32" s="182">
        <v>821200</v>
      </c>
      <c r="G32" s="201"/>
      <c r="H32" s="24" t="s">
        <v>89</v>
      </c>
      <c r="I32" s="242">
        <v>0</v>
      </c>
      <c r="J32" s="242">
        <v>0</v>
      </c>
      <c r="K32" s="229">
        <v>0</v>
      </c>
      <c r="L32" s="367"/>
      <c r="M32" s="242"/>
      <c r="N32" s="828">
        <f t="shared" ref="N32:N33" si="15">SUM(L32:M32)</f>
        <v>0</v>
      </c>
      <c r="O32" s="887" t="str">
        <f t="shared" si="1"/>
        <v/>
      </c>
    </row>
    <row r="33" spans="1:15" ht="12.95" customHeight="1">
      <c r="B33" s="10"/>
      <c r="C33" s="11"/>
      <c r="D33" s="11"/>
      <c r="E33" s="168"/>
      <c r="F33" s="182">
        <v>821300</v>
      </c>
      <c r="G33" s="201"/>
      <c r="H33" s="24" t="s">
        <v>90</v>
      </c>
      <c r="I33" s="242">
        <v>6200</v>
      </c>
      <c r="J33" s="242">
        <v>6200</v>
      </c>
      <c r="K33" s="229">
        <v>5686</v>
      </c>
      <c r="L33" s="367"/>
      <c r="M33" s="242"/>
      <c r="N33" s="828">
        <f t="shared" si="15"/>
        <v>0</v>
      </c>
      <c r="O33" s="887">
        <f t="shared" si="1"/>
        <v>0</v>
      </c>
    </row>
    <row r="34" spans="1:15" ht="12.95" customHeight="1">
      <c r="B34" s="10"/>
      <c r="C34" s="11"/>
      <c r="D34" s="11"/>
      <c r="E34" s="168"/>
      <c r="F34" s="182"/>
      <c r="G34" s="201"/>
      <c r="H34" s="24"/>
      <c r="I34" s="242"/>
      <c r="J34" s="242"/>
      <c r="K34" s="229"/>
      <c r="L34" s="367"/>
      <c r="M34" s="242"/>
      <c r="N34" s="791"/>
      <c r="O34" s="887" t="str">
        <f t="shared" si="1"/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25" t="s">
        <v>91</v>
      </c>
      <c r="I35" s="401" t="s">
        <v>892</v>
      </c>
      <c r="J35" s="401" t="s">
        <v>892</v>
      </c>
      <c r="K35" s="741" t="s">
        <v>935</v>
      </c>
      <c r="L35" s="506"/>
      <c r="M35" s="237"/>
      <c r="N35" s="782"/>
      <c r="O35" s="887"/>
    </row>
    <row r="36" spans="1:15" s="1" customFormat="1" ht="12.95" customHeight="1">
      <c r="A36" s="163"/>
      <c r="B36" s="12"/>
      <c r="C36" s="8"/>
      <c r="D36" s="8"/>
      <c r="E36" s="8"/>
      <c r="F36" s="181"/>
      <c r="G36" s="200"/>
      <c r="H36" s="8" t="s">
        <v>105</v>
      </c>
      <c r="I36" s="15">
        <f t="shared" ref="I36:N36" si="16">I8+I13+I16+I28+I31</f>
        <v>2193670</v>
      </c>
      <c r="J36" s="15">
        <f t="shared" si="16"/>
        <v>2193670</v>
      </c>
      <c r="K36" s="158">
        <f t="shared" ref="K36" si="17">K8+K13+K16+K28+K31</f>
        <v>1566419</v>
      </c>
      <c r="L36" s="377">
        <f t="shared" si="16"/>
        <v>0</v>
      </c>
      <c r="M36" s="170">
        <f t="shared" si="16"/>
        <v>0</v>
      </c>
      <c r="N36" s="789">
        <f t="shared" si="16"/>
        <v>0</v>
      </c>
      <c r="O36" s="886">
        <f>IF(J36=0,"",N36/J36*100)</f>
        <v>0</v>
      </c>
    </row>
    <row r="37" spans="1:15" s="1" customFormat="1" ht="12.95" customHeight="1">
      <c r="A37" s="163"/>
      <c r="B37" s="12"/>
      <c r="C37" s="8"/>
      <c r="D37" s="8"/>
      <c r="E37" s="8"/>
      <c r="F37" s="181"/>
      <c r="G37" s="200"/>
      <c r="H37" s="8" t="s">
        <v>92</v>
      </c>
      <c r="I37" s="15">
        <f t="shared" ref="I37:K38" si="18">I36</f>
        <v>2193670</v>
      </c>
      <c r="J37" s="15">
        <f t="shared" si="18"/>
        <v>2193670</v>
      </c>
      <c r="K37" s="158">
        <f t="shared" si="18"/>
        <v>1566419</v>
      </c>
      <c r="L37" s="377">
        <f t="shared" ref="L37:N38" si="19">L36</f>
        <v>0</v>
      </c>
      <c r="M37" s="170">
        <f t="shared" si="19"/>
        <v>0</v>
      </c>
      <c r="N37" s="789">
        <f t="shared" si="19"/>
        <v>0</v>
      </c>
      <c r="O37" s="886">
        <f>IF(J37=0,"",N37/J37*100)</f>
        <v>0</v>
      </c>
    </row>
    <row r="38" spans="1:15" s="1" customFormat="1" ht="12.95" customHeight="1">
      <c r="A38" s="163"/>
      <c r="B38" s="12"/>
      <c r="C38" s="8"/>
      <c r="D38" s="8"/>
      <c r="E38" s="8"/>
      <c r="F38" s="181"/>
      <c r="G38" s="200"/>
      <c r="H38" s="8" t="s">
        <v>93</v>
      </c>
      <c r="I38" s="15">
        <f t="shared" si="18"/>
        <v>2193670</v>
      </c>
      <c r="J38" s="15">
        <f t="shared" si="18"/>
        <v>2193670</v>
      </c>
      <c r="K38" s="158">
        <f t="shared" si="18"/>
        <v>1566419</v>
      </c>
      <c r="L38" s="377">
        <f t="shared" si="19"/>
        <v>0</v>
      </c>
      <c r="M38" s="170">
        <f t="shared" si="19"/>
        <v>0</v>
      </c>
      <c r="N38" s="789">
        <f t="shared" si="19"/>
        <v>0</v>
      </c>
      <c r="O38" s="886">
        <f>IF(J38=0,"",N38/J38*100)</f>
        <v>0</v>
      </c>
    </row>
    <row r="39" spans="1:15" ht="12.95" customHeight="1" thickBot="1">
      <c r="B39" s="16"/>
      <c r="C39" s="17"/>
      <c r="D39" s="17"/>
      <c r="E39" s="17"/>
      <c r="F39" s="183"/>
      <c r="G39" s="202"/>
      <c r="H39" s="17"/>
      <c r="I39" s="31"/>
      <c r="J39" s="31"/>
      <c r="K39" s="739"/>
      <c r="L39" s="378"/>
      <c r="M39" s="31"/>
      <c r="N39" s="829"/>
      <c r="O39" s="888"/>
    </row>
    <row r="40" spans="1:15" ht="12.95" customHeight="1">
      <c r="F40" s="184"/>
      <c r="G40" s="203"/>
      <c r="I40" s="53"/>
      <c r="J40" s="53"/>
      <c r="K40" s="53"/>
      <c r="L40" s="893"/>
      <c r="M40" s="5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topLeftCell="A10" zoomScaleNormal="100" workbookViewId="0">
      <selection activeCell="O24" sqref="O24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663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132</v>
      </c>
      <c r="C7" s="7" t="s">
        <v>79</v>
      </c>
      <c r="D7" s="7" t="s">
        <v>80</v>
      </c>
      <c r="E7" s="422" t="s">
        <v>712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104240</v>
      </c>
      <c r="J8" s="241">
        <f t="shared" si="0"/>
        <v>104240</v>
      </c>
      <c r="K8" s="231">
        <f>SUM(K9:K11)</f>
        <v>79353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f t="shared" ref="I9" si="2">88710+200</f>
        <v>88910</v>
      </c>
      <c r="J9" s="240">
        <v>88910</v>
      </c>
      <c r="K9" s="230">
        <v>66916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f t="shared" ref="I10" si="3">12770+200+210+2150</f>
        <v>15330</v>
      </c>
      <c r="J10" s="240">
        <v>15330</v>
      </c>
      <c r="K10" s="230">
        <v>12437</v>
      </c>
      <c r="L10" s="364"/>
      <c r="M10" s="240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0"/>
      <c r="J12" s="240"/>
      <c r="K12" s="230"/>
      <c r="L12" s="364"/>
      <c r="M12" s="240"/>
      <c r="N12" s="828"/>
      <c r="O12" s="887" t="str">
        <f t="shared" si="1"/>
        <v/>
      </c>
    </row>
    <row r="13" spans="1:17" ht="12.95" customHeight="1"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8850</v>
      </c>
      <c r="J13" s="241">
        <f t="shared" si="5"/>
        <v>8850</v>
      </c>
      <c r="K13" s="231">
        <f>K14</f>
        <v>6511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s="1" customFormat="1" ht="12.95" customHeight="1">
      <c r="A14" s="163"/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f t="shared" ref="I14" si="6">8800+50</f>
        <v>8850</v>
      </c>
      <c r="J14" s="240">
        <v>8850</v>
      </c>
      <c r="K14" s="230">
        <v>6511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6"/>
      <c r="J15" s="236"/>
      <c r="K15" s="225"/>
      <c r="L15" s="365"/>
      <c r="M15" s="236"/>
      <c r="N15" s="791"/>
      <c r="O15" s="887" t="str">
        <f t="shared" si="1"/>
        <v/>
      </c>
    </row>
    <row r="16" spans="1:17" ht="12.95" customHeight="1"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24700</v>
      </c>
      <c r="J16" s="239">
        <f t="shared" si="7"/>
        <v>24700</v>
      </c>
      <c r="K16" s="226">
        <f>SUM(K17:K26)</f>
        <v>14752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5" s="1" customFormat="1" ht="12.95" customHeight="1">
      <c r="A17" s="163"/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400</v>
      </c>
      <c r="J17" s="240">
        <v>400</v>
      </c>
      <c r="K17" s="230">
        <v>0</v>
      </c>
      <c r="L17" s="364"/>
      <c r="M17" s="240"/>
      <c r="N17" s="828">
        <f t="shared" ref="N17:N26" si="8">SUM(L17:M17)</f>
        <v>0</v>
      </c>
      <c r="O17" s="887">
        <f t="shared" si="1"/>
        <v>0</v>
      </c>
    </row>
    <row r="18" spans="1:15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6000</v>
      </c>
      <c r="J18" s="240">
        <v>6000</v>
      </c>
      <c r="K18" s="230">
        <v>4845</v>
      </c>
      <c r="L18" s="364"/>
      <c r="M18" s="240"/>
      <c r="N18" s="828">
        <f t="shared" si="8"/>
        <v>0</v>
      </c>
      <c r="O18" s="887">
        <f t="shared" si="1"/>
        <v>0</v>
      </c>
    </row>
    <row r="19" spans="1:15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3300</v>
      </c>
      <c r="J19" s="240">
        <v>3300</v>
      </c>
      <c r="K19" s="230">
        <v>1942</v>
      </c>
      <c r="L19" s="364"/>
      <c r="M19" s="240"/>
      <c r="N19" s="828">
        <f t="shared" si="8"/>
        <v>0</v>
      </c>
      <c r="O19" s="887">
        <f t="shared" si="1"/>
        <v>0</v>
      </c>
    </row>
    <row r="20" spans="1:15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1000</v>
      </c>
      <c r="J20" s="240">
        <v>1000</v>
      </c>
      <c r="K20" s="230">
        <v>260</v>
      </c>
      <c r="L20" s="364"/>
      <c r="M20" s="240"/>
      <c r="N20" s="828">
        <f t="shared" si="8"/>
        <v>0</v>
      </c>
      <c r="O20" s="887">
        <f t="shared" si="1"/>
        <v>0</v>
      </c>
    </row>
    <row r="21" spans="1:15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0</v>
      </c>
      <c r="J21" s="240">
        <v>0</v>
      </c>
      <c r="K21" s="230">
        <v>0</v>
      </c>
      <c r="L21" s="364"/>
      <c r="M21" s="240"/>
      <c r="N21" s="828">
        <f t="shared" si="8"/>
        <v>0</v>
      </c>
      <c r="O21" s="887" t="str">
        <f t="shared" si="1"/>
        <v/>
      </c>
    </row>
    <row r="22" spans="1:15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0</v>
      </c>
      <c r="J22" s="240">
        <v>0</v>
      </c>
      <c r="K22" s="230">
        <v>0</v>
      </c>
      <c r="L22" s="364"/>
      <c r="M22" s="240"/>
      <c r="N22" s="828">
        <f t="shared" si="8"/>
        <v>0</v>
      </c>
      <c r="O22" s="887" t="str">
        <f t="shared" si="1"/>
        <v/>
      </c>
    </row>
    <row r="23" spans="1:15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1000</v>
      </c>
      <c r="J23" s="240">
        <v>1000</v>
      </c>
      <c r="K23" s="230">
        <v>45</v>
      </c>
      <c r="L23" s="364"/>
      <c r="M23" s="240"/>
      <c r="N23" s="828">
        <f t="shared" si="8"/>
        <v>0</v>
      </c>
      <c r="O23" s="887">
        <f t="shared" si="1"/>
        <v>0</v>
      </c>
    </row>
    <row r="24" spans="1:15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0</v>
      </c>
      <c r="J24" s="240">
        <v>0</v>
      </c>
      <c r="K24" s="230">
        <v>0</v>
      </c>
      <c r="L24" s="364"/>
      <c r="M24" s="240"/>
      <c r="N24" s="828">
        <f t="shared" si="8"/>
        <v>0</v>
      </c>
      <c r="O24" s="887" t="str">
        <f t="shared" si="1"/>
        <v/>
      </c>
    </row>
    <row r="25" spans="1:15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0">
        <v>13000</v>
      </c>
      <c r="J25" s="240">
        <v>13000</v>
      </c>
      <c r="K25" s="230">
        <v>7660</v>
      </c>
      <c r="L25" s="364"/>
      <c r="M25" s="240"/>
      <c r="N25" s="828">
        <f t="shared" si="8"/>
        <v>0</v>
      </c>
      <c r="O25" s="887">
        <f t="shared" si="1"/>
        <v>0</v>
      </c>
    </row>
    <row r="26" spans="1:15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0">
        <v>0</v>
      </c>
      <c r="J26" s="240">
        <v>0</v>
      </c>
      <c r="K26" s="230">
        <v>0</v>
      </c>
      <c r="L26" s="364"/>
      <c r="M26" s="240"/>
      <c r="N26" s="828">
        <f t="shared" si="8"/>
        <v>0</v>
      </c>
      <c r="O26" s="887" t="str">
        <f t="shared" si="1"/>
        <v/>
      </c>
    </row>
    <row r="27" spans="1:15" ht="12.95" customHeight="1">
      <c r="B27" s="12"/>
      <c r="C27" s="8"/>
      <c r="D27" s="8"/>
      <c r="E27" s="8"/>
      <c r="F27" s="181"/>
      <c r="G27" s="200"/>
      <c r="H27" s="25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5" ht="12.95" customHeight="1"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SUM(I29:I30)</f>
        <v>0</v>
      </c>
      <c r="J28" s="241">
        <f t="shared" si="9"/>
        <v>0</v>
      </c>
      <c r="K28" s="231">
        <f>SUM(K29:K30)</f>
        <v>0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 t="str">
        <f t="shared" si="1"/>
        <v/>
      </c>
    </row>
    <row r="29" spans="1:15" s="1" customFormat="1" ht="12.95" customHeight="1">
      <c r="A29" s="163"/>
      <c r="B29" s="10"/>
      <c r="C29" s="11"/>
      <c r="D29" s="11"/>
      <c r="E29" s="168"/>
      <c r="F29" s="182">
        <v>821200</v>
      </c>
      <c r="G29" s="201"/>
      <c r="H29" s="24" t="s">
        <v>89</v>
      </c>
      <c r="I29" s="240">
        <v>0</v>
      </c>
      <c r="J29" s="240">
        <v>0</v>
      </c>
      <c r="K29" s="230">
        <v>0</v>
      </c>
      <c r="L29" s="364"/>
      <c r="M29" s="240"/>
      <c r="N29" s="828">
        <f t="shared" ref="N29:N30" si="10">SUM(L29:M29)</f>
        <v>0</v>
      </c>
      <c r="O29" s="887" t="str">
        <f t="shared" si="1"/>
        <v/>
      </c>
    </row>
    <row r="30" spans="1:15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0">
        <v>0</v>
      </c>
      <c r="J30" s="240">
        <v>0</v>
      </c>
      <c r="K30" s="230">
        <v>0</v>
      </c>
      <c r="L30" s="364"/>
      <c r="M30" s="240"/>
      <c r="N30" s="828">
        <f t="shared" si="10"/>
        <v>0</v>
      </c>
      <c r="O30" s="887" t="str">
        <f t="shared" si="1"/>
        <v/>
      </c>
    </row>
    <row r="31" spans="1:15" ht="12.95" customHeight="1">
      <c r="B31" s="10"/>
      <c r="C31" s="11"/>
      <c r="D31" s="11"/>
      <c r="E31" s="168"/>
      <c r="F31" s="182"/>
      <c r="G31" s="201"/>
      <c r="H31" s="24"/>
      <c r="I31" s="240"/>
      <c r="J31" s="240"/>
      <c r="K31" s="230"/>
      <c r="L31" s="364"/>
      <c r="M31" s="240"/>
      <c r="N31" s="791"/>
      <c r="O31" s="887" t="str">
        <f t="shared" si="1"/>
        <v/>
      </c>
    </row>
    <row r="32" spans="1:15" ht="12.95" customHeight="1">
      <c r="B32" s="12"/>
      <c r="C32" s="8"/>
      <c r="D32" s="8"/>
      <c r="E32" s="8"/>
      <c r="F32" s="181"/>
      <c r="G32" s="200"/>
      <c r="H32" s="25" t="s">
        <v>91</v>
      </c>
      <c r="I32" s="241">
        <v>3</v>
      </c>
      <c r="J32" s="241">
        <v>3</v>
      </c>
      <c r="K32" s="231">
        <v>3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137790</v>
      </c>
      <c r="J33" s="170">
        <f t="shared" si="11"/>
        <v>137790</v>
      </c>
      <c r="K33" s="158">
        <f t="shared" si="11"/>
        <v>100616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>
        <f t="shared" ref="I34:K34" si="12">I33</f>
        <v>137790</v>
      </c>
      <c r="J34" s="15">
        <f t="shared" si="12"/>
        <v>137790</v>
      </c>
      <c r="K34" s="158">
        <f t="shared" si="12"/>
        <v>100616</v>
      </c>
      <c r="L34" s="377">
        <f t="shared" ref="L34:N35" si="13">L33</f>
        <v>0</v>
      </c>
      <c r="M34" s="170">
        <f t="shared" si="13"/>
        <v>0</v>
      </c>
      <c r="N34" s="789">
        <f t="shared" si="13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ref="I35:K35" si="14">I34</f>
        <v>137790</v>
      </c>
      <c r="J35" s="15">
        <f t="shared" si="14"/>
        <v>137790</v>
      </c>
      <c r="K35" s="158">
        <f t="shared" si="14"/>
        <v>100616</v>
      </c>
      <c r="L35" s="377">
        <f t="shared" si="13"/>
        <v>0</v>
      </c>
      <c r="M35" s="170">
        <f t="shared" si="13"/>
        <v>0</v>
      </c>
      <c r="N35" s="789">
        <f t="shared" si="13"/>
        <v>0</v>
      </c>
      <c r="O35" s="886">
        <f>IF(J35=0,"",N35/J35*100)</f>
        <v>0</v>
      </c>
    </row>
    <row r="36" spans="1:15" s="1" customFormat="1" ht="12.95" customHeight="1" thickBot="1">
      <c r="A36" s="163"/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L37" s="406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B40" s="45"/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8"/>
  <dimension ref="A1:Q97"/>
  <sheetViews>
    <sheetView topLeftCell="A19" zoomScaleNormal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649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133</v>
      </c>
      <c r="C7" s="7" t="s">
        <v>79</v>
      </c>
      <c r="D7" s="7" t="s">
        <v>80</v>
      </c>
      <c r="E7" s="422" t="s">
        <v>725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SUM(I9:I12)</f>
        <v>487210</v>
      </c>
      <c r="J8" s="241">
        <f t="shared" si="0"/>
        <v>487210</v>
      </c>
      <c r="K8" s="231">
        <f>SUM(K9:K12)</f>
        <v>281899</v>
      </c>
      <c r="L8" s="490">
        <f>SUM(L9:L12)</f>
        <v>0</v>
      </c>
      <c r="M8" s="241">
        <f>SUM(M9:M12)</f>
        <v>0</v>
      </c>
      <c r="N8" s="827">
        <f>SUM(N9:N12)</f>
        <v>0</v>
      </c>
      <c r="O8" s="886">
        <f t="shared" ref="O8:O36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f t="shared" ref="I9" si="2">246680+6*16*1200+6*2*1800+6*1*1400</f>
        <v>391880</v>
      </c>
      <c r="J9" s="240">
        <v>391880</v>
      </c>
      <c r="K9" s="230">
        <v>231991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f t="shared" ref="I10" si="3">47260+6*19*22*15+19*550</f>
        <v>95330</v>
      </c>
      <c r="J10" s="240">
        <v>95330</v>
      </c>
      <c r="K10" s="230">
        <v>49908</v>
      </c>
      <c r="L10" s="364"/>
      <c r="M10" s="240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435"/>
      <c r="I12" s="240"/>
      <c r="J12" s="240"/>
      <c r="K12" s="230"/>
      <c r="L12" s="364"/>
      <c r="M12" s="240"/>
      <c r="N12" s="828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42710</v>
      </c>
      <c r="J13" s="241">
        <f t="shared" si="5"/>
        <v>42710</v>
      </c>
      <c r="K13" s="231">
        <f>K14</f>
        <v>25832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f t="shared" ref="I14" si="6">25910+6*16*140+6*2*200+6*1*160</f>
        <v>42710</v>
      </c>
      <c r="J14" s="240">
        <v>42710</v>
      </c>
      <c r="K14" s="230">
        <v>25832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9"/>
      <c r="J15" s="239"/>
      <c r="K15" s="226"/>
      <c r="L15" s="491"/>
      <c r="M15" s="239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157200</v>
      </c>
      <c r="J16" s="239">
        <f t="shared" si="7"/>
        <v>132200</v>
      </c>
      <c r="K16" s="226">
        <f>SUM(K17:K26)</f>
        <v>52539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7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1500</v>
      </c>
      <c r="J17" s="240">
        <v>1500</v>
      </c>
      <c r="K17" s="230">
        <v>834</v>
      </c>
      <c r="L17" s="365"/>
      <c r="M17" s="236"/>
      <c r="N17" s="828">
        <f t="shared" ref="N17:N26" si="8">SUM(L17:M17)</f>
        <v>0</v>
      </c>
      <c r="O17" s="887">
        <f t="shared" si="1"/>
        <v>0</v>
      </c>
    </row>
    <row r="18" spans="1:17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20000</v>
      </c>
      <c r="J18" s="240">
        <v>20000</v>
      </c>
      <c r="K18" s="230">
        <v>7344</v>
      </c>
      <c r="L18" s="365"/>
      <c r="M18" s="240"/>
      <c r="N18" s="828">
        <f t="shared" si="8"/>
        <v>0</v>
      </c>
      <c r="O18" s="887">
        <f t="shared" si="1"/>
        <v>0</v>
      </c>
    </row>
    <row r="19" spans="1:17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6000</v>
      </c>
      <c r="J19" s="240">
        <v>6000</v>
      </c>
      <c r="K19" s="230">
        <v>2751</v>
      </c>
      <c r="L19" s="364"/>
      <c r="M19" s="240"/>
      <c r="N19" s="828">
        <f t="shared" si="8"/>
        <v>0</v>
      </c>
      <c r="O19" s="887">
        <f t="shared" si="1"/>
        <v>0</v>
      </c>
    </row>
    <row r="20" spans="1:17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41200</v>
      </c>
      <c r="J20" s="240">
        <v>19700</v>
      </c>
      <c r="K20" s="230">
        <v>15800</v>
      </c>
      <c r="L20" s="364"/>
      <c r="M20" s="240"/>
      <c r="N20" s="828">
        <f t="shared" si="8"/>
        <v>0</v>
      </c>
      <c r="O20" s="887">
        <f t="shared" si="1"/>
        <v>0</v>
      </c>
    </row>
    <row r="21" spans="1:17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1000</v>
      </c>
      <c r="J21" s="240">
        <v>7500</v>
      </c>
      <c r="K21" s="230">
        <v>1800</v>
      </c>
      <c r="L21" s="364"/>
      <c r="M21" s="240"/>
      <c r="N21" s="828">
        <f t="shared" si="8"/>
        <v>0</v>
      </c>
      <c r="O21" s="887">
        <f t="shared" si="1"/>
        <v>0</v>
      </c>
    </row>
    <row r="22" spans="1:17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0</v>
      </c>
      <c r="J22" s="240">
        <v>0</v>
      </c>
      <c r="K22" s="230">
        <v>0</v>
      </c>
      <c r="L22" s="364"/>
      <c r="M22" s="240"/>
      <c r="N22" s="828">
        <f t="shared" si="8"/>
        <v>0</v>
      </c>
      <c r="O22" s="887" t="str">
        <f t="shared" si="1"/>
        <v/>
      </c>
    </row>
    <row r="23" spans="1:17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40000</v>
      </c>
      <c r="J23" s="240">
        <v>33000</v>
      </c>
      <c r="K23" s="230">
        <v>3330</v>
      </c>
      <c r="L23" s="364"/>
      <c r="M23" s="240"/>
      <c r="N23" s="828">
        <f t="shared" si="8"/>
        <v>0</v>
      </c>
      <c r="O23" s="887">
        <f t="shared" si="1"/>
        <v>0</v>
      </c>
    </row>
    <row r="24" spans="1:17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4800</v>
      </c>
      <c r="J24" s="240">
        <v>4800</v>
      </c>
      <c r="K24" s="230">
        <v>0</v>
      </c>
      <c r="L24" s="364"/>
      <c r="M24" s="240"/>
      <c r="N24" s="828">
        <f t="shared" si="8"/>
        <v>0</v>
      </c>
      <c r="O24" s="887">
        <f t="shared" si="1"/>
        <v>0</v>
      </c>
    </row>
    <row r="25" spans="1:17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0">
        <v>42700</v>
      </c>
      <c r="J25" s="240">
        <v>39700</v>
      </c>
      <c r="K25" s="230">
        <v>20680</v>
      </c>
      <c r="L25" s="364"/>
      <c r="M25" s="240"/>
      <c r="N25" s="828">
        <f t="shared" si="8"/>
        <v>0</v>
      </c>
      <c r="O25" s="887">
        <f t="shared" si="1"/>
        <v>0</v>
      </c>
      <c r="P25" s="45"/>
    </row>
    <row r="26" spans="1:17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0">
        <v>0</v>
      </c>
      <c r="J26" s="240">
        <v>0</v>
      </c>
      <c r="K26" s="230">
        <v>0</v>
      </c>
      <c r="L26" s="364"/>
      <c r="M26" s="240"/>
      <c r="N26" s="828">
        <f t="shared" si="8"/>
        <v>0</v>
      </c>
      <c r="O26" s="887" t="str">
        <f t="shared" si="1"/>
        <v/>
      </c>
    </row>
    <row r="27" spans="1:17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7" s="1" customFormat="1" ht="12.95" customHeight="1">
      <c r="A28" s="163"/>
      <c r="B28" s="12"/>
      <c r="C28" s="8"/>
      <c r="D28" s="8"/>
      <c r="E28" s="8"/>
      <c r="F28" s="181">
        <v>614000</v>
      </c>
      <c r="G28" s="200"/>
      <c r="H28" s="25" t="s">
        <v>165</v>
      </c>
      <c r="I28" s="241">
        <f t="shared" ref="I28:K28" si="9">I29+I30</f>
        <v>110000</v>
      </c>
      <c r="J28" s="241">
        <f t="shared" si="9"/>
        <v>110000</v>
      </c>
      <c r="K28" s="231">
        <f t="shared" si="9"/>
        <v>15619</v>
      </c>
      <c r="L28" s="490">
        <f t="shared" ref="L28:M28" si="10">L29+L30</f>
        <v>0</v>
      </c>
      <c r="M28" s="241">
        <f t="shared" si="10"/>
        <v>0</v>
      </c>
      <c r="N28" s="789">
        <f t="shared" ref="N28" si="11">N29+N30</f>
        <v>0</v>
      </c>
      <c r="O28" s="886">
        <f t="shared" si="1"/>
        <v>0</v>
      </c>
    </row>
    <row r="29" spans="1:17" ht="12.95" customHeight="1">
      <c r="B29" s="10"/>
      <c r="C29" s="11"/>
      <c r="D29" s="11"/>
      <c r="E29" s="168"/>
      <c r="F29" s="182">
        <v>614200</v>
      </c>
      <c r="G29" s="201" t="s">
        <v>528</v>
      </c>
      <c r="H29" s="435" t="s">
        <v>106</v>
      </c>
      <c r="I29" s="240">
        <v>110000</v>
      </c>
      <c r="J29" s="240">
        <v>110000</v>
      </c>
      <c r="K29" s="230">
        <v>15619</v>
      </c>
      <c r="L29" s="364"/>
      <c r="M29" s="240"/>
      <c r="N29" s="828">
        <f t="shared" ref="N29:N30" si="12">SUM(L29:M29)</f>
        <v>0</v>
      </c>
      <c r="O29" s="887">
        <f t="shared" si="1"/>
        <v>0</v>
      </c>
    </row>
    <row r="30" spans="1:17" s="60" customFormat="1" ht="12.75" customHeight="1">
      <c r="B30" s="556"/>
      <c r="C30" s="14"/>
      <c r="D30" s="14"/>
      <c r="E30" s="14"/>
      <c r="F30" s="185">
        <v>614300</v>
      </c>
      <c r="G30" s="204" t="s">
        <v>529</v>
      </c>
      <c r="H30" s="551" t="s">
        <v>601</v>
      </c>
      <c r="I30" s="240">
        <v>0</v>
      </c>
      <c r="J30" s="240">
        <v>0</v>
      </c>
      <c r="K30" s="230">
        <v>0</v>
      </c>
      <c r="L30" s="364"/>
      <c r="M30" s="240"/>
      <c r="N30" s="828">
        <f t="shared" si="12"/>
        <v>0</v>
      </c>
      <c r="O30" s="887" t="str">
        <f t="shared" si="1"/>
        <v/>
      </c>
      <c r="Q30" s="411"/>
    </row>
    <row r="31" spans="1:17" ht="12.95" customHeight="1">
      <c r="B31" s="10"/>
      <c r="C31" s="11"/>
      <c r="D31" s="11"/>
      <c r="E31" s="168"/>
      <c r="F31" s="181"/>
      <c r="G31" s="200"/>
      <c r="H31" s="25"/>
      <c r="I31" s="240"/>
      <c r="J31" s="240"/>
      <c r="K31" s="230"/>
      <c r="L31" s="364"/>
      <c r="M31" s="240"/>
      <c r="N31" s="791"/>
      <c r="O31" s="887" t="str">
        <f t="shared" si="1"/>
        <v/>
      </c>
    </row>
    <row r="32" spans="1:17" ht="12.95" customHeight="1">
      <c r="B32" s="12"/>
      <c r="C32" s="8"/>
      <c r="D32" s="8"/>
      <c r="E32" s="8"/>
      <c r="F32" s="181">
        <v>821000</v>
      </c>
      <c r="G32" s="200"/>
      <c r="H32" s="25" t="s">
        <v>88</v>
      </c>
      <c r="I32" s="241">
        <f t="shared" ref="I32:J32" si="13">SUM(I33:I36)</f>
        <v>45000</v>
      </c>
      <c r="J32" s="241">
        <f t="shared" si="13"/>
        <v>177000</v>
      </c>
      <c r="K32" s="231">
        <f>SUM(K33:K36)</f>
        <v>39290</v>
      </c>
      <c r="L32" s="490">
        <f>SUM(L33:L36)</f>
        <v>0</v>
      </c>
      <c r="M32" s="241">
        <f>SUM(M33:M36)</f>
        <v>0</v>
      </c>
      <c r="N32" s="789">
        <f>SUM(N33:N36)</f>
        <v>0</v>
      </c>
      <c r="O32" s="886">
        <f t="shared" si="1"/>
        <v>0</v>
      </c>
    </row>
    <row r="33" spans="1:15" ht="12.95" customHeight="1">
      <c r="B33" s="10"/>
      <c r="C33" s="11"/>
      <c r="D33" s="11"/>
      <c r="E33" s="168"/>
      <c r="F33" s="182">
        <v>821200</v>
      </c>
      <c r="G33" s="201"/>
      <c r="H33" s="24" t="s">
        <v>89</v>
      </c>
      <c r="I33" s="242">
        <v>0</v>
      </c>
      <c r="J33" s="242">
        <v>172000</v>
      </c>
      <c r="K33" s="229">
        <v>38450</v>
      </c>
      <c r="L33" s="367"/>
      <c r="M33" s="242"/>
      <c r="N33" s="828">
        <f t="shared" ref="N33:N34" si="14">SUM(L33:M33)</f>
        <v>0</v>
      </c>
      <c r="O33" s="887">
        <f t="shared" si="1"/>
        <v>0</v>
      </c>
    </row>
    <row r="34" spans="1:15" s="1" customFormat="1" ht="12.95" customHeight="1">
      <c r="A34" s="163"/>
      <c r="B34" s="10"/>
      <c r="C34" s="11"/>
      <c r="D34" s="11"/>
      <c r="E34" s="168"/>
      <c r="F34" s="182">
        <v>821300</v>
      </c>
      <c r="G34" s="201"/>
      <c r="H34" s="436" t="s">
        <v>90</v>
      </c>
      <c r="I34" s="240">
        <v>5000</v>
      </c>
      <c r="J34" s="240">
        <v>5000</v>
      </c>
      <c r="K34" s="230">
        <v>840</v>
      </c>
      <c r="L34" s="364"/>
      <c r="M34" s="240"/>
      <c r="N34" s="828">
        <f t="shared" si="14"/>
        <v>0</v>
      </c>
      <c r="O34" s="887">
        <f t="shared" si="1"/>
        <v>0</v>
      </c>
    </row>
    <row r="35" spans="1:15" s="163" customFormat="1" ht="12.95" customHeight="1">
      <c r="B35" s="167"/>
      <c r="C35" s="168"/>
      <c r="D35" s="168"/>
      <c r="E35" s="168"/>
      <c r="F35" s="182">
        <v>821300</v>
      </c>
      <c r="G35" s="201" t="s">
        <v>849</v>
      </c>
      <c r="H35" s="436" t="s">
        <v>835</v>
      </c>
      <c r="I35" s="240">
        <v>40000</v>
      </c>
      <c r="J35" s="240">
        <v>0</v>
      </c>
      <c r="K35" s="230">
        <v>0</v>
      </c>
      <c r="L35" s="364"/>
      <c r="M35" s="240"/>
      <c r="N35" s="828">
        <f t="shared" ref="N35" si="15">SUM(L35:M35)</f>
        <v>0</v>
      </c>
      <c r="O35" s="887" t="str">
        <f t="shared" ref="O35" si="16">IF(J35=0,"",N35/J35*100)</f>
        <v/>
      </c>
    </row>
    <row r="36" spans="1:15" ht="12.95" customHeight="1">
      <c r="B36" s="10"/>
      <c r="C36" s="11"/>
      <c r="D36" s="11"/>
      <c r="E36" s="168"/>
      <c r="F36" s="182"/>
      <c r="G36" s="201"/>
      <c r="H36" s="435"/>
      <c r="I36" s="240"/>
      <c r="J36" s="240"/>
      <c r="K36" s="230"/>
      <c r="L36" s="364"/>
      <c r="M36" s="240"/>
      <c r="N36" s="791"/>
      <c r="O36" s="887" t="str">
        <f t="shared" si="1"/>
        <v/>
      </c>
    </row>
    <row r="37" spans="1:15" ht="12.95" customHeight="1">
      <c r="B37" s="12"/>
      <c r="C37" s="8"/>
      <c r="D37" s="8"/>
      <c r="E37" s="8"/>
      <c r="F37" s="181"/>
      <c r="G37" s="200"/>
      <c r="H37" s="25" t="s">
        <v>91</v>
      </c>
      <c r="I37" s="401">
        <v>31</v>
      </c>
      <c r="J37" s="401">
        <v>31</v>
      </c>
      <c r="K37" s="741">
        <v>31</v>
      </c>
      <c r="L37" s="493"/>
      <c r="M37" s="237"/>
      <c r="N37" s="782"/>
      <c r="O37" s="887"/>
    </row>
    <row r="38" spans="1:15" ht="12.95" customHeight="1">
      <c r="B38" s="12"/>
      <c r="C38" s="8"/>
      <c r="D38" s="8"/>
      <c r="E38" s="8"/>
      <c r="F38" s="181"/>
      <c r="G38" s="200"/>
      <c r="H38" s="8" t="s">
        <v>105</v>
      </c>
      <c r="I38" s="374">
        <f t="shared" ref="I38:N38" si="17">I8+I13+I16+I28+I32</f>
        <v>842120</v>
      </c>
      <c r="J38" s="170">
        <f t="shared" si="17"/>
        <v>949120</v>
      </c>
      <c r="K38" s="158">
        <f t="shared" si="17"/>
        <v>415179</v>
      </c>
      <c r="L38" s="377">
        <f t="shared" si="17"/>
        <v>0</v>
      </c>
      <c r="M38" s="170">
        <f t="shared" si="17"/>
        <v>0</v>
      </c>
      <c r="N38" s="789">
        <f t="shared" si="17"/>
        <v>0</v>
      </c>
      <c r="O38" s="886">
        <f>IF(J38=0,"",N38/J38*100)</f>
        <v>0</v>
      </c>
    </row>
    <row r="39" spans="1:15" s="1" customFormat="1" ht="12.95" customHeight="1">
      <c r="A39" s="163"/>
      <c r="B39" s="12"/>
      <c r="C39" s="8"/>
      <c r="D39" s="8"/>
      <c r="E39" s="8"/>
      <c r="F39" s="181"/>
      <c r="G39" s="200"/>
      <c r="H39" s="8" t="s">
        <v>92</v>
      </c>
      <c r="I39" s="374">
        <f t="shared" ref="I39:K40" si="18">I38</f>
        <v>842120</v>
      </c>
      <c r="J39" s="170">
        <f t="shared" si="18"/>
        <v>949120</v>
      </c>
      <c r="K39" s="158">
        <f t="shared" si="18"/>
        <v>415179</v>
      </c>
      <c r="L39" s="377">
        <f t="shared" ref="L39:N40" si="19">L38</f>
        <v>0</v>
      </c>
      <c r="M39" s="170">
        <f t="shared" si="19"/>
        <v>0</v>
      </c>
      <c r="N39" s="789">
        <f t="shared" si="19"/>
        <v>0</v>
      </c>
      <c r="O39" s="886">
        <f>IF(J39=0,"",N39/J39*100)</f>
        <v>0</v>
      </c>
    </row>
    <row r="40" spans="1:15" s="1" customFormat="1" ht="12.95" customHeight="1">
      <c r="A40" s="163"/>
      <c r="B40" s="12"/>
      <c r="C40" s="8"/>
      <c r="D40" s="8"/>
      <c r="E40" s="8"/>
      <c r="F40" s="181"/>
      <c r="G40" s="200"/>
      <c r="H40" s="8" t="s">
        <v>93</v>
      </c>
      <c r="I40" s="15">
        <f t="shared" si="18"/>
        <v>842120</v>
      </c>
      <c r="J40" s="15">
        <f t="shared" si="18"/>
        <v>949120</v>
      </c>
      <c r="K40" s="158">
        <f t="shared" si="18"/>
        <v>415179</v>
      </c>
      <c r="L40" s="377">
        <f t="shared" si="19"/>
        <v>0</v>
      </c>
      <c r="M40" s="170">
        <f t="shared" si="19"/>
        <v>0</v>
      </c>
      <c r="N40" s="789">
        <f t="shared" si="19"/>
        <v>0</v>
      </c>
      <c r="O40" s="886">
        <f>IF(J40=0,"",N40/J40*100)</f>
        <v>0</v>
      </c>
    </row>
    <row r="41" spans="1:15" s="1" customFormat="1" ht="12.95" customHeight="1" thickBot="1">
      <c r="A41" s="163"/>
      <c r="B41" s="16"/>
      <c r="C41" s="17"/>
      <c r="D41" s="17"/>
      <c r="E41" s="17"/>
      <c r="F41" s="183"/>
      <c r="G41" s="202"/>
      <c r="H41" s="17"/>
      <c r="I41" s="73"/>
      <c r="J41" s="73"/>
      <c r="K41" s="742"/>
      <c r="L41" s="404"/>
      <c r="M41" s="73"/>
      <c r="N41" s="853"/>
      <c r="O41" s="891"/>
    </row>
    <row r="42" spans="1:15" s="1" customFormat="1" ht="12.95" customHeight="1">
      <c r="A42" s="163"/>
      <c r="B42" s="9"/>
      <c r="C42" s="9"/>
      <c r="D42" s="9"/>
      <c r="E42" s="166"/>
      <c r="F42" s="184"/>
      <c r="G42" s="203"/>
      <c r="H42" s="9"/>
      <c r="I42" s="49"/>
      <c r="J42" s="49"/>
      <c r="K42" s="49"/>
      <c r="L42" s="49"/>
      <c r="M42" s="49"/>
      <c r="N42" s="261"/>
      <c r="O42" s="220"/>
    </row>
    <row r="43" spans="1:15" ht="12.95" customHeight="1">
      <c r="B43" s="45"/>
      <c r="F43" s="184"/>
      <c r="G43" s="203"/>
      <c r="N43" s="557"/>
    </row>
    <row r="44" spans="1:15" ht="12.95" customHeight="1">
      <c r="B44" s="45"/>
      <c r="F44" s="184"/>
      <c r="G44" s="203"/>
      <c r="N44" s="258"/>
    </row>
    <row r="45" spans="1:15" ht="12.95" customHeight="1">
      <c r="B45" s="45"/>
      <c r="F45" s="184"/>
      <c r="G45" s="203"/>
      <c r="N45" s="258"/>
    </row>
    <row r="46" spans="1:15" ht="12.95" customHeight="1">
      <c r="B46" s="45"/>
      <c r="F46" s="184"/>
      <c r="G46" s="203"/>
      <c r="N46" s="258"/>
    </row>
    <row r="47" spans="1:15" ht="12.95" customHeight="1">
      <c r="B47" s="45"/>
      <c r="F47" s="184"/>
      <c r="G47" s="203"/>
      <c r="N47" s="258"/>
    </row>
    <row r="48" spans="1:15" ht="12.95" customHeight="1">
      <c r="B48" s="45"/>
      <c r="F48" s="184"/>
      <c r="G48" s="203"/>
      <c r="N48" s="258"/>
    </row>
    <row r="49" spans="2:14" ht="12.95" customHeight="1">
      <c r="B49" s="45"/>
      <c r="F49" s="184"/>
      <c r="G49" s="203"/>
      <c r="N49" s="258"/>
    </row>
    <row r="50" spans="2:14" ht="12.95" customHeight="1">
      <c r="B50" s="45"/>
      <c r="F50" s="184"/>
      <c r="G50" s="203"/>
      <c r="N50" s="258"/>
    </row>
    <row r="51" spans="2:14" ht="12.95" customHeight="1">
      <c r="B51" s="45"/>
      <c r="F51" s="184"/>
      <c r="G51" s="203"/>
      <c r="N51" s="258"/>
    </row>
    <row r="52" spans="2:14" ht="12.95" customHeight="1">
      <c r="B52" s="45"/>
      <c r="F52" s="184"/>
      <c r="G52" s="203"/>
      <c r="N52" s="258"/>
    </row>
    <row r="53" spans="2:14" ht="12.95" customHeight="1">
      <c r="F53" s="184"/>
      <c r="G53" s="203"/>
      <c r="N53" s="258"/>
    </row>
    <row r="54" spans="2:14" ht="12.95" customHeight="1">
      <c r="F54" s="184"/>
      <c r="G54" s="203"/>
      <c r="N54" s="258"/>
    </row>
    <row r="55" spans="2:14" ht="12.95" customHeight="1">
      <c r="F55" s="184"/>
      <c r="G55" s="203"/>
      <c r="N55" s="258"/>
    </row>
    <row r="56" spans="2:14" ht="12.95" customHeight="1">
      <c r="F56" s="184"/>
      <c r="G56" s="203"/>
      <c r="N56" s="258"/>
    </row>
    <row r="57" spans="2:14" ht="12.95" customHeight="1">
      <c r="F57" s="184"/>
      <c r="G57" s="203"/>
      <c r="N57" s="258"/>
    </row>
    <row r="58" spans="2:14" ht="12.95" customHeight="1">
      <c r="F58" s="184"/>
      <c r="G58" s="203"/>
      <c r="N58" s="258"/>
    </row>
    <row r="59" spans="2:14" ht="12.95" customHeight="1">
      <c r="F59" s="184"/>
      <c r="G59" s="203"/>
      <c r="N59" s="258"/>
    </row>
    <row r="60" spans="2:14" ht="12.95" customHeight="1">
      <c r="F60" s="184"/>
      <c r="G60" s="203"/>
      <c r="N60" s="258"/>
    </row>
    <row r="61" spans="2:14" ht="17.100000000000001" customHeight="1">
      <c r="F61" s="184"/>
      <c r="G61" s="203"/>
      <c r="N61" s="258"/>
    </row>
    <row r="62" spans="2:14" ht="17.100000000000001" customHeight="1">
      <c r="F62" s="184"/>
      <c r="G62" s="203"/>
      <c r="N62" s="258"/>
    </row>
    <row r="63" spans="2:14" ht="14.25">
      <c r="F63" s="184"/>
      <c r="G63" s="203"/>
      <c r="N63" s="258"/>
    </row>
    <row r="64" spans="2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203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 ht="14.25">
      <c r="F91" s="184"/>
      <c r="G91" s="184"/>
      <c r="N91" s="258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  <row r="97" spans="7:7">
      <c r="G97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topLeftCell="A7" zoomScaleNormal="100" workbookViewId="0">
      <selection activeCell="H17" sqref="H17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134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135</v>
      </c>
      <c r="C7" s="7" t="s">
        <v>79</v>
      </c>
      <c r="D7" s="7" t="s">
        <v>80</v>
      </c>
      <c r="E7" s="422" t="s">
        <v>711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621190</v>
      </c>
      <c r="J8" s="241">
        <f t="shared" si="0"/>
        <v>621190</v>
      </c>
      <c r="K8" s="231">
        <f>SUM(K9:K11)</f>
        <v>461427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538530+2000</f>
        <v>540530</v>
      </c>
      <c r="J9" s="242">
        <v>540530</v>
      </c>
      <c r="K9" s="229">
        <v>407443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76660+1000+3000</f>
        <v>80660</v>
      </c>
      <c r="J10" s="242">
        <v>80660</v>
      </c>
      <c r="K10" s="229">
        <v>53984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59300</v>
      </c>
      <c r="J13" s="241">
        <f t="shared" si="5"/>
        <v>59300</v>
      </c>
      <c r="K13" s="231">
        <f>K14</f>
        <v>42782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58700+600</f>
        <v>59300</v>
      </c>
      <c r="J14" s="242">
        <v>59300</v>
      </c>
      <c r="K14" s="229">
        <v>42782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41">
        <f t="shared" ref="I16:J16" si="7">SUM(I17:I26)</f>
        <v>117000</v>
      </c>
      <c r="J16" s="241">
        <f t="shared" si="7"/>
        <v>117000</v>
      </c>
      <c r="K16" s="231">
        <f>SUM(K17:K26)</f>
        <v>65826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4000</v>
      </c>
      <c r="J17" s="242">
        <v>4000</v>
      </c>
      <c r="K17" s="229">
        <v>1914</v>
      </c>
      <c r="L17" s="366"/>
      <c r="M17" s="238"/>
      <c r="N17" s="828">
        <f t="shared" ref="N17:N26" si="8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30000</v>
      </c>
      <c r="J18" s="242">
        <v>30000</v>
      </c>
      <c r="K18" s="229">
        <v>17344</v>
      </c>
      <c r="L18" s="366"/>
      <c r="M18" s="238"/>
      <c r="N18" s="828">
        <f t="shared" si="8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14000</v>
      </c>
      <c r="J19" s="242">
        <v>14000</v>
      </c>
      <c r="K19" s="229">
        <v>7793</v>
      </c>
      <c r="L19" s="366"/>
      <c r="M19" s="238"/>
      <c r="N19" s="828">
        <f t="shared" si="8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8000</v>
      </c>
      <c r="J20" s="242">
        <v>8000</v>
      </c>
      <c r="K20" s="229">
        <v>6130</v>
      </c>
      <c r="L20" s="366"/>
      <c r="M20" s="238"/>
      <c r="N20" s="828">
        <f t="shared" si="8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5000</v>
      </c>
      <c r="J21" s="242">
        <v>5000</v>
      </c>
      <c r="K21" s="229">
        <v>3163</v>
      </c>
      <c r="L21" s="367"/>
      <c r="M21" s="242"/>
      <c r="N21" s="828">
        <f t="shared" si="8"/>
        <v>0</v>
      </c>
      <c r="O21" s="887">
        <f t="shared" si="1"/>
        <v>0</v>
      </c>
      <c r="P21" s="45"/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8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9000</v>
      </c>
      <c r="J23" s="242">
        <v>9000</v>
      </c>
      <c r="K23" s="229">
        <v>6241</v>
      </c>
      <c r="L23" s="367"/>
      <c r="M23" s="242"/>
      <c r="N23" s="828">
        <f t="shared" si="8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2000</v>
      </c>
      <c r="J24" s="242">
        <v>2000</v>
      </c>
      <c r="K24" s="229">
        <v>0</v>
      </c>
      <c r="L24" s="367"/>
      <c r="M24" s="242"/>
      <c r="N24" s="828">
        <f t="shared" si="8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45000</v>
      </c>
      <c r="J25" s="242">
        <v>45000</v>
      </c>
      <c r="K25" s="229">
        <v>23241</v>
      </c>
      <c r="L25" s="367"/>
      <c r="M25" s="242"/>
      <c r="N25" s="828">
        <f t="shared" si="8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8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SUM(I29:I30)</f>
        <v>10000</v>
      </c>
      <c r="J28" s="241">
        <f t="shared" si="9"/>
        <v>107451</v>
      </c>
      <c r="K28" s="231">
        <f>SUM(K29:K30)</f>
        <v>2460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5000</v>
      </c>
      <c r="J29" s="242">
        <v>102451</v>
      </c>
      <c r="K29" s="229">
        <v>0</v>
      </c>
      <c r="L29" s="367"/>
      <c r="M29" s="242"/>
      <c r="N29" s="828">
        <f t="shared" ref="N29:N30" si="10">SUM(L29:M29)</f>
        <v>0</v>
      </c>
      <c r="O29" s="887">
        <f t="shared" si="1"/>
        <v>0</v>
      </c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5000</v>
      </c>
      <c r="J30" s="242">
        <v>5000</v>
      </c>
      <c r="K30" s="229">
        <v>2460</v>
      </c>
      <c r="L30" s="367"/>
      <c r="M30" s="242"/>
      <c r="N30" s="828">
        <f t="shared" si="10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7">
        <v>17</v>
      </c>
      <c r="J32" s="237">
        <v>17</v>
      </c>
      <c r="K32" s="228">
        <v>17</v>
      </c>
      <c r="L32" s="490"/>
      <c r="M32" s="237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807490</v>
      </c>
      <c r="J33" s="170">
        <f t="shared" si="11"/>
        <v>904941</v>
      </c>
      <c r="K33" s="158">
        <f t="shared" si="11"/>
        <v>572495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 t="shared" ref="I34:K34" si="12">I33</f>
        <v>807490</v>
      </c>
      <c r="J34" s="170">
        <f t="shared" si="12"/>
        <v>904941</v>
      </c>
      <c r="K34" s="158">
        <f t="shared" si="12"/>
        <v>572495</v>
      </c>
      <c r="L34" s="377">
        <f t="shared" ref="L34:N35" si="13">L33</f>
        <v>0</v>
      </c>
      <c r="M34" s="170">
        <f t="shared" si="13"/>
        <v>0</v>
      </c>
      <c r="N34" s="789">
        <f t="shared" si="13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ref="I35:K35" si="14">I34</f>
        <v>807490</v>
      </c>
      <c r="J35" s="15">
        <f t="shared" si="14"/>
        <v>904941</v>
      </c>
      <c r="K35" s="158">
        <f t="shared" si="14"/>
        <v>572495</v>
      </c>
      <c r="L35" s="377">
        <f t="shared" si="13"/>
        <v>0</v>
      </c>
      <c r="M35" s="170">
        <f t="shared" si="13"/>
        <v>0</v>
      </c>
      <c r="N35" s="789">
        <f t="shared" si="13"/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F38" s="184"/>
      <c r="G38" s="203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B41" s="45"/>
      <c r="F41" s="184"/>
      <c r="G41" s="203"/>
      <c r="N41" s="259"/>
    </row>
    <row r="42" spans="1:15" ht="12.95" customHeight="1">
      <c r="B42" s="45"/>
      <c r="F42" s="184"/>
      <c r="G42" s="203"/>
      <c r="N42" s="259"/>
    </row>
    <row r="43" spans="1:15" ht="12.95" customHeight="1">
      <c r="B43" s="45"/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topLeftCell="A7" zoomScaleNormal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249" customFormat="1" ht="20.100000000000001" customHeight="1" thickTop="1" thickBot="1">
      <c r="B2" s="963" t="s">
        <v>175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136</v>
      </c>
      <c r="C7" s="7" t="s">
        <v>79</v>
      </c>
      <c r="D7" s="7" t="s">
        <v>80</v>
      </c>
      <c r="E7" s="422" t="s">
        <v>711</v>
      </c>
      <c r="F7" s="5"/>
      <c r="G7" s="165"/>
      <c r="H7" s="5"/>
      <c r="I7" s="373"/>
      <c r="J7" s="165"/>
      <c r="K7" s="178"/>
      <c r="L7" s="4"/>
      <c r="M7" s="165"/>
      <c r="N7" s="826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81190</v>
      </c>
      <c r="J8" s="241">
        <f t="shared" si="0"/>
        <v>81190</v>
      </c>
      <c r="K8" s="231">
        <f>SUM(K9:K11)</f>
        <v>59373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f t="shared" ref="I9" si="2">68930+300+500</f>
        <v>69730</v>
      </c>
      <c r="J9" s="240">
        <v>69730</v>
      </c>
      <c r="K9" s="230">
        <v>50988</v>
      </c>
      <c r="L9" s="364"/>
      <c r="M9" s="240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0">
        <f t="shared" ref="I10" si="3">11060+400</f>
        <v>11460</v>
      </c>
      <c r="J10" s="240">
        <v>11460</v>
      </c>
      <c r="K10" s="230">
        <v>8385</v>
      </c>
      <c r="L10" s="364"/>
      <c r="M10" s="240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36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7390</v>
      </c>
      <c r="J13" s="241">
        <f t="shared" si="5"/>
        <v>7390</v>
      </c>
      <c r="K13" s="231">
        <f>K14</f>
        <v>5354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0">
        <f t="shared" ref="I14" si="6">7240+50+100</f>
        <v>7390</v>
      </c>
      <c r="J14" s="240">
        <v>7390</v>
      </c>
      <c r="K14" s="230">
        <v>5354</v>
      </c>
      <c r="L14" s="364"/>
      <c r="M14" s="240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9"/>
      <c r="J15" s="239"/>
      <c r="K15" s="226"/>
      <c r="L15" s="491"/>
      <c r="M15" s="239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17000</v>
      </c>
      <c r="J16" s="239">
        <f t="shared" si="7"/>
        <v>17000</v>
      </c>
      <c r="K16" s="226">
        <f>SUM(K17:K26)</f>
        <v>9380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0">
        <v>1500</v>
      </c>
      <c r="J17" s="240">
        <v>1500</v>
      </c>
      <c r="K17" s="230">
        <v>0</v>
      </c>
      <c r="L17" s="365"/>
      <c r="M17" s="236"/>
      <c r="N17" s="828">
        <f t="shared" ref="N17:N26" si="8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0">
        <v>0</v>
      </c>
      <c r="J18" s="240">
        <v>0</v>
      </c>
      <c r="K18" s="230">
        <v>0</v>
      </c>
      <c r="L18" s="365"/>
      <c r="M18" s="236"/>
      <c r="N18" s="828">
        <f t="shared" si="8"/>
        <v>0</v>
      </c>
      <c r="O18" s="887" t="str">
        <f t="shared" si="1"/>
        <v/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0">
        <v>4000</v>
      </c>
      <c r="J19" s="240">
        <v>4000</v>
      </c>
      <c r="K19" s="230">
        <v>1945</v>
      </c>
      <c r="L19" s="364"/>
      <c r="M19" s="240"/>
      <c r="N19" s="828">
        <f t="shared" si="8"/>
        <v>0</v>
      </c>
      <c r="O19" s="887">
        <f t="shared" si="1"/>
        <v>0</v>
      </c>
      <c r="P19" s="45"/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0">
        <v>1000</v>
      </c>
      <c r="J20" s="240">
        <v>1000</v>
      </c>
      <c r="K20" s="230">
        <v>273</v>
      </c>
      <c r="L20" s="365"/>
      <c r="M20" s="236"/>
      <c r="N20" s="828">
        <f t="shared" si="8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0">
        <v>0</v>
      </c>
      <c r="J21" s="240">
        <v>0</v>
      </c>
      <c r="K21" s="230">
        <v>0</v>
      </c>
      <c r="L21" s="365"/>
      <c r="M21" s="236"/>
      <c r="N21" s="828">
        <f t="shared" si="8"/>
        <v>0</v>
      </c>
      <c r="O21" s="887" t="str">
        <f t="shared" si="1"/>
        <v/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0">
        <v>0</v>
      </c>
      <c r="J22" s="240">
        <v>0</v>
      </c>
      <c r="K22" s="230">
        <v>0</v>
      </c>
      <c r="L22" s="365"/>
      <c r="M22" s="236"/>
      <c r="N22" s="828">
        <f t="shared" si="8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0">
        <v>500</v>
      </c>
      <c r="J23" s="240">
        <v>500</v>
      </c>
      <c r="K23" s="230">
        <v>27</v>
      </c>
      <c r="L23" s="364"/>
      <c r="M23" s="240"/>
      <c r="N23" s="828">
        <f t="shared" si="8"/>
        <v>0</v>
      </c>
      <c r="O23" s="887">
        <f t="shared" si="1"/>
        <v>0</v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0">
        <v>0</v>
      </c>
      <c r="J24" s="240">
        <v>0</v>
      </c>
      <c r="K24" s="230">
        <v>0</v>
      </c>
      <c r="L24" s="364"/>
      <c r="M24" s="240"/>
      <c r="N24" s="828">
        <f t="shared" si="8"/>
        <v>0</v>
      </c>
      <c r="O24" s="887" t="str">
        <f t="shared" si="1"/>
        <v/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0">
        <v>10000</v>
      </c>
      <c r="J25" s="240">
        <v>10000</v>
      </c>
      <c r="K25" s="230">
        <v>7135</v>
      </c>
      <c r="L25" s="364"/>
      <c r="M25" s="240"/>
      <c r="N25" s="828">
        <f t="shared" si="8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36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8"/>
        <v>0</v>
      </c>
      <c r="O26" s="887" t="str">
        <f t="shared" si="1"/>
        <v/>
      </c>
    </row>
    <row r="27" spans="1:16" ht="12.95" customHeight="1">
      <c r="B27" s="10"/>
      <c r="C27" s="11"/>
      <c r="D27" s="11"/>
      <c r="E27" s="168"/>
      <c r="F27" s="182"/>
      <c r="G27" s="201"/>
      <c r="H27" s="24"/>
      <c r="I27" s="241"/>
      <c r="J27" s="241"/>
      <c r="K27" s="231"/>
      <c r="L27" s="490"/>
      <c r="M27" s="241"/>
      <c r="N27" s="789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I29+I30</f>
        <v>1000</v>
      </c>
      <c r="J28" s="241">
        <f t="shared" si="9"/>
        <v>1000</v>
      </c>
      <c r="K28" s="231">
        <f>K29+K30</f>
        <v>0</v>
      </c>
      <c r="L28" s="490">
        <f>L29+L30</f>
        <v>0</v>
      </c>
      <c r="M28" s="241">
        <f>M29+M30</f>
        <v>0</v>
      </c>
      <c r="N28" s="789">
        <f>N29+N30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0">
        <v>0</v>
      </c>
      <c r="J29" s="240">
        <v>0</v>
      </c>
      <c r="K29" s="230">
        <v>0</v>
      </c>
      <c r="L29" s="364"/>
      <c r="M29" s="240"/>
      <c r="N29" s="828">
        <f t="shared" ref="N29:N30" si="10">SUM(L29:M29)</f>
        <v>0</v>
      </c>
      <c r="O29" s="887" t="str">
        <f t="shared" si="1"/>
        <v/>
      </c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0">
        <v>1000</v>
      </c>
      <c r="J30" s="240">
        <v>1000</v>
      </c>
      <c r="K30" s="230">
        <v>0</v>
      </c>
      <c r="L30" s="364"/>
      <c r="M30" s="240"/>
      <c r="N30" s="828">
        <f t="shared" si="10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37"/>
      <c r="J31" s="237"/>
      <c r="K31" s="228"/>
      <c r="L31" s="492"/>
      <c r="M31" s="237"/>
      <c r="N31" s="789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7">
        <v>3</v>
      </c>
      <c r="J32" s="237">
        <v>3</v>
      </c>
      <c r="K32" s="228">
        <v>3</v>
      </c>
      <c r="L32" s="490"/>
      <c r="M32" s="237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106580</v>
      </c>
      <c r="J33" s="170">
        <f t="shared" si="11"/>
        <v>106580</v>
      </c>
      <c r="K33" s="158">
        <f t="shared" si="11"/>
        <v>74107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 t="shared" ref="I34:K34" si="12">I33</f>
        <v>106580</v>
      </c>
      <c r="J34" s="170">
        <f t="shared" si="12"/>
        <v>106580</v>
      </c>
      <c r="K34" s="158">
        <f t="shared" si="12"/>
        <v>74107</v>
      </c>
      <c r="L34" s="377">
        <f t="shared" ref="L34:N35" si="13">L33</f>
        <v>0</v>
      </c>
      <c r="M34" s="170">
        <f t="shared" si="13"/>
        <v>0</v>
      </c>
      <c r="N34" s="789">
        <f t="shared" si="13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ref="I35:K35" si="14">I34</f>
        <v>106580</v>
      </c>
      <c r="J35" s="15">
        <f t="shared" si="14"/>
        <v>106580</v>
      </c>
      <c r="K35" s="158">
        <f t="shared" si="14"/>
        <v>74107</v>
      </c>
      <c r="L35" s="377">
        <f t="shared" si="13"/>
        <v>0</v>
      </c>
      <c r="M35" s="170">
        <f t="shared" si="13"/>
        <v>0</v>
      </c>
      <c r="N35" s="789">
        <f t="shared" si="13"/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17"/>
      <c r="J36" s="17"/>
      <c r="K36" s="362"/>
      <c r="L36" s="16"/>
      <c r="M36" s="17"/>
      <c r="N36" s="815"/>
      <c r="O36" s="888"/>
    </row>
    <row r="37" spans="1:15" ht="12.95" customHeight="1">
      <c r="F37" s="184"/>
      <c r="G37" s="203"/>
      <c r="N37" s="258"/>
    </row>
    <row r="38" spans="1:15" ht="12.95" customHeight="1">
      <c r="B38" s="45"/>
      <c r="F38" s="184"/>
      <c r="G38" s="203"/>
      <c r="N38" s="258"/>
    </row>
    <row r="39" spans="1:15" ht="12.95" customHeight="1">
      <c r="B39" s="45"/>
      <c r="F39" s="184"/>
      <c r="G39" s="203"/>
      <c r="N39" s="258"/>
    </row>
    <row r="40" spans="1:15" ht="12.95" customHeight="1">
      <c r="F40" s="184"/>
      <c r="G40" s="203"/>
      <c r="N40" s="258"/>
    </row>
    <row r="41" spans="1:15" ht="12.95" customHeight="1"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topLeftCell="A21" zoomScaleNormal="100" workbookViewId="0">
      <selection activeCell="L9" sqref="L9:M1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664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137</v>
      </c>
      <c r="C7" s="7" t="s">
        <v>79</v>
      </c>
      <c r="D7" s="7" t="s">
        <v>80</v>
      </c>
      <c r="E7" s="422" t="s">
        <v>711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408460</v>
      </c>
      <c r="J8" s="241">
        <f t="shared" si="0"/>
        <v>408460</v>
      </c>
      <c r="K8" s="231">
        <f>SUM(K9:K11)</f>
        <v>266001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  <c r="Q8" s="52"/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v>343800</v>
      </c>
      <c r="J9" s="242">
        <v>343800</v>
      </c>
      <c r="K9" s="229">
        <v>225827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v>64660</v>
      </c>
      <c r="J10" s="242">
        <v>64660</v>
      </c>
      <c r="K10" s="229">
        <v>40174</v>
      </c>
      <c r="L10" s="367"/>
      <c r="M10" s="242"/>
      <c r="N10" s="828">
        <f t="shared" ref="N10:N11" si="2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36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2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  <c r="Q12" s="45"/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3">I14</f>
        <v>37140</v>
      </c>
      <c r="J13" s="241">
        <f t="shared" si="3"/>
        <v>37140</v>
      </c>
      <c r="K13" s="231">
        <f>K14</f>
        <v>23445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v>37140</v>
      </c>
      <c r="J14" s="242">
        <v>37140</v>
      </c>
      <c r="K14" s="229">
        <v>23445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7"/>
      <c r="J15" s="237"/>
      <c r="K15" s="228"/>
      <c r="L15" s="492"/>
      <c r="M15" s="237"/>
      <c r="N15" s="789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4">SUM(I17:I26)</f>
        <v>75600</v>
      </c>
      <c r="J16" s="239">
        <f t="shared" si="4"/>
        <v>75600</v>
      </c>
      <c r="K16" s="226">
        <f>SUM(K17:K26)</f>
        <v>40963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1800</v>
      </c>
      <c r="J17" s="242">
        <v>1800</v>
      </c>
      <c r="K17" s="229">
        <v>650</v>
      </c>
      <c r="L17" s="366"/>
      <c r="M17" s="238"/>
      <c r="N17" s="828">
        <f t="shared" ref="N17:N26" si="5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5300</v>
      </c>
      <c r="J18" s="242">
        <v>5300</v>
      </c>
      <c r="K18" s="229">
        <v>2984</v>
      </c>
      <c r="L18" s="366"/>
      <c r="M18" s="238"/>
      <c r="N18" s="828">
        <f t="shared" si="5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9200</v>
      </c>
      <c r="J19" s="242">
        <v>9200</v>
      </c>
      <c r="K19" s="229">
        <v>6253</v>
      </c>
      <c r="L19" s="367"/>
      <c r="M19" s="242"/>
      <c r="N19" s="828">
        <f t="shared" si="5"/>
        <v>0</v>
      </c>
      <c r="O19" s="887">
        <f t="shared" si="1"/>
        <v>0</v>
      </c>
      <c r="P19" s="45"/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12000</v>
      </c>
      <c r="J20" s="242">
        <v>12000</v>
      </c>
      <c r="K20" s="229">
        <v>6899</v>
      </c>
      <c r="L20" s="366"/>
      <c r="M20" s="238"/>
      <c r="N20" s="828">
        <f t="shared" si="5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1800</v>
      </c>
      <c r="J21" s="242">
        <v>1800</v>
      </c>
      <c r="K21" s="229">
        <v>1446</v>
      </c>
      <c r="L21" s="367"/>
      <c r="M21" s="242"/>
      <c r="N21" s="828">
        <f t="shared" si="5"/>
        <v>0</v>
      </c>
      <c r="O21" s="887">
        <f t="shared" si="1"/>
        <v>0</v>
      </c>
      <c r="P21" s="45"/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6"/>
      <c r="M22" s="238"/>
      <c r="N22" s="828">
        <f t="shared" si="5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2000</v>
      </c>
      <c r="J23" s="242">
        <v>2000</v>
      </c>
      <c r="K23" s="229">
        <v>466</v>
      </c>
      <c r="L23" s="367"/>
      <c r="M23" s="242"/>
      <c r="N23" s="828">
        <f t="shared" si="5"/>
        <v>0</v>
      </c>
      <c r="O23" s="887">
        <f t="shared" si="1"/>
        <v>0</v>
      </c>
      <c r="P23" s="45"/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500</v>
      </c>
      <c r="J24" s="242">
        <v>500</v>
      </c>
      <c r="K24" s="229">
        <v>292</v>
      </c>
      <c r="L24" s="367"/>
      <c r="M24" s="242"/>
      <c r="N24" s="828">
        <f t="shared" si="5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43000</v>
      </c>
      <c r="J25" s="242">
        <v>43000</v>
      </c>
      <c r="K25" s="229">
        <v>21973</v>
      </c>
      <c r="L25" s="367"/>
      <c r="M25" s="242"/>
      <c r="N25" s="828">
        <f t="shared" si="5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36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5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" si="6">I29+I30</f>
        <v>6000</v>
      </c>
      <c r="J28" s="241">
        <f>SUM(J29:J30)</f>
        <v>6000</v>
      </c>
      <c r="K28" s="231">
        <f>K29+K30</f>
        <v>5085</v>
      </c>
      <c r="L28" s="490">
        <f>L29+L30</f>
        <v>0</v>
      </c>
      <c r="M28" s="241">
        <f>M29+M30</f>
        <v>0</v>
      </c>
      <c r="N28" s="789">
        <f>N29+N30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7">SUM(L29:M29)</f>
        <v>0</v>
      </c>
      <c r="O29" s="887" t="str">
        <f t="shared" si="1"/>
        <v/>
      </c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6000</v>
      </c>
      <c r="J30" s="242">
        <v>6000</v>
      </c>
      <c r="K30" s="229">
        <v>5085</v>
      </c>
      <c r="L30" s="367"/>
      <c r="M30" s="242"/>
      <c r="N30" s="828">
        <f t="shared" si="7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38"/>
      <c r="J31" s="238"/>
      <c r="K31" s="227"/>
      <c r="L31" s="366"/>
      <c r="M31" s="238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41">
        <v>12</v>
      </c>
      <c r="J32" s="241">
        <v>12</v>
      </c>
      <c r="K32" s="231">
        <v>10</v>
      </c>
      <c r="L32" s="490"/>
      <c r="M32" s="241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8">I8+I13+I16+I28</f>
        <v>527200</v>
      </c>
      <c r="J33" s="170">
        <f t="shared" si="8"/>
        <v>527200</v>
      </c>
      <c r="K33" s="158">
        <f t="shared" si="8"/>
        <v>335494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374">
        <f t="shared" ref="I34:K34" si="9">I33</f>
        <v>527200</v>
      </c>
      <c r="J34" s="170">
        <f t="shared" si="9"/>
        <v>527200</v>
      </c>
      <c r="K34" s="158">
        <f t="shared" si="9"/>
        <v>335494</v>
      </c>
      <c r="L34" s="377">
        <f t="shared" ref="L34:N35" si="10">L33</f>
        <v>0</v>
      </c>
      <c r="M34" s="170">
        <f t="shared" si="10"/>
        <v>0</v>
      </c>
      <c r="N34" s="789">
        <f t="shared" si="10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ref="I35:K35" si="11">I34</f>
        <v>527200</v>
      </c>
      <c r="J35" s="15">
        <f t="shared" si="11"/>
        <v>527200</v>
      </c>
      <c r="K35" s="158">
        <f t="shared" si="11"/>
        <v>335494</v>
      </c>
      <c r="L35" s="377">
        <f t="shared" si="10"/>
        <v>0</v>
      </c>
      <c r="M35" s="170">
        <f t="shared" si="10"/>
        <v>0</v>
      </c>
      <c r="N35" s="789">
        <f t="shared" si="10"/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L38" s="411"/>
      <c r="N38" s="259"/>
    </row>
    <row r="39" spans="1:15" ht="12.95" customHeight="1">
      <c r="B39" s="45"/>
      <c r="F39" s="184"/>
      <c r="G39" s="203"/>
      <c r="N39" s="259"/>
    </row>
    <row r="40" spans="1:15" ht="12.95" customHeight="1">
      <c r="B40" s="45"/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topLeftCell="A16" zoomScaleNormal="100" workbookViewId="0">
      <selection activeCell="L55" sqref="L55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149</v>
      </c>
      <c r="C2" s="964"/>
      <c r="D2" s="964"/>
      <c r="E2" s="964"/>
      <c r="F2" s="964"/>
      <c r="G2" s="964"/>
      <c r="H2" s="964"/>
      <c r="I2" s="964"/>
      <c r="J2" s="997"/>
      <c r="K2" s="997"/>
      <c r="L2" s="997"/>
      <c r="M2" s="997"/>
      <c r="N2" s="997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95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148</v>
      </c>
      <c r="C7" s="7" t="s">
        <v>79</v>
      </c>
      <c r="D7" s="7" t="s">
        <v>80</v>
      </c>
      <c r="E7" s="422" t="s">
        <v>712</v>
      </c>
      <c r="F7" s="5"/>
      <c r="G7" s="165"/>
      <c r="H7" s="5"/>
      <c r="I7" s="385"/>
      <c r="J7" s="71"/>
      <c r="K7" s="740"/>
      <c r="L7" s="398"/>
      <c r="M7" s="71"/>
      <c r="N7" s="847"/>
      <c r="O7" s="885"/>
    </row>
    <row r="8" spans="1:17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25" t="s">
        <v>140</v>
      </c>
      <c r="I8" s="241">
        <f t="shared" ref="I8:J8" si="0">SUM(I9:I11)</f>
        <v>488660</v>
      </c>
      <c r="J8" s="241">
        <f t="shared" si="0"/>
        <v>488660</v>
      </c>
      <c r="K8" s="231">
        <f>SUM(K9:K11)</f>
        <v>363345</v>
      </c>
      <c r="L8" s="490">
        <f>SUM(L9:L11)</f>
        <v>0</v>
      </c>
      <c r="M8" s="241">
        <f>SUM(M9:M11)</f>
        <v>0</v>
      </c>
      <c r="N8" s="827">
        <f>SUM(N9:N11)</f>
        <v>0</v>
      </c>
      <c r="O8" s="886">
        <f t="shared" ref="O8:O31" si="1">IF(J8=0,"",N8/J8*100)</f>
        <v>0</v>
      </c>
    </row>
    <row r="9" spans="1:17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2">
        <f t="shared" ref="I9" si="2">420990+1000+900</f>
        <v>422890</v>
      </c>
      <c r="J9" s="242">
        <v>422890</v>
      </c>
      <c r="K9" s="229">
        <v>312391</v>
      </c>
      <c r="L9" s="367"/>
      <c r="M9" s="242"/>
      <c r="N9" s="828">
        <f>SUM(L9:M9)</f>
        <v>0</v>
      </c>
      <c r="O9" s="887">
        <f t="shared" si="1"/>
        <v>0</v>
      </c>
    </row>
    <row r="10" spans="1:17" ht="12.95" customHeight="1">
      <c r="B10" s="10"/>
      <c r="C10" s="11"/>
      <c r="D10" s="11"/>
      <c r="E10" s="168"/>
      <c r="F10" s="182">
        <v>611200</v>
      </c>
      <c r="G10" s="201"/>
      <c r="H10" s="24" t="s">
        <v>162</v>
      </c>
      <c r="I10" s="242">
        <f t="shared" ref="I10" si="3">60850+1000+1920+2000</f>
        <v>65770</v>
      </c>
      <c r="J10" s="242">
        <v>65770</v>
      </c>
      <c r="K10" s="229">
        <v>50954</v>
      </c>
      <c r="L10" s="367"/>
      <c r="M10" s="242"/>
      <c r="N10" s="828">
        <f t="shared" ref="N10:N11" si="4">SUM(L10:M10)</f>
        <v>0</v>
      </c>
      <c r="O10" s="887">
        <f t="shared" si="1"/>
        <v>0</v>
      </c>
    </row>
    <row r="11" spans="1:17" ht="12.95" customHeight="1">
      <c r="B11" s="10"/>
      <c r="C11" s="11"/>
      <c r="D11" s="11"/>
      <c r="E11" s="168"/>
      <c r="F11" s="182">
        <v>611200</v>
      </c>
      <c r="G11" s="201"/>
      <c r="H11" s="442" t="s">
        <v>435</v>
      </c>
      <c r="I11" s="240">
        <v>0</v>
      </c>
      <c r="J11" s="240">
        <v>0</v>
      </c>
      <c r="K11" s="230">
        <v>0</v>
      </c>
      <c r="L11" s="364"/>
      <c r="M11" s="240"/>
      <c r="N11" s="828">
        <f t="shared" si="4"/>
        <v>0</v>
      </c>
      <c r="O11" s="887" t="str">
        <f t="shared" si="1"/>
        <v/>
      </c>
      <c r="Q11" s="50"/>
    </row>
    <row r="12" spans="1:17" ht="12.95" customHeight="1">
      <c r="B12" s="10"/>
      <c r="C12" s="11"/>
      <c r="D12" s="11"/>
      <c r="E12" s="168"/>
      <c r="F12" s="182"/>
      <c r="G12" s="201"/>
      <c r="H12" s="24"/>
      <c r="I12" s="241"/>
      <c r="J12" s="241"/>
      <c r="K12" s="231"/>
      <c r="L12" s="490"/>
      <c r="M12" s="241"/>
      <c r="N12" s="827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25" t="s">
        <v>139</v>
      </c>
      <c r="I13" s="241">
        <f t="shared" ref="I13:J13" si="5">I14</f>
        <v>45020</v>
      </c>
      <c r="J13" s="241">
        <f t="shared" si="5"/>
        <v>45020</v>
      </c>
      <c r="K13" s="231">
        <f>K14</f>
        <v>33109</v>
      </c>
      <c r="L13" s="490">
        <f>L14</f>
        <v>0</v>
      </c>
      <c r="M13" s="241">
        <f>M14</f>
        <v>0</v>
      </c>
      <c r="N13" s="827">
        <f>N14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612100</v>
      </c>
      <c r="G14" s="201"/>
      <c r="H14" s="437" t="s">
        <v>81</v>
      </c>
      <c r="I14" s="242">
        <f t="shared" ref="I14" si="6">44320+400+300</f>
        <v>45020</v>
      </c>
      <c r="J14" s="242">
        <v>45020</v>
      </c>
      <c r="K14" s="229">
        <v>33109</v>
      </c>
      <c r="L14" s="367"/>
      <c r="M14" s="242"/>
      <c r="N14" s="828">
        <f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/>
      <c r="G15" s="201"/>
      <c r="H15" s="24"/>
      <c r="I15" s="238"/>
      <c r="J15" s="238"/>
      <c r="K15" s="227"/>
      <c r="L15" s="366"/>
      <c r="M15" s="238"/>
      <c r="N15" s="791"/>
      <c r="O15" s="887" t="str">
        <f t="shared" si="1"/>
        <v/>
      </c>
    </row>
    <row r="16" spans="1:17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25" t="s">
        <v>141</v>
      </c>
      <c r="I16" s="239">
        <f t="shared" ref="I16:J16" si="7">SUM(I17:I26)</f>
        <v>34600</v>
      </c>
      <c r="J16" s="239">
        <f t="shared" si="7"/>
        <v>34600</v>
      </c>
      <c r="K16" s="226">
        <f>SUM(K17:K26)</f>
        <v>17012</v>
      </c>
      <c r="L16" s="491">
        <f>SUM(L17:L26)</f>
        <v>0</v>
      </c>
      <c r="M16" s="239">
        <f>SUM(M17:M26)</f>
        <v>0</v>
      </c>
      <c r="N16" s="789">
        <f>SUM(N17:N26)</f>
        <v>0</v>
      </c>
      <c r="O16" s="886">
        <f t="shared" si="1"/>
        <v>0</v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24" t="s">
        <v>82</v>
      </c>
      <c r="I17" s="242">
        <v>1300</v>
      </c>
      <c r="J17" s="242">
        <v>1300</v>
      </c>
      <c r="K17" s="229">
        <v>762</v>
      </c>
      <c r="L17" s="366"/>
      <c r="M17" s="238"/>
      <c r="N17" s="828">
        <f t="shared" ref="N17:N26" si="8">SUM(L17:M17)</f>
        <v>0</v>
      </c>
      <c r="O17" s="887">
        <f t="shared" si="1"/>
        <v>0</v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24" t="s">
        <v>83</v>
      </c>
      <c r="I18" s="242">
        <v>8000</v>
      </c>
      <c r="J18" s="242">
        <v>8000</v>
      </c>
      <c r="K18" s="229">
        <v>3208</v>
      </c>
      <c r="L18" s="366"/>
      <c r="M18" s="238"/>
      <c r="N18" s="828">
        <f t="shared" si="8"/>
        <v>0</v>
      </c>
      <c r="O18" s="887">
        <f t="shared" si="1"/>
        <v>0</v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435" t="s">
        <v>163</v>
      </c>
      <c r="I19" s="242">
        <v>8500</v>
      </c>
      <c r="J19" s="242">
        <v>8500</v>
      </c>
      <c r="K19" s="229">
        <v>3387</v>
      </c>
      <c r="L19" s="366"/>
      <c r="M19" s="238"/>
      <c r="N19" s="828">
        <f t="shared" si="8"/>
        <v>0</v>
      </c>
      <c r="O19" s="887">
        <f t="shared" si="1"/>
        <v>0</v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24" t="s">
        <v>142</v>
      </c>
      <c r="I20" s="242">
        <v>1000</v>
      </c>
      <c r="J20" s="242">
        <v>1000</v>
      </c>
      <c r="K20" s="229">
        <v>639</v>
      </c>
      <c r="L20" s="366"/>
      <c r="M20" s="238"/>
      <c r="N20" s="828">
        <f t="shared" si="8"/>
        <v>0</v>
      </c>
      <c r="O20" s="887">
        <f t="shared" si="1"/>
        <v>0</v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24" t="s">
        <v>84</v>
      </c>
      <c r="I21" s="242">
        <v>6500</v>
      </c>
      <c r="J21" s="242">
        <v>6500</v>
      </c>
      <c r="K21" s="229">
        <v>4103</v>
      </c>
      <c r="L21" s="366"/>
      <c r="M21" s="238"/>
      <c r="N21" s="828">
        <f t="shared" si="8"/>
        <v>0</v>
      </c>
      <c r="O21" s="887">
        <f t="shared" si="1"/>
        <v>0</v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435" t="s">
        <v>164</v>
      </c>
      <c r="I22" s="242">
        <v>0</v>
      </c>
      <c r="J22" s="242">
        <v>0</v>
      </c>
      <c r="K22" s="229">
        <v>0</v>
      </c>
      <c r="L22" s="367"/>
      <c r="M22" s="242"/>
      <c r="N22" s="828">
        <f t="shared" si="8"/>
        <v>0</v>
      </c>
      <c r="O22" s="887" t="str">
        <f t="shared" si="1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24" t="s">
        <v>85</v>
      </c>
      <c r="I23" s="242">
        <v>4000</v>
      </c>
      <c r="J23" s="242">
        <v>4000</v>
      </c>
      <c r="K23" s="229">
        <v>1202</v>
      </c>
      <c r="L23" s="367"/>
      <c r="M23" s="242"/>
      <c r="N23" s="828">
        <f t="shared" si="8"/>
        <v>0</v>
      </c>
      <c r="O23" s="887">
        <f t="shared" si="1"/>
        <v>0</v>
      </c>
      <c r="P23" s="45"/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24" t="s">
        <v>143</v>
      </c>
      <c r="I24" s="242">
        <v>1800</v>
      </c>
      <c r="J24" s="242">
        <v>1800</v>
      </c>
      <c r="K24" s="229">
        <v>1449</v>
      </c>
      <c r="L24" s="367"/>
      <c r="M24" s="242"/>
      <c r="N24" s="828">
        <f t="shared" si="8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24" t="s">
        <v>144</v>
      </c>
      <c r="I25" s="242">
        <v>3500</v>
      </c>
      <c r="J25" s="242">
        <v>3500</v>
      </c>
      <c r="K25" s="229">
        <v>2262</v>
      </c>
      <c r="L25" s="367"/>
      <c r="M25" s="242"/>
      <c r="N25" s="828">
        <f t="shared" si="8"/>
        <v>0</v>
      </c>
      <c r="O25" s="887">
        <f t="shared" si="1"/>
        <v>0</v>
      </c>
      <c r="P25" s="45"/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442" t="s">
        <v>436</v>
      </c>
      <c r="I26" s="242">
        <v>0</v>
      </c>
      <c r="J26" s="242">
        <v>0</v>
      </c>
      <c r="K26" s="229">
        <v>0</v>
      </c>
      <c r="L26" s="367"/>
      <c r="M26" s="242"/>
      <c r="N26" s="828">
        <f t="shared" si="8"/>
        <v>0</v>
      </c>
      <c r="O26" s="887" t="str">
        <f t="shared" si="1"/>
        <v/>
      </c>
    </row>
    <row r="27" spans="1:16" s="1" customFormat="1" ht="12.95" customHeight="1">
      <c r="A27" s="163"/>
      <c r="B27" s="12"/>
      <c r="C27" s="8"/>
      <c r="D27" s="8"/>
      <c r="E27" s="8"/>
      <c r="F27" s="181"/>
      <c r="G27" s="200"/>
      <c r="H27" s="25"/>
      <c r="I27" s="242"/>
      <c r="J27" s="242"/>
      <c r="K27" s="229"/>
      <c r="L27" s="367"/>
      <c r="M27" s="242"/>
      <c r="N27" s="791"/>
      <c r="O27" s="887" t="str">
        <f t="shared" si="1"/>
        <v/>
      </c>
    </row>
    <row r="28" spans="1:16" s="1" customFormat="1" ht="12.95" customHeight="1">
      <c r="A28" s="163"/>
      <c r="B28" s="12"/>
      <c r="C28" s="8"/>
      <c r="D28" s="8"/>
      <c r="E28" s="8"/>
      <c r="F28" s="181">
        <v>821000</v>
      </c>
      <c r="G28" s="200"/>
      <c r="H28" s="25" t="s">
        <v>88</v>
      </c>
      <c r="I28" s="241">
        <f t="shared" ref="I28:J28" si="9">SUM(I29:I30)</f>
        <v>35000</v>
      </c>
      <c r="J28" s="241">
        <f t="shared" si="9"/>
        <v>35000</v>
      </c>
      <c r="K28" s="231">
        <f>SUM(K29:K30)</f>
        <v>34605</v>
      </c>
      <c r="L28" s="490">
        <f>SUM(L29:L30)</f>
        <v>0</v>
      </c>
      <c r="M28" s="241">
        <f>SUM(M29:M30)</f>
        <v>0</v>
      </c>
      <c r="N28" s="789">
        <f>SUM(N29:N30)</f>
        <v>0</v>
      </c>
      <c r="O28" s="886">
        <f t="shared" si="1"/>
        <v>0</v>
      </c>
    </row>
    <row r="29" spans="1:16" ht="12.95" customHeight="1">
      <c r="B29" s="10"/>
      <c r="C29" s="11"/>
      <c r="D29" s="11"/>
      <c r="E29" s="168"/>
      <c r="F29" s="182">
        <v>821200</v>
      </c>
      <c r="G29" s="201"/>
      <c r="H29" s="24" t="s">
        <v>89</v>
      </c>
      <c r="I29" s="242">
        <v>0</v>
      </c>
      <c r="J29" s="242">
        <v>0</v>
      </c>
      <c r="K29" s="229">
        <v>0</v>
      </c>
      <c r="L29" s="367"/>
      <c r="M29" s="242"/>
      <c r="N29" s="828">
        <f t="shared" ref="N29:N30" si="10">SUM(L29:M29)</f>
        <v>0</v>
      </c>
      <c r="O29" s="887" t="str">
        <f t="shared" si="1"/>
        <v/>
      </c>
    </row>
    <row r="30" spans="1:16" ht="12.95" customHeight="1">
      <c r="B30" s="10"/>
      <c r="C30" s="11"/>
      <c r="D30" s="11"/>
      <c r="E30" s="168"/>
      <c r="F30" s="182">
        <v>821300</v>
      </c>
      <c r="G30" s="201"/>
      <c r="H30" s="24" t="s">
        <v>90</v>
      </c>
      <c r="I30" s="242">
        <v>35000</v>
      </c>
      <c r="J30" s="242">
        <v>35000</v>
      </c>
      <c r="K30" s="229">
        <v>34605</v>
      </c>
      <c r="L30" s="367"/>
      <c r="M30" s="242"/>
      <c r="N30" s="828">
        <f t="shared" si="10"/>
        <v>0</v>
      </c>
      <c r="O30" s="887">
        <f t="shared" si="1"/>
        <v>0</v>
      </c>
    </row>
    <row r="31" spans="1:16" ht="12.95" customHeight="1">
      <c r="B31" s="10"/>
      <c r="C31" s="11"/>
      <c r="D31" s="11"/>
      <c r="E31" s="168"/>
      <c r="F31" s="182"/>
      <c r="G31" s="201"/>
      <c r="H31" s="24"/>
      <c r="I31" s="242"/>
      <c r="J31" s="242"/>
      <c r="K31" s="229"/>
      <c r="L31" s="367"/>
      <c r="M31" s="242"/>
      <c r="N31" s="791"/>
      <c r="O31" s="887" t="str">
        <f t="shared" si="1"/>
        <v/>
      </c>
    </row>
    <row r="32" spans="1:16" s="1" customFormat="1" ht="12.95" customHeight="1">
      <c r="A32" s="163"/>
      <c r="B32" s="12"/>
      <c r="C32" s="8"/>
      <c r="D32" s="8"/>
      <c r="E32" s="8"/>
      <c r="F32" s="181"/>
      <c r="G32" s="200"/>
      <c r="H32" s="25" t="s">
        <v>91</v>
      </c>
      <c r="I32" s="237">
        <v>14</v>
      </c>
      <c r="J32" s="237">
        <v>14</v>
      </c>
      <c r="K32" s="228">
        <v>14</v>
      </c>
      <c r="L32" s="492"/>
      <c r="M32" s="237"/>
      <c r="N32" s="789"/>
      <c r="O32" s="887"/>
    </row>
    <row r="33" spans="1:15" s="1" customFormat="1" ht="12.95" customHeight="1">
      <c r="A33" s="163"/>
      <c r="B33" s="12"/>
      <c r="C33" s="8"/>
      <c r="D33" s="8"/>
      <c r="E33" s="8"/>
      <c r="F33" s="181"/>
      <c r="G33" s="200"/>
      <c r="H33" s="8" t="s">
        <v>105</v>
      </c>
      <c r="I33" s="374">
        <f t="shared" ref="I33:K33" si="11">I8+I13+I16+I28</f>
        <v>603280</v>
      </c>
      <c r="J33" s="170">
        <f t="shared" si="11"/>
        <v>603280</v>
      </c>
      <c r="K33" s="158">
        <f t="shared" si="11"/>
        <v>448071</v>
      </c>
      <c r="L33" s="377">
        <f>L8+L13+L16+L28</f>
        <v>0</v>
      </c>
      <c r="M33" s="170">
        <f>M8+M13+M16+M28</f>
        <v>0</v>
      </c>
      <c r="N33" s="789">
        <f>N8+N13+N16+N28</f>
        <v>0</v>
      </c>
      <c r="O33" s="886">
        <f>IF(J33=0,"",N33/J33*100)</f>
        <v>0</v>
      </c>
    </row>
    <row r="34" spans="1:15" s="1" customFormat="1" ht="12.95" customHeight="1">
      <c r="A34" s="163"/>
      <c r="B34" s="12"/>
      <c r="C34" s="8"/>
      <c r="D34" s="8"/>
      <c r="E34" s="8"/>
      <c r="F34" s="181"/>
      <c r="G34" s="200"/>
      <c r="H34" s="8" t="s">
        <v>92</v>
      </c>
      <c r="I34" s="15">
        <f t="shared" ref="I34:K34" si="12">I33</f>
        <v>603280</v>
      </c>
      <c r="J34" s="15">
        <f t="shared" si="12"/>
        <v>603280</v>
      </c>
      <c r="K34" s="158">
        <f t="shared" si="12"/>
        <v>448071</v>
      </c>
      <c r="L34" s="377">
        <f t="shared" ref="L34:N35" si="13">L33</f>
        <v>0</v>
      </c>
      <c r="M34" s="170">
        <f t="shared" si="13"/>
        <v>0</v>
      </c>
      <c r="N34" s="789">
        <f t="shared" si="13"/>
        <v>0</v>
      </c>
      <c r="O34" s="886">
        <f>IF(J34=0,"",N34/J34*100)</f>
        <v>0</v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93</v>
      </c>
      <c r="I35" s="15">
        <f t="shared" ref="I35:K35" si="14">I34</f>
        <v>603280</v>
      </c>
      <c r="J35" s="15">
        <f t="shared" si="14"/>
        <v>603280</v>
      </c>
      <c r="K35" s="158">
        <f t="shared" si="14"/>
        <v>448071</v>
      </c>
      <c r="L35" s="377">
        <f t="shared" si="13"/>
        <v>0</v>
      </c>
      <c r="M35" s="170">
        <f t="shared" si="13"/>
        <v>0</v>
      </c>
      <c r="N35" s="789">
        <f t="shared" si="13"/>
        <v>0</v>
      </c>
      <c r="O35" s="886">
        <f>IF(J35=0,"",N35/J35*100)</f>
        <v>0</v>
      </c>
    </row>
    <row r="36" spans="1:15" ht="12.95" customHeight="1" thickBot="1">
      <c r="B36" s="16"/>
      <c r="C36" s="17"/>
      <c r="D36" s="17"/>
      <c r="E36" s="17"/>
      <c r="F36" s="183"/>
      <c r="G36" s="202"/>
      <c r="H36" s="17"/>
      <c r="I36" s="31"/>
      <c r="J36" s="31"/>
      <c r="K36" s="739"/>
      <c r="L36" s="378"/>
      <c r="M36" s="31"/>
      <c r="N36" s="829"/>
      <c r="O36" s="888"/>
    </row>
    <row r="37" spans="1:15" ht="12.95" customHeight="1">
      <c r="F37" s="184"/>
      <c r="G37" s="203"/>
      <c r="N37" s="259"/>
    </row>
    <row r="38" spans="1:15" ht="12.95" customHeight="1">
      <c r="B38" s="45"/>
      <c r="F38" s="184"/>
      <c r="G38" s="203"/>
      <c r="N38" s="259"/>
    </row>
    <row r="39" spans="1:15" ht="12.95" customHeight="1">
      <c r="F39" s="184"/>
      <c r="G39" s="203"/>
      <c r="N39" s="259"/>
    </row>
    <row r="40" spans="1:15" ht="12.95" customHeight="1">
      <c r="F40" s="184"/>
      <c r="G40" s="203"/>
      <c r="N40" s="259"/>
    </row>
    <row r="41" spans="1:15" ht="12.95" customHeight="1">
      <c r="F41" s="184"/>
      <c r="G41" s="203"/>
      <c r="N41" s="259"/>
    </row>
    <row r="42" spans="1:15" ht="12.95" customHeight="1">
      <c r="F42" s="184"/>
      <c r="G42" s="203"/>
      <c r="N42" s="259"/>
    </row>
    <row r="43" spans="1:15" ht="12.95" customHeight="1">
      <c r="F43" s="184"/>
      <c r="G43" s="203"/>
      <c r="N43" s="259"/>
    </row>
    <row r="44" spans="1:15" ht="12.95" customHeight="1">
      <c r="F44" s="184"/>
      <c r="G44" s="203"/>
      <c r="N44" s="259"/>
    </row>
    <row r="45" spans="1:15" ht="12.95" customHeight="1">
      <c r="F45" s="184"/>
      <c r="G45" s="203"/>
      <c r="N45" s="259"/>
    </row>
    <row r="46" spans="1:15" ht="12.95" customHeight="1">
      <c r="F46" s="184"/>
      <c r="G46" s="203"/>
      <c r="N46" s="259"/>
    </row>
    <row r="47" spans="1:15" ht="12.95" customHeight="1">
      <c r="F47" s="184"/>
      <c r="G47" s="203"/>
      <c r="N47" s="259"/>
    </row>
    <row r="48" spans="1:15" ht="12.95" customHeight="1">
      <c r="F48" s="184"/>
      <c r="G48" s="203"/>
      <c r="N48" s="259"/>
    </row>
    <row r="49" spans="6:14" ht="12.95" customHeight="1">
      <c r="F49" s="184"/>
      <c r="G49" s="203"/>
      <c r="N49" s="259"/>
    </row>
    <row r="50" spans="6:14" ht="12.95" customHeight="1">
      <c r="F50" s="184"/>
      <c r="G50" s="203"/>
      <c r="N50" s="259"/>
    </row>
    <row r="51" spans="6:14" ht="12.95" customHeight="1">
      <c r="F51" s="184"/>
      <c r="G51" s="203"/>
      <c r="N51" s="259"/>
    </row>
    <row r="52" spans="6:14" ht="12.95" customHeight="1">
      <c r="F52" s="184"/>
      <c r="G52" s="203"/>
      <c r="N52" s="259"/>
    </row>
    <row r="53" spans="6:14" ht="12.95" customHeight="1">
      <c r="F53" s="184"/>
      <c r="G53" s="203"/>
      <c r="N53" s="259"/>
    </row>
    <row r="54" spans="6:14" ht="12.95" customHeight="1">
      <c r="F54" s="184"/>
      <c r="G54" s="203"/>
      <c r="N54" s="259"/>
    </row>
    <row r="55" spans="6:14" ht="12.95" customHeight="1">
      <c r="F55" s="184"/>
      <c r="G55" s="203"/>
      <c r="N55" s="259"/>
    </row>
    <row r="56" spans="6:14" ht="12.95" customHeight="1">
      <c r="F56" s="184"/>
      <c r="G56" s="203"/>
      <c r="N56" s="259"/>
    </row>
    <row r="57" spans="6:14" ht="12.95" customHeight="1">
      <c r="F57" s="184"/>
      <c r="G57" s="203"/>
      <c r="N57" s="259"/>
    </row>
    <row r="58" spans="6:14" ht="12.95" customHeight="1">
      <c r="F58" s="184"/>
      <c r="G58" s="203"/>
      <c r="N58" s="259"/>
    </row>
    <row r="59" spans="6:14" ht="12.95" customHeight="1">
      <c r="F59" s="184"/>
      <c r="G59" s="203"/>
      <c r="N59" s="259"/>
    </row>
    <row r="60" spans="6:14" ht="17.100000000000001" customHeight="1">
      <c r="F60" s="184"/>
      <c r="G60" s="203"/>
      <c r="N60" s="259"/>
    </row>
    <row r="61" spans="6:14" ht="14.25">
      <c r="F61" s="184"/>
      <c r="G61" s="203"/>
      <c r="N61" s="259"/>
    </row>
    <row r="62" spans="6:14" ht="14.25">
      <c r="F62" s="184"/>
      <c r="G62" s="203"/>
      <c r="N62" s="259"/>
    </row>
    <row r="63" spans="6:14" ht="14.25">
      <c r="F63" s="184"/>
      <c r="G63" s="203"/>
      <c r="N63" s="259"/>
    </row>
    <row r="64" spans="6:14" ht="14.25">
      <c r="F64" s="184"/>
      <c r="G64" s="203"/>
      <c r="N64" s="259"/>
    </row>
    <row r="65" spans="6:14" ht="14.25">
      <c r="F65" s="184"/>
      <c r="G65" s="203"/>
      <c r="N65" s="259"/>
    </row>
    <row r="66" spans="6:14" ht="14.25">
      <c r="F66" s="184"/>
      <c r="G66" s="203"/>
      <c r="N66" s="259"/>
    </row>
    <row r="67" spans="6:14" ht="14.25">
      <c r="F67" s="184"/>
      <c r="G67" s="203"/>
      <c r="N67" s="259"/>
    </row>
    <row r="68" spans="6:14" ht="14.25">
      <c r="F68" s="184"/>
      <c r="G68" s="203"/>
      <c r="N68" s="259"/>
    </row>
    <row r="69" spans="6:14" ht="14.25">
      <c r="F69" s="184"/>
      <c r="G69" s="203"/>
      <c r="N69" s="259"/>
    </row>
    <row r="70" spans="6:14" ht="14.25">
      <c r="F70" s="184"/>
      <c r="G70" s="203"/>
      <c r="N70" s="259"/>
    </row>
    <row r="71" spans="6:14" ht="14.25">
      <c r="F71" s="184"/>
      <c r="G71" s="203"/>
      <c r="N71" s="259"/>
    </row>
    <row r="72" spans="6:14" ht="14.25">
      <c r="F72" s="184"/>
      <c r="G72" s="203"/>
      <c r="N72" s="259"/>
    </row>
    <row r="73" spans="6:14" ht="14.25">
      <c r="F73" s="184"/>
      <c r="G73" s="203"/>
      <c r="N73" s="259"/>
    </row>
    <row r="74" spans="6:14" ht="14.25">
      <c r="F74" s="184"/>
      <c r="G74" s="184"/>
      <c r="N74" s="259"/>
    </row>
    <row r="75" spans="6:14" ht="14.25">
      <c r="F75" s="184"/>
      <c r="G75" s="184"/>
      <c r="N75" s="259"/>
    </row>
    <row r="76" spans="6:14" ht="14.25">
      <c r="F76" s="184"/>
      <c r="G76" s="184"/>
      <c r="N76" s="259"/>
    </row>
    <row r="77" spans="6:14" ht="14.25">
      <c r="F77" s="184"/>
      <c r="G77" s="184"/>
      <c r="N77" s="259"/>
    </row>
    <row r="78" spans="6:14" ht="14.25">
      <c r="F78" s="184"/>
      <c r="G78" s="184"/>
      <c r="N78" s="259"/>
    </row>
    <row r="79" spans="6:14" ht="14.25">
      <c r="F79" s="184"/>
      <c r="G79" s="184"/>
      <c r="N79" s="259"/>
    </row>
    <row r="80" spans="6:14" ht="14.25">
      <c r="F80" s="184"/>
      <c r="G80" s="184"/>
      <c r="N80" s="259"/>
    </row>
    <row r="81" spans="6:14" ht="14.25">
      <c r="F81" s="184"/>
      <c r="G81" s="184"/>
      <c r="N81" s="259"/>
    </row>
    <row r="82" spans="6:14" ht="14.25">
      <c r="F82" s="184"/>
      <c r="G82" s="184"/>
      <c r="N82" s="259"/>
    </row>
    <row r="83" spans="6:14" ht="14.25">
      <c r="F83" s="184"/>
      <c r="G83" s="184"/>
      <c r="N83" s="259"/>
    </row>
    <row r="84" spans="6:14" ht="14.25">
      <c r="F84" s="184"/>
      <c r="G84" s="184"/>
      <c r="N84" s="259"/>
    </row>
    <row r="85" spans="6:14" ht="14.25">
      <c r="F85" s="184"/>
      <c r="G85" s="184"/>
      <c r="N85" s="259"/>
    </row>
    <row r="86" spans="6:14" ht="14.25">
      <c r="F86" s="184"/>
      <c r="G86" s="184"/>
      <c r="N86" s="259"/>
    </row>
    <row r="87" spans="6:14" ht="14.25">
      <c r="F87" s="184"/>
      <c r="G87" s="184"/>
      <c r="N87" s="259"/>
    </row>
    <row r="88" spans="6:14" ht="14.25">
      <c r="F88" s="184"/>
      <c r="G88" s="184"/>
      <c r="N88" s="259"/>
    </row>
    <row r="89" spans="6:14" ht="14.25">
      <c r="F89" s="184"/>
      <c r="G89" s="184"/>
      <c r="N89" s="259"/>
    </row>
    <row r="90" spans="6:14" ht="14.25">
      <c r="F90" s="184"/>
      <c r="G90" s="184"/>
      <c r="N90" s="259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O46"/>
  <sheetViews>
    <sheetView topLeftCell="A7" zoomScaleNormal="100" workbookViewId="0">
      <selection activeCell="N21" sqref="N21"/>
    </sheetView>
  </sheetViews>
  <sheetFormatPr defaultRowHeight="12.75"/>
  <cols>
    <col min="1" max="1" width="11.85546875" style="36" customWidth="1"/>
    <col min="2" max="2" width="82.28515625" customWidth="1"/>
    <col min="3" max="11" width="10.7109375" customWidth="1"/>
    <col min="12" max="12" width="11.42578125" style="41" customWidth="1"/>
  </cols>
  <sheetData>
    <row r="2" spans="1:15" ht="15.75">
      <c r="A2" s="929" t="s">
        <v>929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</row>
    <row r="4" spans="1:15" s="41" customFormat="1" ht="51">
      <c r="A4" s="98" t="s">
        <v>313</v>
      </c>
      <c r="B4" s="99" t="s">
        <v>321</v>
      </c>
      <c r="C4" s="98" t="s">
        <v>314</v>
      </c>
      <c r="D4" s="98" t="s">
        <v>315</v>
      </c>
      <c r="E4" s="98" t="s">
        <v>322</v>
      </c>
      <c r="F4" s="98" t="s">
        <v>323</v>
      </c>
      <c r="G4" s="98" t="s">
        <v>316</v>
      </c>
      <c r="H4" s="98" t="s">
        <v>317</v>
      </c>
      <c r="I4" s="98" t="s">
        <v>318</v>
      </c>
      <c r="J4" s="98" t="s">
        <v>324</v>
      </c>
      <c r="K4" s="98" t="s">
        <v>319</v>
      </c>
      <c r="L4" s="98" t="s">
        <v>320</v>
      </c>
    </row>
    <row r="5" spans="1:15" ht="20.100000000000001" customHeight="1">
      <c r="A5" s="92">
        <v>10010001</v>
      </c>
      <c r="B5" s="23" t="s">
        <v>185</v>
      </c>
      <c r="C5" s="90">
        <f>'1'!N9</f>
        <v>0</v>
      </c>
      <c r="D5" s="90">
        <f>'1'!N10+'1'!N11</f>
        <v>0</v>
      </c>
      <c r="E5" s="90">
        <f>'1'!N13</f>
        <v>0</v>
      </c>
      <c r="F5" s="90">
        <f>'1'!N16</f>
        <v>0</v>
      </c>
      <c r="G5" s="90">
        <v>0</v>
      </c>
      <c r="H5" s="90">
        <v>0</v>
      </c>
      <c r="I5" s="23">
        <v>0</v>
      </c>
      <c r="J5" s="90">
        <f>'1'!N28</f>
        <v>0</v>
      </c>
      <c r="K5" s="23">
        <v>0</v>
      </c>
      <c r="L5" s="91">
        <f>SUM(C5:K5)</f>
        <v>0</v>
      </c>
    </row>
    <row r="6" spans="1:15" ht="20.100000000000001" customHeight="1">
      <c r="A6" s="92">
        <v>11010001</v>
      </c>
      <c r="B6" s="23" t="s">
        <v>186</v>
      </c>
      <c r="C6" s="90">
        <f>'2'!N14</f>
        <v>0</v>
      </c>
      <c r="D6" s="90">
        <f>'2'!N15+'2'!N16</f>
        <v>0</v>
      </c>
      <c r="E6" s="90">
        <f>'2'!N18</f>
        <v>0</v>
      </c>
      <c r="F6" s="90">
        <f>'2'!N21</f>
        <v>0</v>
      </c>
      <c r="G6" s="90">
        <f>'2'!N34</f>
        <v>0</v>
      </c>
      <c r="H6" s="90">
        <f>'2'!N43</f>
        <v>0</v>
      </c>
      <c r="I6" s="23">
        <v>0</v>
      </c>
      <c r="J6" s="90">
        <f>'2'!N46</f>
        <v>0</v>
      </c>
      <c r="K6" s="23">
        <v>0</v>
      </c>
      <c r="L6" s="91">
        <f t="shared" ref="L6:L42" si="0">SUM(C6:K6)</f>
        <v>0</v>
      </c>
      <c r="O6" s="57"/>
    </row>
    <row r="7" spans="1:15" ht="20.100000000000001" customHeight="1">
      <c r="A7" s="92">
        <v>11010002</v>
      </c>
      <c r="B7" s="23" t="s">
        <v>674</v>
      </c>
      <c r="C7" s="90">
        <f>'4 (S)'!N9</f>
        <v>0</v>
      </c>
      <c r="D7" s="90">
        <f>'4 (S)'!N10+'4 (S)'!N11</f>
        <v>0</v>
      </c>
      <c r="E7" s="90">
        <f>'4 (S)'!N13</f>
        <v>0</v>
      </c>
      <c r="F7" s="90">
        <f>'4 (S)'!N16</f>
        <v>0</v>
      </c>
      <c r="G7" s="90">
        <f>'4 (S)'!N28</f>
        <v>0</v>
      </c>
      <c r="H7" s="23">
        <v>0</v>
      </c>
      <c r="I7" s="23">
        <v>0</v>
      </c>
      <c r="J7" s="90">
        <f>'4 (S)'!N31</f>
        <v>0</v>
      </c>
      <c r="K7" s="23">
        <v>0</v>
      </c>
      <c r="L7" s="91">
        <f t="shared" si="0"/>
        <v>0</v>
      </c>
    </row>
    <row r="8" spans="1:15" ht="20.100000000000001" customHeight="1">
      <c r="A8" s="92">
        <v>11010003</v>
      </c>
      <c r="B8" s="23" t="s">
        <v>629</v>
      </c>
      <c r="C8" s="90">
        <f>'3'!N9</f>
        <v>0</v>
      </c>
      <c r="D8" s="90">
        <f>'3'!N10+'3'!N11</f>
        <v>0</v>
      </c>
      <c r="E8" s="90">
        <f>'3'!N13</f>
        <v>0</v>
      </c>
      <c r="F8" s="90">
        <f>'3'!N16</f>
        <v>0</v>
      </c>
      <c r="G8" s="23">
        <v>0</v>
      </c>
      <c r="H8" s="23">
        <v>0</v>
      </c>
      <c r="I8" s="23">
        <v>0</v>
      </c>
      <c r="J8" s="90">
        <f>'3'!N28</f>
        <v>0</v>
      </c>
      <c r="K8" s="23">
        <v>0</v>
      </c>
      <c r="L8" s="91">
        <f t="shared" si="0"/>
        <v>0</v>
      </c>
    </row>
    <row r="9" spans="1:15" ht="20.100000000000001" customHeight="1">
      <c r="A9" s="92">
        <v>11010004</v>
      </c>
      <c r="B9" s="23" t="s">
        <v>627</v>
      </c>
      <c r="C9" s="90">
        <f>'4'!N9</f>
        <v>0</v>
      </c>
      <c r="D9" s="90">
        <f>'4'!N10+'4'!N11</f>
        <v>0</v>
      </c>
      <c r="E9" s="90">
        <f>'4'!N13</f>
        <v>0</v>
      </c>
      <c r="F9" s="90">
        <f>'4'!N16</f>
        <v>0</v>
      </c>
      <c r="G9" s="23">
        <v>0</v>
      </c>
      <c r="H9" s="23">
        <v>0</v>
      </c>
      <c r="I9" s="23">
        <v>0</v>
      </c>
      <c r="J9" s="90">
        <f>'4'!N28</f>
        <v>0</v>
      </c>
      <c r="K9" s="23">
        <v>0</v>
      </c>
      <c r="L9" s="91">
        <f t="shared" si="0"/>
        <v>0</v>
      </c>
    </row>
    <row r="10" spans="1:15" ht="20.100000000000001" customHeight="1">
      <c r="A10" s="92">
        <v>11010005</v>
      </c>
      <c r="B10" s="354" t="s">
        <v>473</v>
      </c>
      <c r="C10" s="90">
        <f>'5'!N9</f>
        <v>0</v>
      </c>
      <c r="D10" s="90">
        <f>'5'!N10+'5'!N11</f>
        <v>0</v>
      </c>
      <c r="E10" s="90">
        <f>'5'!N13</f>
        <v>0</v>
      </c>
      <c r="F10" s="90">
        <f>'5'!N16</f>
        <v>0</v>
      </c>
      <c r="G10" s="23">
        <v>0</v>
      </c>
      <c r="H10" s="23">
        <v>0</v>
      </c>
      <c r="I10" s="23">
        <v>0</v>
      </c>
      <c r="J10" s="90">
        <f>'5'!N28</f>
        <v>0</v>
      </c>
      <c r="K10" s="23">
        <v>0</v>
      </c>
      <c r="L10" s="91">
        <f t="shared" si="0"/>
        <v>0</v>
      </c>
    </row>
    <row r="11" spans="1:15" s="413" customFormat="1" ht="20.100000000000001" customHeight="1">
      <c r="A11" s="92">
        <v>11010006</v>
      </c>
      <c r="B11" s="23" t="s">
        <v>651</v>
      </c>
      <c r="C11" s="90">
        <f>'6'!N9</f>
        <v>0</v>
      </c>
      <c r="D11" s="90">
        <f>'6'!N10</f>
        <v>0</v>
      </c>
      <c r="E11" s="90">
        <f>'6'!N13</f>
        <v>0</v>
      </c>
      <c r="F11" s="90">
        <f>'6'!N16</f>
        <v>0</v>
      </c>
      <c r="G11" s="90">
        <f>'6'!N28</f>
        <v>0</v>
      </c>
      <c r="H11" s="23">
        <v>0</v>
      </c>
      <c r="I11" s="23">
        <v>0</v>
      </c>
      <c r="J11" s="90">
        <f>'6'!N31</f>
        <v>0</v>
      </c>
      <c r="K11" s="23">
        <v>0</v>
      </c>
      <c r="L11" s="91">
        <f t="shared" ref="L11" si="1">SUM(C11:K11)</f>
        <v>0</v>
      </c>
    </row>
    <row r="12" spans="1:15" ht="20.100000000000001" customHeight="1">
      <c r="A12" s="92">
        <v>12010001</v>
      </c>
      <c r="B12" s="23" t="s">
        <v>625</v>
      </c>
      <c r="C12" s="90">
        <f>'7'!N9</f>
        <v>0</v>
      </c>
      <c r="D12" s="90">
        <f>'7'!N10+'7'!N11</f>
        <v>0</v>
      </c>
      <c r="E12" s="90">
        <f>'7'!N13</f>
        <v>0</v>
      </c>
      <c r="F12" s="90">
        <f>'7'!N16</f>
        <v>0</v>
      </c>
      <c r="G12" s="23">
        <v>0</v>
      </c>
      <c r="H12" s="23">
        <v>0</v>
      </c>
      <c r="I12" s="23">
        <v>0</v>
      </c>
      <c r="J12" s="90">
        <f>'7'!N28</f>
        <v>0</v>
      </c>
      <c r="K12" s="23">
        <v>0</v>
      </c>
      <c r="L12" s="91">
        <f t="shared" si="0"/>
        <v>0</v>
      </c>
    </row>
    <row r="13" spans="1:15" ht="20.100000000000001" customHeight="1">
      <c r="A13" s="92">
        <v>13010001</v>
      </c>
      <c r="B13" s="23" t="s">
        <v>187</v>
      </c>
      <c r="C13" s="90">
        <f>'8'!N9</f>
        <v>0</v>
      </c>
      <c r="D13" s="90">
        <f>'8'!N10+'8'!N11</f>
        <v>0</v>
      </c>
      <c r="E13" s="90">
        <f>'8'!N13</f>
        <v>0</v>
      </c>
      <c r="F13" s="90">
        <f>'8'!N17</f>
        <v>0</v>
      </c>
      <c r="G13" s="23">
        <v>0</v>
      </c>
      <c r="H13" s="23">
        <v>0</v>
      </c>
      <c r="I13" s="23">
        <v>0</v>
      </c>
      <c r="J13" s="90">
        <f>'8'!N29</f>
        <v>0</v>
      </c>
      <c r="K13" s="23">
        <v>0</v>
      </c>
      <c r="L13" s="91">
        <f t="shared" si="0"/>
        <v>0</v>
      </c>
    </row>
    <row r="14" spans="1:15" ht="20.100000000000001" customHeight="1">
      <c r="A14" s="92">
        <v>14010001</v>
      </c>
      <c r="B14" s="23" t="s">
        <v>631</v>
      </c>
      <c r="C14" s="90">
        <f>'9'!N9</f>
        <v>0</v>
      </c>
      <c r="D14" s="90">
        <f>'9'!N10+'9'!N11</f>
        <v>0</v>
      </c>
      <c r="E14" s="90">
        <f>'9'!N13</f>
        <v>0</v>
      </c>
      <c r="F14" s="90">
        <f>'9'!N16</f>
        <v>0</v>
      </c>
      <c r="G14" s="23">
        <v>0</v>
      </c>
      <c r="H14" s="23">
        <v>0</v>
      </c>
      <c r="I14" s="23">
        <v>0</v>
      </c>
      <c r="J14" s="90">
        <f>'9'!N30</f>
        <v>0</v>
      </c>
      <c r="K14" s="23">
        <v>0</v>
      </c>
      <c r="L14" s="91">
        <f t="shared" si="0"/>
        <v>0</v>
      </c>
    </row>
    <row r="15" spans="1:15" ht="20.100000000000001" customHeight="1">
      <c r="A15" s="92">
        <v>14020003</v>
      </c>
      <c r="B15" s="23" t="s">
        <v>659</v>
      </c>
      <c r="C15" s="90">
        <f>'10'!N9</f>
        <v>0</v>
      </c>
      <c r="D15" s="90">
        <f>'10'!N10+'10'!N11</f>
        <v>0</v>
      </c>
      <c r="E15" s="90">
        <f>'10'!N13</f>
        <v>0</v>
      </c>
      <c r="F15" s="90">
        <f>'10'!N16</f>
        <v>0</v>
      </c>
      <c r="G15" s="23">
        <v>0</v>
      </c>
      <c r="H15" s="23">
        <v>0</v>
      </c>
      <c r="I15" s="23">
        <v>0</v>
      </c>
      <c r="J15" s="90">
        <f>'10'!N29</f>
        <v>0</v>
      </c>
      <c r="K15" s="23">
        <v>0</v>
      </c>
      <c r="L15" s="91">
        <f t="shared" si="0"/>
        <v>0</v>
      </c>
    </row>
    <row r="16" spans="1:15" ht="20.100000000000001" customHeight="1">
      <c r="A16" s="92">
        <v>14050001</v>
      </c>
      <c r="B16" s="23" t="s">
        <v>655</v>
      </c>
      <c r="C16" s="90">
        <f>'11'!N9</f>
        <v>0</v>
      </c>
      <c r="D16" s="90">
        <f>'11'!N10+'11'!N11</f>
        <v>0</v>
      </c>
      <c r="E16" s="90">
        <f>'11'!N13</f>
        <v>0</v>
      </c>
      <c r="F16" s="90">
        <f>'11'!N16</f>
        <v>0</v>
      </c>
      <c r="G16" s="23">
        <v>0</v>
      </c>
      <c r="H16" s="23">
        <v>0</v>
      </c>
      <c r="I16" s="23">
        <v>0</v>
      </c>
      <c r="J16" s="90">
        <f>'11'!N28</f>
        <v>0</v>
      </c>
      <c r="K16" s="23">
        <v>0</v>
      </c>
      <c r="L16" s="91">
        <f t="shared" si="0"/>
        <v>0</v>
      </c>
    </row>
    <row r="17" spans="1:15" ht="20.100000000000001" customHeight="1">
      <c r="A17" s="92">
        <v>14050002</v>
      </c>
      <c r="B17" s="23" t="s">
        <v>656</v>
      </c>
      <c r="C17" s="90">
        <f>'12'!N9</f>
        <v>0</v>
      </c>
      <c r="D17" s="90">
        <f>'12'!N10+'12'!N11</f>
        <v>0</v>
      </c>
      <c r="E17" s="90">
        <f>'12'!N13</f>
        <v>0</v>
      </c>
      <c r="F17" s="90">
        <f>'12'!N16</f>
        <v>0</v>
      </c>
      <c r="G17" s="23">
        <v>0</v>
      </c>
      <c r="H17" s="23">
        <v>0</v>
      </c>
      <c r="I17" s="23">
        <v>0</v>
      </c>
      <c r="J17" s="90">
        <f>'12'!N28</f>
        <v>0</v>
      </c>
      <c r="K17" s="23">
        <v>0</v>
      </c>
      <c r="L17" s="91">
        <f t="shared" si="0"/>
        <v>0</v>
      </c>
    </row>
    <row r="18" spans="1:15" ht="20.100000000000001" customHeight="1">
      <c r="A18" s="92">
        <v>14060001</v>
      </c>
      <c r="B18" s="23" t="s">
        <v>657</v>
      </c>
      <c r="C18" s="90">
        <f>'13'!N9</f>
        <v>0</v>
      </c>
      <c r="D18" s="90">
        <f>'13'!N10+'13'!N11</f>
        <v>0</v>
      </c>
      <c r="E18" s="90">
        <f>'13'!N13</f>
        <v>0</v>
      </c>
      <c r="F18" s="90">
        <f>'13'!N16</f>
        <v>0</v>
      </c>
      <c r="G18" s="23">
        <v>0</v>
      </c>
      <c r="H18" s="23">
        <v>0</v>
      </c>
      <c r="I18" s="23">
        <v>0</v>
      </c>
      <c r="J18" s="90">
        <f>'13'!N28</f>
        <v>0</v>
      </c>
      <c r="K18" s="23">
        <v>0</v>
      </c>
      <c r="L18" s="91">
        <f t="shared" si="0"/>
        <v>0</v>
      </c>
    </row>
    <row r="19" spans="1:15" s="539" customFormat="1" ht="20.100000000000001" customHeight="1">
      <c r="A19" s="92">
        <v>14070001</v>
      </c>
      <c r="B19" s="354" t="s">
        <v>833</v>
      </c>
      <c r="C19" s="90">
        <f>'14'!L9</f>
        <v>0</v>
      </c>
      <c r="D19" s="90">
        <f>'14'!L10</f>
        <v>0</v>
      </c>
      <c r="E19" s="90">
        <f>'14'!L14</f>
        <v>0</v>
      </c>
      <c r="F19" s="90">
        <f>'14'!L16</f>
        <v>0</v>
      </c>
      <c r="G19" s="90">
        <v>0</v>
      </c>
      <c r="H19" s="23">
        <v>0</v>
      </c>
      <c r="I19" s="23">
        <v>0</v>
      </c>
      <c r="J19" s="90">
        <f>'14'!L28</f>
        <v>0</v>
      </c>
      <c r="K19" s="23">
        <v>0</v>
      </c>
      <c r="L19" s="91">
        <f t="shared" ref="L19" si="2">SUM(C19:K19)</f>
        <v>0</v>
      </c>
    </row>
    <row r="20" spans="1:15" ht="20.100000000000001" customHeight="1">
      <c r="A20" s="92">
        <v>15010001</v>
      </c>
      <c r="B20" s="23" t="s">
        <v>632</v>
      </c>
      <c r="C20" s="90">
        <f>'15'!N9</f>
        <v>0</v>
      </c>
      <c r="D20" s="90">
        <f>'15'!N10+'15'!N11</f>
        <v>0</v>
      </c>
      <c r="E20" s="90">
        <f>'15'!N13</f>
        <v>0</v>
      </c>
      <c r="F20" s="90">
        <f>'15'!N16</f>
        <v>0</v>
      </c>
      <c r="G20" s="90">
        <f>'15'!N29</f>
        <v>0</v>
      </c>
      <c r="H20" s="90">
        <f>'15'!N33</f>
        <v>0</v>
      </c>
      <c r="I20" s="23">
        <v>0</v>
      </c>
      <c r="J20" s="90">
        <f>'15'!N37</f>
        <v>0</v>
      </c>
      <c r="K20" s="23">
        <v>0</v>
      </c>
      <c r="L20" s="91">
        <f t="shared" si="0"/>
        <v>0</v>
      </c>
    </row>
    <row r="21" spans="1:15" ht="20.100000000000001" customHeight="1">
      <c r="A21" s="92">
        <v>16010001</v>
      </c>
      <c r="B21" s="23" t="s">
        <v>633</v>
      </c>
      <c r="C21" s="90">
        <f>'16'!N12</f>
        <v>0</v>
      </c>
      <c r="D21" s="90">
        <f>'16'!N13+'16'!N14</f>
        <v>0</v>
      </c>
      <c r="E21" s="90">
        <f>'16'!N16</f>
        <v>0</v>
      </c>
      <c r="F21" s="90">
        <f>'16'!N19</f>
        <v>0</v>
      </c>
      <c r="G21" s="90">
        <f>'16'!N32</f>
        <v>0</v>
      </c>
      <c r="H21" s="23">
        <v>0</v>
      </c>
      <c r="I21" s="90">
        <f>'16'!N37</f>
        <v>0</v>
      </c>
      <c r="J21" s="90">
        <f>'16'!N41</f>
        <v>0</v>
      </c>
      <c r="K21" s="90">
        <f>'16'!N45</f>
        <v>0</v>
      </c>
      <c r="L21" s="91">
        <f t="shared" si="0"/>
        <v>0</v>
      </c>
      <c r="O21" s="57"/>
    </row>
    <row r="22" spans="1:15" ht="20.100000000000001" customHeight="1">
      <c r="A22" s="92">
        <v>17010001</v>
      </c>
      <c r="B22" s="23" t="s">
        <v>634</v>
      </c>
      <c r="C22" s="90">
        <f>'17'!N9</f>
        <v>0</v>
      </c>
      <c r="D22" s="90">
        <f>'17'!N10+'17'!N11</f>
        <v>0</v>
      </c>
      <c r="E22" s="90">
        <f>'17'!N13</f>
        <v>0</v>
      </c>
      <c r="F22" s="90">
        <f>'17'!N16</f>
        <v>0</v>
      </c>
      <c r="G22" s="90">
        <f>'17'!N28</f>
        <v>0</v>
      </c>
      <c r="H22" s="90">
        <v>0</v>
      </c>
      <c r="I22" s="23">
        <v>0</v>
      </c>
      <c r="J22" s="90">
        <f>'17'!N34</f>
        <v>0</v>
      </c>
      <c r="K22" s="23">
        <v>0</v>
      </c>
      <c r="L22" s="91">
        <f t="shared" si="0"/>
        <v>0</v>
      </c>
    </row>
    <row r="23" spans="1:15" ht="20.100000000000001" customHeight="1">
      <c r="A23" s="92">
        <v>18010001</v>
      </c>
      <c r="B23" s="23" t="s">
        <v>635</v>
      </c>
      <c r="C23" s="90">
        <f>'18'!N9</f>
        <v>0</v>
      </c>
      <c r="D23" s="90">
        <f>'18'!N10+'18'!N11</f>
        <v>0</v>
      </c>
      <c r="E23" s="90">
        <f>'18'!N13</f>
        <v>0</v>
      </c>
      <c r="F23" s="90">
        <f>'18'!N16</f>
        <v>0</v>
      </c>
      <c r="G23" s="90">
        <f>'18'!N29</f>
        <v>0</v>
      </c>
      <c r="H23" s="23">
        <v>0</v>
      </c>
      <c r="I23" s="23">
        <v>0</v>
      </c>
      <c r="J23" s="90">
        <f>'18'!N32</f>
        <v>0</v>
      </c>
      <c r="K23" s="23">
        <v>0</v>
      </c>
      <c r="L23" s="91">
        <f t="shared" si="0"/>
        <v>0</v>
      </c>
    </row>
    <row r="24" spans="1:15" ht="20.100000000000001" customHeight="1">
      <c r="A24" s="92">
        <v>19010001</v>
      </c>
      <c r="B24" s="23" t="s">
        <v>636</v>
      </c>
      <c r="C24" s="90">
        <f>'19'!N9</f>
        <v>0</v>
      </c>
      <c r="D24" s="90">
        <f>'19'!N10+'19'!N11</f>
        <v>0</v>
      </c>
      <c r="E24" s="90">
        <f>'19'!N13</f>
        <v>0</v>
      </c>
      <c r="F24" s="90">
        <f>'19'!N16</f>
        <v>0</v>
      </c>
      <c r="G24" s="90">
        <f>'19'!N28</f>
        <v>0</v>
      </c>
      <c r="H24" s="90">
        <f>'19'!N34</f>
        <v>0</v>
      </c>
      <c r="I24" s="23">
        <v>0</v>
      </c>
      <c r="J24" s="90">
        <f>'19'!N38</f>
        <v>0</v>
      </c>
      <c r="K24" s="23">
        <v>0</v>
      </c>
      <c r="L24" s="91">
        <f t="shared" si="0"/>
        <v>0</v>
      </c>
    </row>
    <row r="25" spans="1:15" ht="20.100000000000001" customHeight="1">
      <c r="A25" s="92">
        <v>20010001</v>
      </c>
      <c r="B25" s="23" t="s">
        <v>637</v>
      </c>
      <c r="C25" s="90">
        <f>'20'!N9</f>
        <v>0</v>
      </c>
      <c r="D25" s="90">
        <f>'20'!N10+'20'!N11</f>
        <v>0</v>
      </c>
      <c r="E25" s="90">
        <f>'20'!N13</f>
        <v>0</v>
      </c>
      <c r="F25" s="90">
        <f>'20'!N16</f>
        <v>0</v>
      </c>
      <c r="G25" s="90">
        <f>'20'!N31</f>
        <v>0</v>
      </c>
      <c r="H25" s="90">
        <v>0</v>
      </c>
      <c r="I25" s="90">
        <v>0</v>
      </c>
      <c r="J25" s="90">
        <f>'20'!N41</f>
        <v>0</v>
      </c>
      <c r="K25" s="90">
        <v>0</v>
      </c>
      <c r="L25" s="91">
        <f t="shared" si="0"/>
        <v>0</v>
      </c>
    </row>
    <row r="26" spans="1:15" ht="20.100000000000001" customHeight="1">
      <c r="A26" s="92">
        <v>20020002</v>
      </c>
      <c r="B26" s="23" t="s">
        <v>685</v>
      </c>
      <c r="C26" s="90">
        <f>'21'!N9</f>
        <v>0</v>
      </c>
      <c r="D26" s="90">
        <f>'21'!N10+'21'!N11</f>
        <v>0</v>
      </c>
      <c r="E26" s="90">
        <f>'21'!N13</f>
        <v>0</v>
      </c>
      <c r="F26" s="90">
        <f>'21'!N16</f>
        <v>0</v>
      </c>
      <c r="G26" s="23">
        <v>0</v>
      </c>
      <c r="H26" s="23">
        <v>0</v>
      </c>
      <c r="I26" s="23">
        <v>0</v>
      </c>
      <c r="J26" s="90">
        <f>'21'!N28</f>
        <v>0</v>
      </c>
      <c r="K26" s="23">
        <v>0</v>
      </c>
      <c r="L26" s="91">
        <f t="shared" si="0"/>
        <v>0</v>
      </c>
    </row>
    <row r="27" spans="1:15" ht="20.100000000000001" customHeight="1">
      <c r="A27" s="92">
        <v>20020003</v>
      </c>
      <c r="B27" s="23" t="s">
        <v>686</v>
      </c>
      <c r="C27" s="90">
        <f>'22'!N9</f>
        <v>0</v>
      </c>
      <c r="D27" s="90">
        <f>'22'!N10+'22'!N11</f>
        <v>0</v>
      </c>
      <c r="E27" s="90">
        <f>'22'!N13</f>
        <v>0</v>
      </c>
      <c r="F27" s="90">
        <f>'22'!N16</f>
        <v>0</v>
      </c>
      <c r="G27" s="23">
        <v>0</v>
      </c>
      <c r="H27" s="23">
        <v>0</v>
      </c>
      <c r="I27" s="23">
        <v>0</v>
      </c>
      <c r="J27" s="90">
        <f>'22'!N28</f>
        <v>0</v>
      </c>
      <c r="K27" s="23">
        <v>0</v>
      </c>
      <c r="L27" s="91">
        <f t="shared" si="0"/>
        <v>0</v>
      </c>
    </row>
    <row r="28" spans="1:15" ht="20.100000000000001" customHeight="1">
      <c r="A28" s="92">
        <v>20020004</v>
      </c>
      <c r="B28" s="23" t="s">
        <v>687</v>
      </c>
      <c r="C28" s="90">
        <f>'23'!N9</f>
        <v>0</v>
      </c>
      <c r="D28" s="90">
        <f>'23'!N10+'23'!N11</f>
        <v>0</v>
      </c>
      <c r="E28" s="90">
        <f>'23'!N13</f>
        <v>0</v>
      </c>
      <c r="F28" s="90">
        <f>'23'!N16</f>
        <v>0</v>
      </c>
      <c r="G28" s="23">
        <v>0</v>
      </c>
      <c r="H28" s="23">
        <v>0</v>
      </c>
      <c r="I28" s="23">
        <v>0</v>
      </c>
      <c r="J28" s="90">
        <f>'23'!N28</f>
        <v>0</v>
      </c>
      <c r="K28" s="23">
        <v>0</v>
      </c>
      <c r="L28" s="91">
        <f t="shared" si="0"/>
        <v>0</v>
      </c>
    </row>
    <row r="29" spans="1:15" ht="20.100000000000001" customHeight="1">
      <c r="A29" s="92">
        <v>20030001</v>
      </c>
      <c r="B29" s="354" t="s">
        <v>665</v>
      </c>
      <c r="C29" s="90">
        <f>'24'!N9</f>
        <v>0</v>
      </c>
      <c r="D29" s="90">
        <f>'24'!N10+'24'!N11</f>
        <v>0</v>
      </c>
      <c r="E29" s="90">
        <f>'24'!N13</f>
        <v>0</v>
      </c>
      <c r="F29" s="90">
        <f>'24'!N16</f>
        <v>0</v>
      </c>
      <c r="G29" s="23">
        <v>0</v>
      </c>
      <c r="H29" s="23">
        <v>0</v>
      </c>
      <c r="I29" s="23">
        <v>0</v>
      </c>
      <c r="J29" s="90">
        <f>'24'!N28</f>
        <v>0</v>
      </c>
      <c r="K29" s="23">
        <v>0</v>
      </c>
      <c r="L29" s="91">
        <f t="shared" si="0"/>
        <v>0</v>
      </c>
    </row>
    <row r="30" spans="1:15" ht="20.100000000000001" customHeight="1">
      <c r="A30" s="92">
        <v>20030002</v>
      </c>
      <c r="B30" s="23" t="s">
        <v>688</v>
      </c>
      <c r="C30" s="90">
        <f>'25'!N9</f>
        <v>0</v>
      </c>
      <c r="D30" s="90">
        <f>'25'!N10+'25'!N11</f>
        <v>0</v>
      </c>
      <c r="E30" s="90">
        <f>'25'!N13</f>
        <v>0</v>
      </c>
      <c r="F30" s="90">
        <f>'25'!N16</f>
        <v>0</v>
      </c>
      <c r="G30" s="23">
        <v>0</v>
      </c>
      <c r="H30" s="23">
        <v>0</v>
      </c>
      <c r="I30" s="23">
        <v>0</v>
      </c>
      <c r="J30" s="90">
        <f>'25'!N28</f>
        <v>0</v>
      </c>
      <c r="K30" s="23">
        <v>0</v>
      </c>
      <c r="L30" s="91">
        <f t="shared" si="0"/>
        <v>0</v>
      </c>
    </row>
    <row r="31" spans="1:15" ht="20.100000000000001" customHeight="1">
      <c r="A31" s="92">
        <v>20030003</v>
      </c>
      <c r="B31" s="23" t="s">
        <v>689</v>
      </c>
      <c r="C31" s="90">
        <f>'26'!N9</f>
        <v>0</v>
      </c>
      <c r="D31" s="90">
        <f>'26'!N10+'26'!N11</f>
        <v>0</v>
      </c>
      <c r="E31" s="90">
        <f>'26'!N13</f>
        <v>0</v>
      </c>
      <c r="F31" s="90">
        <f>'26'!N16</f>
        <v>0</v>
      </c>
      <c r="G31" s="23">
        <v>0</v>
      </c>
      <c r="H31" s="23">
        <v>0</v>
      </c>
      <c r="I31" s="23">
        <v>0</v>
      </c>
      <c r="J31" s="90">
        <f>'26'!N28</f>
        <v>0</v>
      </c>
      <c r="K31" s="23">
        <v>0</v>
      </c>
      <c r="L31" s="91">
        <f t="shared" si="0"/>
        <v>0</v>
      </c>
    </row>
    <row r="32" spans="1:15" ht="20.100000000000001" customHeight="1">
      <c r="A32" s="92">
        <v>20030004</v>
      </c>
      <c r="B32" s="23" t="s">
        <v>690</v>
      </c>
      <c r="C32" s="90">
        <f>'27'!N9</f>
        <v>0</v>
      </c>
      <c r="D32" s="90">
        <f>'27'!N10+'27'!N11</f>
        <v>0</v>
      </c>
      <c r="E32" s="90">
        <f>'27'!N13</f>
        <v>0</v>
      </c>
      <c r="F32" s="90">
        <f>'27'!N16</f>
        <v>0</v>
      </c>
      <c r="G32" s="23">
        <v>0</v>
      </c>
      <c r="H32" s="23">
        <v>0</v>
      </c>
      <c r="I32" s="23">
        <v>0</v>
      </c>
      <c r="J32" s="90">
        <f>'27'!N28</f>
        <v>0</v>
      </c>
      <c r="K32" s="23">
        <v>0</v>
      </c>
      <c r="L32" s="91">
        <f t="shared" si="0"/>
        <v>0</v>
      </c>
    </row>
    <row r="33" spans="1:12" ht="20.100000000000001" customHeight="1">
      <c r="A33" s="92">
        <v>20030005</v>
      </c>
      <c r="B33" s="354" t="s">
        <v>691</v>
      </c>
      <c r="C33" s="90">
        <f>'28'!N9</f>
        <v>0</v>
      </c>
      <c r="D33" s="90">
        <f>'28'!N10+'28'!N11</f>
        <v>0</v>
      </c>
      <c r="E33" s="90">
        <f>'28'!N13</f>
        <v>0</v>
      </c>
      <c r="F33" s="90">
        <f>'28'!N16</f>
        <v>0</v>
      </c>
      <c r="G33" s="23">
        <v>0</v>
      </c>
      <c r="H33" s="23">
        <v>0</v>
      </c>
      <c r="I33" s="23">
        <v>0</v>
      </c>
      <c r="J33" s="90">
        <f>'28'!N28</f>
        <v>0</v>
      </c>
      <c r="K33" s="23">
        <v>0</v>
      </c>
      <c r="L33" s="91">
        <f t="shared" si="0"/>
        <v>0</v>
      </c>
    </row>
    <row r="34" spans="1:12" ht="20.100000000000001" customHeight="1">
      <c r="A34" s="92">
        <v>20030006</v>
      </c>
      <c r="B34" s="23" t="s">
        <v>692</v>
      </c>
      <c r="C34" s="90">
        <f>'29'!N9</f>
        <v>0</v>
      </c>
      <c r="D34" s="90">
        <f>'29'!N10+'29'!N11</f>
        <v>0</v>
      </c>
      <c r="E34" s="90">
        <f>'29'!N13</f>
        <v>0</v>
      </c>
      <c r="F34" s="90">
        <f>'29'!N16</f>
        <v>0</v>
      </c>
      <c r="G34" s="23">
        <v>0</v>
      </c>
      <c r="H34" s="23">
        <v>0</v>
      </c>
      <c r="I34" s="23">
        <v>0</v>
      </c>
      <c r="J34" s="90">
        <f>'29'!N28</f>
        <v>0</v>
      </c>
      <c r="K34" s="23">
        <v>0</v>
      </c>
      <c r="L34" s="91">
        <f t="shared" si="0"/>
        <v>0</v>
      </c>
    </row>
    <row r="35" spans="1:12" ht="20.100000000000001" customHeight="1">
      <c r="A35" s="92">
        <v>20030007</v>
      </c>
      <c r="B35" s="23" t="s">
        <v>693</v>
      </c>
      <c r="C35" s="90">
        <f>'30'!N9</f>
        <v>0</v>
      </c>
      <c r="D35" s="90">
        <f>'30'!N10+'30'!N11</f>
        <v>0</v>
      </c>
      <c r="E35" s="90">
        <f>'30'!N13</f>
        <v>0</v>
      </c>
      <c r="F35" s="90">
        <f>'30'!N16</f>
        <v>0</v>
      </c>
      <c r="G35" s="23">
        <v>0</v>
      </c>
      <c r="H35" s="23">
        <v>0</v>
      </c>
      <c r="I35" s="23">
        <v>0</v>
      </c>
      <c r="J35" s="90">
        <f>'30'!N28</f>
        <v>0</v>
      </c>
      <c r="K35" s="23">
        <v>0</v>
      </c>
      <c r="L35" s="91">
        <f t="shared" si="0"/>
        <v>0</v>
      </c>
    </row>
    <row r="36" spans="1:12" ht="20.100000000000001" customHeight="1">
      <c r="A36" s="92">
        <v>21010001</v>
      </c>
      <c r="B36" s="23" t="s">
        <v>638</v>
      </c>
      <c r="C36" s="90">
        <f>'31'!N9</f>
        <v>0</v>
      </c>
      <c r="D36" s="90">
        <f>'31'!N10+'31'!N11</f>
        <v>0</v>
      </c>
      <c r="E36" s="90">
        <f>'31'!N13</f>
        <v>0</v>
      </c>
      <c r="F36" s="90">
        <f>'31'!N16</f>
        <v>0</v>
      </c>
      <c r="G36" s="90">
        <f>'31'!N28</f>
        <v>0</v>
      </c>
      <c r="H36" s="23">
        <v>0</v>
      </c>
      <c r="I36" s="23">
        <v>0</v>
      </c>
      <c r="J36" s="90">
        <f>'31'!N31</f>
        <v>0</v>
      </c>
      <c r="K36" s="23">
        <v>0</v>
      </c>
      <c r="L36" s="91">
        <f t="shared" si="0"/>
        <v>0</v>
      </c>
    </row>
    <row r="37" spans="1:12" ht="20.100000000000001" customHeight="1">
      <c r="A37" s="92">
        <v>22010001</v>
      </c>
      <c r="B37" s="23" t="s">
        <v>652</v>
      </c>
      <c r="C37" s="90">
        <f>'32'!N9</f>
        <v>0</v>
      </c>
      <c r="D37" s="90">
        <f>'32'!N10+'32'!N11</f>
        <v>0</v>
      </c>
      <c r="E37" s="90">
        <f>'32'!N13</f>
        <v>0</v>
      </c>
      <c r="F37" s="90">
        <f>'32'!N16</f>
        <v>0</v>
      </c>
      <c r="G37" s="23">
        <v>0</v>
      </c>
      <c r="H37" s="23">
        <v>0</v>
      </c>
      <c r="I37" s="23">
        <v>0</v>
      </c>
      <c r="J37" s="90">
        <f>'32'!N28</f>
        <v>0</v>
      </c>
      <c r="K37" s="23">
        <v>0</v>
      </c>
      <c r="L37" s="91">
        <f t="shared" si="0"/>
        <v>0</v>
      </c>
    </row>
    <row r="38" spans="1:12" ht="20.100000000000001" customHeight="1">
      <c r="A38" s="92">
        <v>23010001</v>
      </c>
      <c r="B38" s="23" t="s">
        <v>650</v>
      </c>
      <c r="C38" s="90">
        <f>'33'!N9</f>
        <v>0</v>
      </c>
      <c r="D38" s="90">
        <f>'33'!N10+'33'!N11</f>
        <v>0</v>
      </c>
      <c r="E38" s="90">
        <f>'33'!N13</f>
        <v>0</v>
      </c>
      <c r="F38" s="90">
        <f>'33'!N16</f>
        <v>0</v>
      </c>
      <c r="G38" s="90">
        <f>'33'!N28</f>
        <v>0</v>
      </c>
      <c r="H38" s="23">
        <v>0</v>
      </c>
      <c r="I38" s="23">
        <v>0</v>
      </c>
      <c r="J38" s="90">
        <f>'33'!N32</f>
        <v>0</v>
      </c>
      <c r="K38" s="23">
        <v>0</v>
      </c>
      <c r="L38" s="91">
        <f t="shared" si="0"/>
        <v>0</v>
      </c>
    </row>
    <row r="39" spans="1:12" ht="20.100000000000001" customHeight="1">
      <c r="A39" s="92">
        <v>24010001</v>
      </c>
      <c r="B39" s="23" t="s">
        <v>189</v>
      </c>
      <c r="C39" s="90">
        <f>'34'!N9</f>
        <v>0</v>
      </c>
      <c r="D39" s="90">
        <f>'34'!N10+'34'!N11</f>
        <v>0</v>
      </c>
      <c r="E39" s="90">
        <f>'34'!N13</f>
        <v>0</v>
      </c>
      <c r="F39" s="90">
        <f>'34'!N16</f>
        <v>0</v>
      </c>
      <c r="G39" s="23">
        <v>0</v>
      </c>
      <c r="H39" s="23">
        <v>0</v>
      </c>
      <c r="I39" s="23">
        <v>0</v>
      </c>
      <c r="J39" s="90">
        <f>'34'!N28</f>
        <v>0</v>
      </c>
      <c r="K39" s="23">
        <v>0</v>
      </c>
      <c r="L39" s="91">
        <f t="shared" si="0"/>
        <v>0</v>
      </c>
    </row>
    <row r="40" spans="1:12" ht="20.100000000000001" customHeight="1">
      <c r="A40" s="92">
        <v>26010001</v>
      </c>
      <c r="B40" s="23" t="s">
        <v>190</v>
      </c>
      <c r="C40" s="90">
        <f>'35'!N9</f>
        <v>0</v>
      </c>
      <c r="D40" s="90">
        <f>'35'!N10+'35'!N11</f>
        <v>0</v>
      </c>
      <c r="E40" s="90">
        <f>'35'!N13</f>
        <v>0</v>
      </c>
      <c r="F40" s="90">
        <f>'35'!N16</f>
        <v>0</v>
      </c>
      <c r="G40" s="90">
        <v>0</v>
      </c>
      <c r="H40" s="23">
        <v>0</v>
      </c>
      <c r="I40" s="23">
        <v>0</v>
      </c>
      <c r="J40" s="90">
        <f>'35'!N28</f>
        <v>0</v>
      </c>
      <c r="K40" s="23">
        <v>0</v>
      </c>
      <c r="L40" s="91">
        <f t="shared" si="0"/>
        <v>0</v>
      </c>
    </row>
    <row r="41" spans="1:12" ht="20.100000000000001" customHeight="1">
      <c r="A41" s="92">
        <v>27010001</v>
      </c>
      <c r="B41" s="23" t="s">
        <v>658</v>
      </c>
      <c r="C41" s="90">
        <f>'36'!N9</f>
        <v>0</v>
      </c>
      <c r="D41" s="90">
        <f>'36'!N10+'36'!N11</f>
        <v>0</v>
      </c>
      <c r="E41" s="90">
        <f>'36'!N13</f>
        <v>0</v>
      </c>
      <c r="F41" s="90">
        <f>'36'!N16</f>
        <v>0</v>
      </c>
      <c r="G41" s="23">
        <v>0</v>
      </c>
      <c r="H41" s="23">
        <v>0</v>
      </c>
      <c r="I41" s="23">
        <v>0</v>
      </c>
      <c r="J41" s="90">
        <f>'36'!N28</f>
        <v>0</v>
      </c>
      <c r="K41" s="23">
        <v>0</v>
      </c>
      <c r="L41" s="91">
        <f t="shared" si="0"/>
        <v>0</v>
      </c>
    </row>
    <row r="42" spans="1:12" ht="20.100000000000001" customHeight="1">
      <c r="A42" s="92">
        <v>28010001</v>
      </c>
      <c r="B42" s="23" t="s">
        <v>191</v>
      </c>
      <c r="C42" s="90">
        <f>'37'!N9</f>
        <v>0</v>
      </c>
      <c r="D42" s="90">
        <f>'37'!N10+'37'!N11</f>
        <v>0</v>
      </c>
      <c r="E42" s="90">
        <f>'37'!N13</f>
        <v>0</v>
      </c>
      <c r="F42" s="90">
        <f>'37'!N16</f>
        <v>0</v>
      </c>
      <c r="G42" s="90">
        <v>0</v>
      </c>
      <c r="H42" s="23">
        <v>0</v>
      </c>
      <c r="I42" s="23">
        <v>0</v>
      </c>
      <c r="J42" s="90">
        <f>'37'!N28</f>
        <v>0</v>
      </c>
      <c r="K42" s="23">
        <v>0</v>
      </c>
      <c r="L42" s="91">
        <f t="shared" si="0"/>
        <v>0</v>
      </c>
    </row>
    <row r="43" spans="1:12" s="41" customFormat="1" ht="20.100000000000001" customHeight="1">
      <c r="A43" s="62"/>
      <c r="B43" s="96" t="s">
        <v>325</v>
      </c>
      <c r="C43" s="97">
        <f>SUM(C5:C42)</f>
        <v>0</v>
      </c>
      <c r="D43" s="97">
        <f t="shared" ref="D43:K43" si="3">SUM(D5:D42)</f>
        <v>0</v>
      </c>
      <c r="E43" s="97">
        <f t="shared" si="3"/>
        <v>0</v>
      </c>
      <c r="F43" s="97">
        <f t="shared" si="3"/>
        <v>0</v>
      </c>
      <c r="G43" s="97">
        <f t="shared" si="3"/>
        <v>0</v>
      </c>
      <c r="H43" s="97">
        <f t="shared" si="3"/>
        <v>0</v>
      </c>
      <c r="I43" s="97">
        <f t="shared" si="3"/>
        <v>0</v>
      </c>
      <c r="J43" s="97">
        <f t="shared" si="3"/>
        <v>0</v>
      </c>
      <c r="K43" s="97">
        <f t="shared" si="3"/>
        <v>0</v>
      </c>
      <c r="L43" s="97">
        <f>SUM(L5:L42)</f>
        <v>0</v>
      </c>
    </row>
    <row r="44" spans="1:12" ht="20.100000000000001" customHeight="1">
      <c r="B44" t="s">
        <v>326</v>
      </c>
      <c r="L44" s="75">
        <f>Rashodi!K9</f>
        <v>0</v>
      </c>
    </row>
    <row r="45" spans="1:12" ht="20.100000000000001" customHeight="1">
      <c r="B45" t="s">
        <v>346</v>
      </c>
      <c r="L45" s="75">
        <f>Uvod!G44</f>
        <v>9241176</v>
      </c>
    </row>
    <row r="46" spans="1:12" ht="20.100000000000001" customHeight="1">
      <c r="A46" s="93"/>
      <c r="B46" s="95" t="s">
        <v>325</v>
      </c>
      <c r="C46" s="94"/>
      <c r="D46" s="94"/>
      <c r="E46" s="94"/>
      <c r="F46" s="94"/>
      <c r="G46" s="94"/>
      <c r="H46" s="94"/>
      <c r="I46" s="94"/>
      <c r="J46" s="94"/>
      <c r="K46" s="94"/>
      <c r="L46" s="100">
        <f>L43+L44+L45</f>
        <v>9241176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J119"/>
  <sheetViews>
    <sheetView topLeftCell="A61" zoomScaleNormal="100" zoomScaleSheetLayoutView="100" workbookViewId="0">
      <selection activeCell="N21" sqref="N21"/>
    </sheetView>
  </sheetViews>
  <sheetFormatPr defaultRowHeight="12.75"/>
  <cols>
    <col min="1" max="1" width="6.140625" style="276" customWidth="1"/>
    <col min="2" max="2" width="6.85546875" customWidth="1"/>
    <col min="3" max="3" width="11.5703125" customWidth="1"/>
    <col min="4" max="4" width="72.7109375" customWidth="1"/>
    <col min="5" max="5" width="20.140625" customWidth="1"/>
    <col min="6" max="6" width="17.7109375" customWidth="1"/>
    <col min="7" max="7" width="8.85546875" customWidth="1"/>
    <col min="9" max="10" width="10.140625" bestFit="1" customWidth="1"/>
  </cols>
  <sheetData>
    <row r="2" spans="2:10" ht="15">
      <c r="B2" s="1001" t="s">
        <v>930</v>
      </c>
      <c r="C2" s="906"/>
      <c r="D2" s="906"/>
      <c r="E2" s="906"/>
      <c r="F2" s="906"/>
      <c r="G2" s="906"/>
    </row>
    <row r="3" spans="2:10" ht="15">
      <c r="B3" s="103"/>
      <c r="C3" s="105"/>
      <c r="D3" s="104"/>
      <c r="E3" s="104"/>
      <c r="F3" s="104"/>
    </row>
    <row r="4" spans="2:10">
      <c r="B4" s="106"/>
      <c r="C4" s="106"/>
      <c r="D4" s="107"/>
      <c r="E4" s="108"/>
      <c r="F4" s="108"/>
    </row>
    <row r="5" spans="2:10" ht="66" customHeight="1">
      <c r="B5" s="109" t="s">
        <v>193</v>
      </c>
      <c r="C5" s="110" t="s">
        <v>348</v>
      </c>
      <c r="D5" s="110" t="s">
        <v>349</v>
      </c>
      <c r="E5" s="109" t="s">
        <v>856</v>
      </c>
      <c r="F5" s="111" t="s">
        <v>877</v>
      </c>
      <c r="G5" s="111" t="s">
        <v>857</v>
      </c>
    </row>
    <row r="6" spans="2:10">
      <c r="B6" s="112"/>
      <c r="C6" s="113">
        <v>1</v>
      </c>
      <c r="D6" s="113">
        <v>2</v>
      </c>
      <c r="E6" s="114">
        <v>3</v>
      </c>
      <c r="F6" s="114">
        <v>4</v>
      </c>
      <c r="G6" s="150" t="s">
        <v>858</v>
      </c>
    </row>
    <row r="7" spans="2:10">
      <c r="B7" s="343">
        <v>1</v>
      </c>
      <c r="C7" s="344"/>
      <c r="D7" s="344" t="s">
        <v>54</v>
      </c>
      <c r="E7" s="345">
        <f>E8+E17+E23+E30+E40+E47+E54+E61+E68+E77</f>
        <v>57141385</v>
      </c>
      <c r="F7" s="345">
        <f>F8+F17+F23+F30+F40+F47+F54+F61+F68+F77</f>
        <v>20000</v>
      </c>
      <c r="G7" s="346">
        <f>IF(E7=0,"",F7/E7*100)</f>
        <v>3.5000901710730323E-2</v>
      </c>
      <c r="I7" s="57"/>
      <c r="J7" s="57"/>
    </row>
    <row r="8" spans="2:10">
      <c r="B8" s="343">
        <v>2</v>
      </c>
      <c r="C8" s="347" t="s">
        <v>79</v>
      </c>
      <c r="D8" s="348" t="s">
        <v>57</v>
      </c>
      <c r="E8" s="345">
        <f>SUM(E9:E16)</f>
        <v>7294850</v>
      </c>
      <c r="F8" s="345">
        <f>SUM(F9:F16)</f>
        <v>0</v>
      </c>
      <c r="G8" s="349">
        <f>IF(E8=0,"",F8/E8*100)</f>
        <v>0</v>
      </c>
      <c r="I8" s="57"/>
    </row>
    <row r="9" spans="2:10" ht="14.1" customHeight="1">
      <c r="B9" s="112">
        <v>3</v>
      </c>
      <c r="C9" s="115" t="s">
        <v>350</v>
      </c>
      <c r="D9" s="116" t="s">
        <v>58</v>
      </c>
      <c r="E9" s="89">
        <f>'1'!J34+'2'!J52-'2'!J8+'3'!J33+'4'!J33+'5'!J33+'6'!J36+'16'!J50-'16'!J8</f>
        <v>6362520</v>
      </c>
      <c r="F9" s="89">
        <f>'1'!N34+'2'!N52-'2'!N8+'4 (S)'!N36+'3'!N33+'4'!N33+'5'!N33+'6'!N36+'16'!N50-'16'!N8</f>
        <v>0</v>
      </c>
      <c r="G9" s="117">
        <f>IF(E9=0,"",F9/E9*100)</f>
        <v>0</v>
      </c>
      <c r="J9" s="57"/>
    </row>
    <row r="10" spans="2:10" ht="14.1" customHeight="1">
      <c r="B10" s="112">
        <v>4</v>
      </c>
      <c r="C10" s="115" t="s">
        <v>351</v>
      </c>
      <c r="D10" s="116" t="s">
        <v>352</v>
      </c>
      <c r="E10" s="89">
        <v>0</v>
      </c>
      <c r="F10" s="89">
        <v>0</v>
      </c>
      <c r="G10" s="117" t="str">
        <f t="shared" ref="G10:G73" si="0">IF(E10=0,"",F10/E10*100)</f>
        <v/>
      </c>
      <c r="I10" s="57"/>
    </row>
    <row r="11" spans="2:10" ht="14.1" customHeight="1">
      <c r="B11" s="112">
        <v>5</v>
      </c>
      <c r="C11" s="115" t="s">
        <v>353</v>
      </c>
      <c r="D11" s="116" t="s">
        <v>354</v>
      </c>
      <c r="E11" s="89">
        <f>'7'!J33+'14'!J33</f>
        <v>932330</v>
      </c>
      <c r="F11" s="89">
        <f>'7'!N33+'14'!N33</f>
        <v>0</v>
      </c>
      <c r="G11" s="117">
        <f t="shared" si="0"/>
        <v>0</v>
      </c>
    </row>
    <row r="12" spans="2:10" ht="14.1" customHeight="1">
      <c r="B12" s="112">
        <v>6</v>
      </c>
      <c r="C12" s="115" t="s">
        <v>355</v>
      </c>
      <c r="D12" s="116" t="s">
        <v>356</v>
      </c>
      <c r="E12" s="89">
        <v>0</v>
      </c>
      <c r="F12" s="89">
        <v>0</v>
      </c>
      <c r="G12" s="117" t="str">
        <f t="shared" si="0"/>
        <v/>
      </c>
    </row>
    <row r="13" spans="2:10" ht="14.1" customHeight="1">
      <c r="B13" s="112">
        <v>7</v>
      </c>
      <c r="C13" s="115" t="s">
        <v>357</v>
      </c>
      <c r="D13" s="116" t="s">
        <v>358</v>
      </c>
      <c r="E13" s="89">
        <v>0</v>
      </c>
      <c r="F13" s="89">
        <v>0</v>
      </c>
      <c r="G13" s="117" t="str">
        <f t="shared" si="0"/>
        <v/>
      </c>
    </row>
    <row r="14" spans="2:10" ht="14.1" customHeight="1">
      <c r="B14" s="112">
        <v>8</v>
      </c>
      <c r="C14" s="115" t="s">
        <v>359</v>
      </c>
      <c r="D14" s="116" t="s">
        <v>360</v>
      </c>
      <c r="E14" s="89">
        <v>0</v>
      </c>
      <c r="F14" s="89">
        <v>0</v>
      </c>
      <c r="G14" s="117" t="str">
        <f t="shared" si="0"/>
        <v/>
      </c>
    </row>
    <row r="15" spans="2:10" ht="14.1" customHeight="1">
      <c r="B15" s="112">
        <v>9</v>
      </c>
      <c r="C15" s="115" t="s">
        <v>361</v>
      </c>
      <c r="D15" s="116" t="s">
        <v>362</v>
      </c>
      <c r="E15" s="89">
        <v>0</v>
      </c>
      <c r="F15" s="89">
        <v>0</v>
      </c>
      <c r="G15" s="117" t="str">
        <f t="shared" si="0"/>
        <v/>
      </c>
    </row>
    <row r="16" spans="2:10" ht="14.1" customHeight="1">
      <c r="B16" s="112">
        <v>10</v>
      </c>
      <c r="C16" s="115" t="s">
        <v>363</v>
      </c>
      <c r="D16" s="116" t="s">
        <v>59</v>
      </c>
      <c r="E16" s="89">
        <v>0</v>
      </c>
      <c r="F16" s="89">
        <v>0</v>
      </c>
      <c r="G16" s="117" t="str">
        <f t="shared" si="0"/>
        <v/>
      </c>
    </row>
    <row r="17" spans="2:7" ht="14.1" customHeight="1">
      <c r="B17" s="343">
        <v>11</v>
      </c>
      <c r="C17" s="347" t="s">
        <v>119</v>
      </c>
      <c r="D17" s="348" t="s">
        <v>60</v>
      </c>
      <c r="E17" s="345">
        <f>SUM(E18:E22)</f>
        <v>0</v>
      </c>
      <c r="F17" s="345">
        <f>SUM(F18:F22)</f>
        <v>0</v>
      </c>
      <c r="G17" s="349" t="str">
        <f t="shared" si="0"/>
        <v/>
      </c>
    </row>
    <row r="18" spans="2:7" ht="14.1" customHeight="1">
      <c r="B18" s="112">
        <v>12</v>
      </c>
      <c r="C18" s="115" t="s">
        <v>364</v>
      </c>
      <c r="D18" s="116" t="s">
        <v>61</v>
      </c>
      <c r="E18" s="89">
        <v>0</v>
      </c>
      <c r="F18" s="89">
        <v>0</v>
      </c>
      <c r="G18" s="117" t="str">
        <f t="shared" si="0"/>
        <v/>
      </c>
    </row>
    <row r="19" spans="2:7" ht="14.1" customHeight="1">
      <c r="B19" s="112">
        <v>13</v>
      </c>
      <c r="C19" s="115" t="s">
        <v>365</v>
      </c>
      <c r="D19" s="116" t="s">
        <v>62</v>
      </c>
      <c r="E19" s="89">
        <v>0</v>
      </c>
      <c r="F19" s="89">
        <v>0</v>
      </c>
      <c r="G19" s="117" t="str">
        <f t="shared" si="0"/>
        <v/>
      </c>
    </row>
    <row r="20" spans="2:7" ht="14.1" customHeight="1">
      <c r="B20" s="112">
        <v>14</v>
      </c>
      <c r="C20" s="115" t="s">
        <v>366</v>
      </c>
      <c r="D20" s="116" t="s">
        <v>63</v>
      </c>
      <c r="E20" s="89">
        <v>0</v>
      </c>
      <c r="F20" s="89">
        <v>0</v>
      </c>
      <c r="G20" s="117" t="str">
        <f t="shared" si="0"/>
        <v/>
      </c>
    </row>
    <row r="21" spans="2:7" ht="14.1" customHeight="1">
      <c r="B21" s="112">
        <v>15</v>
      </c>
      <c r="C21" s="115" t="s">
        <v>367</v>
      </c>
      <c r="D21" s="116" t="s">
        <v>64</v>
      </c>
      <c r="E21" s="89">
        <v>0</v>
      </c>
      <c r="F21" s="89">
        <v>0</v>
      </c>
      <c r="G21" s="117" t="str">
        <f t="shared" si="0"/>
        <v/>
      </c>
    </row>
    <row r="22" spans="2:7" ht="14.1" customHeight="1">
      <c r="B22" s="112">
        <v>16</v>
      </c>
      <c r="C22" s="115" t="s">
        <v>368</v>
      </c>
      <c r="D22" s="116" t="s">
        <v>65</v>
      </c>
      <c r="E22" s="89">
        <v>0</v>
      </c>
      <c r="F22" s="89">
        <v>0</v>
      </c>
      <c r="G22" s="117" t="str">
        <f t="shared" si="0"/>
        <v/>
      </c>
    </row>
    <row r="23" spans="2:7" ht="14.1" customHeight="1">
      <c r="B23" s="343">
        <v>17</v>
      </c>
      <c r="C23" s="347" t="s">
        <v>127</v>
      </c>
      <c r="D23" s="348" t="s">
        <v>474</v>
      </c>
      <c r="E23" s="345">
        <f>SUM(E24:E29)</f>
        <v>13533481</v>
      </c>
      <c r="F23" s="345">
        <f>SUM(F24:F29)</f>
        <v>0</v>
      </c>
      <c r="G23" s="349">
        <f t="shared" si="0"/>
        <v>0</v>
      </c>
    </row>
    <row r="24" spans="2:7" ht="14.1" customHeight="1">
      <c r="B24" s="112">
        <v>18</v>
      </c>
      <c r="C24" s="115" t="s">
        <v>369</v>
      </c>
      <c r="D24" s="116" t="s">
        <v>370</v>
      </c>
      <c r="E24" s="89">
        <f>'8'!J34</f>
        <v>8753970</v>
      </c>
      <c r="F24" s="89">
        <f>'8'!N34</f>
        <v>0</v>
      </c>
      <c r="G24" s="117">
        <f t="shared" si="0"/>
        <v>0</v>
      </c>
    </row>
    <row r="25" spans="2:7" ht="14.1" customHeight="1">
      <c r="B25" s="112">
        <v>19</v>
      </c>
      <c r="C25" s="115" t="s">
        <v>371</v>
      </c>
      <c r="D25" s="116" t="s">
        <v>475</v>
      </c>
      <c r="E25" s="89">
        <f>'33'!J38</f>
        <v>949120</v>
      </c>
      <c r="F25" s="89">
        <f>'33'!N38</f>
        <v>0</v>
      </c>
      <c r="G25" s="117">
        <f t="shared" si="0"/>
        <v>0</v>
      </c>
    </row>
    <row r="26" spans="2:7" ht="14.1" customHeight="1">
      <c r="B26" s="112">
        <v>20</v>
      </c>
      <c r="C26" s="115" t="s">
        <v>372</v>
      </c>
      <c r="D26" s="116" t="s">
        <v>373</v>
      </c>
      <c r="E26" s="89">
        <f>'10'!J34+'11'!J33+'12'!J33+'13'!J33+'34'!J33+'35'!J33+'36'!J33</f>
        <v>3467821</v>
      </c>
      <c r="F26" s="89">
        <f>'10'!N34+'11'!N33+'12'!N33+'13'!N33+'34'!N33+'35'!N33+'36'!N33</f>
        <v>0</v>
      </c>
      <c r="G26" s="117">
        <f t="shared" si="0"/>
        <v>0</v>
      </c>
    </row>
    <row r="27" spans="2:7" ht="14.1" customHeight="1">
      <c r="B27" s="112">
        <v>21</v>
      </c>
      <c r="C27" s="115" t="s">
        <v>374</v>
      </c>
      <c r="D27" s="116" t="s">
        <v>375</v>
      </c>
      <c r="E27" s="89">
        <v>0</v>
      </c>
      <c r="F27" s="89">
        <v>0</v>
      </c>
      <c r="G27" s="117" t="str">
        <f t="shared" si="0"/>
        <v/>
      </c>
    </row>
    <row r="28" spans="2:7" ht="14.1" customHeight="1">
      <c r="B28" s="112">
        <v>22</v>
      </c>
      <c r="C28" s="115" t="s">
        <v>376</v>
      </c>
      <c r="D28" s="116" t="s">
        <v>377</v>
      </c>
      <c r="E28" s="89">
        <v>0</v>
      </c>
      <c r="F28" s="89">
        <v>0</v>
      </c>
      <c r="G28" s="117" t="str">
        <f t="shared" si="0"/>
        <v/>
      </c>
    </row>
    <row r="29" spans="2:7" ht="14.1" customHeight="1">
      <c r="B29" s="112">
        <v>23</v>
      </c>
      <c r="C29" s="115" t="s">
        <v>378</v>
      </c>
      <c r="D29" s="116" t="s">
        <v>379</v>
      </c>
      <c r="E29" s="89">
        <f>'9'!J35</f>
        <v>362570</v>
      </c>
      <c r="F29" s="89">
        <f>'9'!N35</f>
        <v>0</v>
      </c>
      <c r="G29" s="117">
        <f t="shared" si="0"/>
        <v>0</v>
      </c>
    </row>
    <row r="30" spans="2:7" ht="14.1" customHeight="1">
      <c r="B30" s="343">
        <v>24</v>
      </c>
      <c r="C30" s="347" t="s">
        <v>380</v>
      </c>
      <c r="D30" s="348" t="s">
        <v>381</v>
      </c>
      <c r="E30" s="345">
        <f>SUM(E31:E39)</f>
        <v>11008250</v>
      </c>
      <c r="F30" s="345">
        <f>SUM(F31:F39)</f>
        <v>0</v>
      </c>
      <c r="G30" s="349">
        <f t="shared" si="0"/>
        <v>0</v>
      </c>
    </row>
    <row r="31" spans="2:7" ht="14.1" customHeight="1">
      <c r="B31" s="112">
        <v>25</v>
      </c>
      <c r="C31" s="115" t="s">
        <v>382</v>
      </c>
      <c r="D31" s="116" t="s">
        <v>383</v>
      </c>
      <c r="E31" s="89">
        <v>0</v>
      </c>
      <c r="F31" s="89">
        <v>0</v>
      </c>
      <c r="G31" s="117" t="str">
        <f t="shared" si="0"/>
        <v/>
      </c>
    </row>
    <row r="32" spans="2:7" ht="14.1" customHeight="1">
      <c r="B32" s="112">
        <v>26</v>
      </c>
      <c r="C32" s="115" t="s">
        <v>384</v>
      </c>
      <c r="D32" s="116" t="s">
        <v>385</v>
      </c>
      <c r="E32" s="89">
        <f>'19'!J43</f>
        <v>4442020</v>
      </c>
      <c r="F32" s="89">
        <f>'19'!N43</f>
        <v>0</v>
      </c>
      <c r="G32" s="117">
        <f t="shared" si="0"/>
        <v>0</v>
      </c>
    </row>
    <row r="33" spans="2:7" ht="14.1" customHeight="1">
      <c r="B33" s="112">
        <v>27</v>
      </c>
      <c r="C33" s="115" t="s">
        <v>386</v>
      </c>
      <c r="D33" s="116" t="s">
        <v>387</v>
      </c>
      <c r="E33" s="89">
        <v>0</v>
      </c>
      <c r="F33" s="89">
        <v>0</v>
      </c>
      <c r="G33" s="117" t="str">
        <f t="shared" si="0"/>
        <v/>
      </c>
    </row>
    <row r="34" spans="2:7" ht="14.1" customHeight="1">
      <c r="B34" s="112">
        <v>28</v>
      </c>
      <c r="C34" s="115" t="s">
        <v>388</v>
      </c>
      <c r="D34" s="116" t="s">
        <v>389</v>
      </c>
      <c r="E34" s="89">
        <v>0</v>
      </c>
      <c r="F34" s="89">
        <v>0</v>
      </c>
      <c r="G34" s="117" t="str">
        <f t="shared" si="0"/>
        <v/>
      </c>
    </row>
    <row r="35" spans="2:7" ht="14.1" customHeight="1">
      <c r="B35" s="112">
        <v>29</v>
      </c>
      <c r="C35" s="115" t="s">
        <v>390</v>
      </c>
      <c r="D35" s="116" t="s">
        <v>66</v>
      </c>
      <c r="E35" s="89">
        <v>0</v>
      </c>
      <c r="F35" s="89">
        <v>0</v>
      </c>
      <c r="G35" s="117" t="str">
        <f t="shared" si="0"/>
        <v/>
      </c>
    </row>
    <row r="36" spans="2:7" ht="14.1" customHeight="1">
      <c r="B36" s="112">
        <v>30</v>
      </c>
      <c r="C36" s="115" t="s">
        <v>391</v>
      </c>
      <c r="D36" s="116" t="s">
        <v>392</v>
      </c>
      <c r="E36" s="89">
        <v>0</v>
      </c>
      <c r="F36" s="89">
        <v>0</v>
      </c>
      <c r="G36" s="117" t="str">
        <f t="shared" si="0"/>
        <v/>
      </c>
    </row>
    <row r="37" spans="2:7" ht="14.1" customHeight="1">
      <c r="B37" s="112">
        <v>31</v>
      </c>
      <c r="C37" s="115" t="s">
        <v>393</v>
      </c>
      <c r="D37" s="116" t="s">
        <v>394</v>
      </c>
      <c r="E37" s="89">
        <v>0</v>
      </c>
      <c r="F37" s="89">
        <v>0</v>
      </c>
      <c r="G37" s="117" t="str">
        <f t="shared" si="0"/>
        <v/>
      </c>
    </row>
    <row r="38" spans="2:7" ht="14.1" customHeight="1">
      <c r="B38" s="112">
        <v>32</v>
      </c>
      <c r="C38" s="115" t="s">
        <v>395</v>
      </c>
      <c r="D38" s="116" t="s">
        <v>396</v>
      </c>
      <c r="E38" s="89">
        <v>0</v>
      </c>
      <c r="F38" s="89">
        <v>0</v>
      </c>
      <c r="G38" s="117" t="str">
        <f t="shared" si="0"/>
        <v/>
      </c>
    </row>
    <row r="39" spans="2:7" ht="14.1" customHeight="1">
      <c r="B39" s="112">
        <v>33</v>
      </c>
      <c r="C39" s="115" t="s">
        <v>397</v>
      </c>
      <c r="D39" s="116" t="s">
        <v>398</v>
      </c>
      <c r="E39" s="89">
        <f>'15'!J42+'18'!J39+'32'!J33+'37'!J33</f>
        <v>6566230</v>
      </c>
      <c r="F39" s="89">
        <f>'15'!N42+'18'!N39+'32'!N33+'37'!N33</f>
        <v>0</v>
      </c>
      <c r="G39" s="117">
        <f t="shared" si="0"/>
        <v>0</v>
      </c>
    </row>
    <row r="40" spans="2:7" ht="14.1" customHeight="1">
      <c r="B40" s="343">
        <v>34</v>
      </c>
      <c r="C40" s="347" t="s">
        <v>120</v>
      </c>
      <c r="D40" s="348" t="s">
        <v>399</v>
      </c>
      <c r="E40" s="345">
        <f>SUM(E41:E46)</f>
        <v>0</v>
      </c>
      <c r="F40" s="345">
        <f>SUM(F41:F46)</f>
        <v>0</v>
      </c>
      <c r="G40" s="349" t="str">
        <f t="shared" si="0"/>
        <v/>
      </c>
    </row>
    <row r="41" spans="2:7" ht="14.1" customHeight="1">
      <c r="B41" s="112">
        <v>35</v>
      </c>
      <c r="C41" s="115" t="s">
        <v>400</v>
      </c>
      <c r="D41" s="116" t="s">
        <v>401</v>
      </c>
      <c r="E41" s="89">
        <v>0</v>
      </c>
      <c r="F41" s="89">
        <v>0</v>
      </c>
      <c r="G41" s="117" t="str">
        <f t="shared" si="0"/>
        <v/>
      </c>
    </row>
    <row r="42" spans="2:7" ht="14.1" customHeight="1">
      <c r="B42" s="112">
        <v>36</v>
      </c>
      <c r="C42" s="115" t="s">
        <v>402</v>
      </c>
      <c r="D42" s="116" t="s">
        <v>403</v>
      </c>
      <c r="E42" s="89">
        <v>0</v>
      </c>
      <c r="F42" s="89">
        <v>0</v>
      </c>
      <c r="G42" s="117" t="str">
        <f t="shared" si="0"/>
        <v/>
      </c>
    </row>
    <row r="43" spans="2:7" ht="14.1" customHeight="1">
      <c r="B43" s="112">
        <v>37</v>
      </c>
      <c r="C43" s="115" t="s">
        <v>404</v>
      </c>
      <c r="D43" s="116" t="s">
        <v>405</v>
      </c>
      <c r="E43" s="89">
        <v>0</v>
      </c>
      <c r="F43" s="89">
        <v>0</v>
      </c>
      <c r="G43" s="117" t="str">
        <f t="shared" si="0"/>
        <v/>
      </c>
    </row>
    <row r="44" spans="2:7" ht="14.1" customHeight="1">
      <c r="B44" s="112">
        <v>38</v>
      </c>
      <c r="C44" s="115" t="s">
        <v>406</v>
      </c>
      <c r="D44" s="116" t="s">
        <v>67</v>
      </c>
      <c r="E44" s="89">
        <v>0</v>
      </c>
      <c r="F44" s="89">
        <v>0</v>
      </c>
      <c r="G44" s="117" t="str">
        <f t="shared" si="0"/>
        <v/>
      </c>
    </row>
    <row r="45" spans="2:7" ht="14.1" customHeight="1">
      <c r="B45" s="112">
        <v>39</v>
      </c>
      <c r="C45" s="115" t="s">
        <v>407</v>
      </c>
      <c r="D45" s="116" t="s">
        <v>55</v>
      </c>
      <c r="E45" s="89">
        <v>0</v>
      </c>
      <c r="F45" s="89">
        <v>0</v>
      </c>
      <c r="G45" s="117" t="str">
        <f t="shared" si="0"/>
        <v/>
      </c>
    </row>
    <row r="46" spans="2:7" ht="14.1" customHeight="1">
      <c r="B46" s="112">
        <v>40</v>
      </c>
      <c r="C46" s="115" t="s">
        <v>408</v>
      </c>
      <c r="D46" s="116" t="s">
        <v>409</v>
      </c>
      <c r="E46" s="89">
        <v>0</v>
      </c>
      <c r="F46" s="89">
        <v>0</v>
      </c>
      <c r="G46" s="117" t="str">
        <f t="shared" si="0"/>
        <v/>
      </c>
    </row>
    <row r="47" spans="2:7" ht="14.1" customHeight="1">
      <c r="B47" s="343">
        <v>41</v>
      </c>
      <c r="C47" s="347" t="s">
        <v>160</v>
      </c>
      <c r="D47" s="348" t="s">
        <v>410</v>
      </c>
      <c r="E47" s="345">
        <f>SUM(E48:E53)</f>
        <v>0</v>
      </c>
      <c r="F47" s="345">
        <f>SUM(F48:F53)</f>
        <v>0</v>
      </c>
      <c r="G47" s="349" t="str">
        <f t="shared" si="0"/>
        <v/>
      </c>
    </row>
    <row r="48" spans="2:7" ht="14.1" customHeight="1">
      <c r="B48" s="112">
        <v>42</v>
      </c>
      <c r="C48" s="115" t="s">
        <v>411</v>
      </c>
      <c r="D48" s="116" t="s">
        <v>412</v>
      </c>
      <c r="E48" s="89">
        <v>0</v>
      </c>
      <c r="F48" s="89">
        <v>0</v>
      </c>
      <c r="G48" s="117" t="str">
        <f t="shared" si="0"/>
        <v/>
      </c>
    </row>
    <row r="49" spans="2:7" ht="14.1" customHeight="1">
      <c r="B49" s="112">
        <v>43</v>
      </c>
      <c r="C49" s="115" t="s">
        <v>413</v>
      </c>
      <c r="D49" s="116" t="s">
        <v>414</v>
      </c>
      <c r="E49" s="89">
        <v>0</v>
      </c>
      <c r="F49" s="89">
        <v>0</v>
      </c>
      <c r="G49" s="117" t="str">
        <f t="shared" si="0"/>
        <v/>
      </c>
    </row>
    <row r="50" spans="2:7" ht="14.1" customHeight="1">
      <c r="B50" s="112">
        <v>44</v>
      </c>
      <c r="C50" s="115" t="s">
        <v>415</v>
      </c>
      <c r="D50" s="116" t="s">
        <v>68</v>
      </c>
      <c r="E50" s="89">
        <v>0</v>
      </c>
      <c r="F50" s="89">
        <v>0</v>
      </c>
      <c r="G50" s="117" t="str">
        <f t="shared" si="0"/>
        <v/>
      </c>
    </row>
    <row r="51" spans="2:7" ht="14.1" customHeight="1">
      <c r="B51" s="112">
        <v>45</v>
      </c>
      <c r="C51" s="115" t="s">
        <v>416</v>
      </c>
      <c r="D51" s="116" t="s">
        <v>417</v>
      </c>
      <c r="E51" s="89">
        <v>0</v>
      </c>
      <c r="F51" s="89">
        <v>0</v>
      </c>
      <c r="G51" s="117" t="str">
        <f t="shared" si="0"/>
        <v/>
      </c>
    </row>
    <row r="52" spans="2:7" ht="14.1" customHeight="1">
      <c r="B52" s="112">
        <v>46</v>
      </c>
      <c r="C52" s="115" t="s">
        <v>418</v>
      </c>
      <c r="D52" s="116" t="s">
        <v>419</v>
      </c>
      <c r="E52" s="89">
        <v>0</v>
      </c>
      <c r="F52" s="89">
        <v>0</v>
      </c>
      <c r="G52" s="117" t="str">
        <f t="shared" si="0"/>
        <v/>
      </c>
    </row>
    <row r="53" spans="2:7" ht="14.1" customHeight="1">
      <c r="B53" s="112">
        <v>47</v>
      </c>
      <c r="C53" s="115" t="s">
        <v>420</v>
      </c>
      <c r="D53" s="116" t="s">
        <v>421</v>
      </c>
      <c r="E53" s="89">
        <v>0</v>
      </c>
      <c r="F53" s="89">
        <v>0</v>
      </c>
      <c r="G53" s="117" t="str">
        <f t="shared" si="0"/>
        <v/>
      </c>
    </row>
    <row r="54" spans="2:7" ht="14.1" customHeight="1">
      <c r="B54" s="343">
        <v>48</v>
      </c>
      <c r="C54" s="347" t="s">
        <v>422</v>
      </c>
      <c r="D54" s="348" t="s">
        <v>423</v>
      </c>
      <c r="E54" s="345">
        <f>SUM(E55:E60)</f>
        <v>0</v>
      </c>
      <c r="F54" s="345">
        <f>SUM(F55:F60)</f>
        <v>0</v>
      </c>
      <c r="G54" s="349" t="str">
        <f t="shared" si="0"/>
        <v/>
      </c>
    </row>
    <row r="55" spans="2:7" ht="14.1" customHeight="1">
      <c r="B55" s="112">
        <v>49</v>
      </c>
      <c r="C55" s="115" t="s">
        <v>424</v>
      </c>
      <c r="D55" s="116" t="s">
        <v>425</v>
      </c>
      <c r="E55" s="89">
        <v>0</v>
      </c>
      <c r="F55" s="89">
        <v>0</v>
      </c>
      <c r="G55" s="117" t="str">
        <f t="shared" si="0"/>
        <v/>
      </c>
    </row>
    <row r="56" spans="2:7" ht="14.1" customHeight="1">
      <c r="B56" s="112">
        <v>50</v>
      </c>
      <c r="C56" s="115" t="s">
        <v>426</v>
      </c>
      <c r="D56" s="116" t="s">
        <v>69</v>
      </c>
      <c r="E56" s="89">
        <v>0</v>
      </c>
      <c r="F56" s="89">
        <v>0</v>
      </c>
      <c r="G56" s="117" t="str">
        <f t="shared" si="0"/>
        <v/>
      </c>
    </row>
    <row r="57" spans="2:7" ht="14.1" customHeight="1">
      <c r="B57" s="112">
        <v>51</v>
      </c>
      <c r="C57" s="115" t="s">
        <v>0</v>
      </c>
      <c r="D57" s="116" t="s">
        <v>1</v>
      </c>
      <c r="E57" s="89">
        <v>0</v>
      </c>
      <c r="F57" s="89">
        <v>0</v>
      </c>
      <c r="G57" s="117" t="str">
        <f t="shared" si="0"/>
        <v/>
      </c>
    </row>
    <row r="58" spans="2:7" ht="14.1" customHeight="1">
      <c r="B58" s="112">
        <v>52</v>
      </c>
      <c r="C58" s="115" t="s">
        <v>2</v>
      </c>
      <c r="D58" s="116" t="s">
        <v>3</v>
      </c>
      <c r="E58" s="89">
        <v>0</v>
      </c>
      <c r="F58" s="89">
        <v>0</v>
      </c>
      <c r="G58" s="117" t="str">
        <f t="shared" si="0"/>
        <v/>
      </c>
    </row>
    <row r="59" spans="2:7" ht="14.1" customHeight="1">
      <c r="B59" s="112">
        <v>53</v>
      </c>
      <c r="C59" s="115" t="s">
        <v>4</v>
      </c>
      <c r="D59" s="116" t="s">
        <v>5</v>
      </c>
      <c r="E59" s="89">
        <v>0</v>
      </c>
      <c r="F59" s="89">
        <v>0</v>
      </c>
      <c r="G59" s="117" t="str">
        <f t="shared" si="0"/>
        <v/>
      </c>
    </row>
    <row r="60" spans="2:7" ht="14.1" customHeight="1">
      <c r="B60" s="112">
        <v>54</v>
      </c>
      <c r="C60" s="115" t="s">
        <v>6</v>
      </c>
      <c r="D60" s="116" t="s">
        <v>7</v>
      </c>
      <c r="E60" s="89">
        <v>0</v>
      </c>
      <c r="F60" s="89">
        <v>0</v>
      </c>
      <c r="G60" s="117" t="str">
        <f t="shared" si="0"/>
        <v/>
      </c>
    </row>
    <row r="61" spans="2:7">
      <c r="B61" s="343">
        <v>55</v>
      </c>
      <c r="C61" s="347" t="s">
        <v>8</v>
      </c>
      <c r="D61" s="348" t="s">
        <v>9</v>
      </c>
      <c r="E61" s="345">
        <f>SUM(E62:E67)</f>
        <v>1210000</v>
      </c>
      <c r="F61" s="345">
        <f>SUM(F62:F67)</f>
        <v>0</v>
      </c>
      <c r="G61" s="349">
        <f t="shared" si="0"/>
        <v>0</v>
      </c>
    </row>
    <row r="62" spans="2:7">
      <c r="B62" s="112">
        <v>56</v>
      </c>
      <c r="C62" s="115" t="s">
        <v>10</v>
      </c>
      <c r="D62" s="116" t="s">
        <v>607</v>
      </c>
      <c r="E62" s="89">
        <f>'20'!J38</f>
        <v>350000</v>
      </c>
      <c r="F62" s="89">
        <f>'20'!N38</f>
        <v>0</v>
      </c>
      <c r="G62" s="118">
        <f t="shared" si="0"/>
        <v>0</v>
      </c>
    </row>
    <row r="63" spans="2:7">
      <c r="B63" s="112">
        <v>57</v>
      </c>
      <c r="C63" s="115" t="s">
        <v>11</v>
      </c>
      <c r="D63" s="116" t="s">
        <v>12</v>
      </c>
      <c r="E63" s="89">
        <f>'20'!J39</f>
        <v>150000</v>
      </c>
      <c r="F63" s="89">
        <f>'20'!N39</f>
        <v>0</v>
      </c>
      <c r="G63" s="118">
        <f t="shared" si="0"/>
        <v>0</v>
      </c>
    </row>
    <row r="64" spans="2:7">
      <c r="B64" s="112">
        <v>58</v>
      </c>
      <c r="C64" s="115" t="s">
        <v>13</v>
      </c>
      <c r="D64" s="116" t="s">
        <v>70</v>
      </c>
      <c r="E64" s="89">
        <f>'20'!J36</f>
        <v>370000</v>
      </c>
      <c r="F64" s="89">
        <f>'20'!N36</f>
        <v>0</v>
      </c>
      <c r="G64" s="118">
        <f t="shared" si="0"/>
        <v>0</v>
      </c>
    </row>
    <row r="65" spans="2:7">
      <c r="B65" s="112">
        <v>59</v>
      </c>
      <c r="C65" s="115" t="s">
        <v>14</v>
      </c>
      <c r="D65" s="116" t="s">
        <v>56</v>
      </c>
      <c r="E65" s="89">
        <f>'20'!J37</f>
        <v>340000</v>
      </c>
      <c r="F65" s="89">
        <f>'20'!N37</f>
        <v>0</v>
      </c>
      <c r="G65" s="118">
        <f t="shared" si="0"/>
        <v>0</v>
      </c>
    </row>
    <row r="66" spans="2:7">
      <c r="B66" s="112">
        <v>60</v>
      </c>
      <c r="C66" s="115" t="s">
        <v>15</v>
      </c>
      <c r="D66" s="116" t="s">
        <v>16</v>
      </c>
      <c r="E66" s="89">
        <v>0</v>
      </c>
      <c r="F66" s="89">
        <v>0</v>
      </c>
      <c r="G66" s="118" t="str">
        <f t="shared" si="0"/>
        <v/>
      </c>
    </row>
    <row r="67" spans="2:7">
      <c r="B67" s="112">
        <v>61</v>
      </c>
      <c r="C67" s="115" t="s">
        <v>17</v>
      </c>
      <c r="D67" s="116" t="s">
        <v>18</v>
      </c>
      <c r="E67" s="89">
        <v>0</v>
      </c>
      <c r="F67" s="89">
        <v>0</v>
      </c>
      <c r="G67" s="118" t="str">
        <f t="shared" si="0"/>
        <v/>
      </c>
    </row>
    <row r="68" spans="2:7">
      <c r="B68" s="343">
        <v>62</v>
      </c>
      <c r="C68" s="347" t="s">
        <v>19</v>
      </c>
      <c r="D68" s="348" t="s">
        <v>20</v>
      </c>
      <c r="E68" s="345">
        <f>SUM(E69:E76)</f>
        <v>16021314</v>
      </c>
      <c r="F68" s="345">
        <f>SUM(F69:F76)</f>
        <v>20000</v>
      </c>
      <c r="G68" s="349">
        <f t="shared" si="0"/>
        <v>0.12483370589952858</v>
      </c>
    </row>
    <row r="69" spans="2:7">
      <c r="B69" s="112">
        <v>63</v>
      </c>
      <c r="C69" s="115" t="s">
        <v>21</v>
      </c>
      <c r="D69" s="116" t="s">
        <v>22</v>
      </c>
      <c r="E69" s="89">
        <f>'24'!J33+'25'!J33+'26'!J33+'27'!J33+'28'!J33+'29'!J33+'30'!J33+'20'!J21+15000</f>
        <v>9850950</v>
      </c>
      <c r="F69" s="89">
        <f>'24'!N33+'25'!N33+'26'!N33+'27'!N33+'28'!N33+'29'!N33+'30'!N33+'20'!L21+15000</f>
        <v>15000</v>
      </c>
      <c r="G69" s="118">
        <f t="shared" si="0"/>
        <v>0.15226957806099919</v>
      </c>
    </row>
    <row r="70" spans="2:7">
      <c r="B70" s="112">
        <v>64</v>
      </c>
      <c r="C70" s="115" t="s">
        <v>23</v>
      </c>
      <c r="D70" s="116" t="s">
        <v>24</v>
      </c>
      <c r="E70" s="89">
        <f>'21'!J33+'22'!J33+'23'!J33</f>
        <v>4401741</v>
      </c>
      <c r="F70" s="89">
        <f>'21'!N33+'22'!N33+'23'!N33+5000</f>
        <v>5000</v>
      </c>
      <c r="G70" s="118">
        <f t="shared" si="0"/>
        <v>0.11359141757772663</v>
      </c>
    </row>
    <row r="71" spans="2:7">
      <c r="B71" s="112">
        <v>65</v>
      </c>
      <c r="C71" s="115" t="s">
        <v>25</v>
      </c>
      <c r="D71" s="116" t="s">
        <v>26</v>
      </c>
      <c r="E71" s="89">
        <v>0</v>
      </c>
      <c r="F71" s="89">
        <v>0</v>
      </c>
      <c r="G71" s="118" t="str">
        <f t="shared" si="0"/>
        <v/>
      </c>
    </row>
    <row r="72" spans="2:7">
      <c r="B72" s="112">
        <v>66</v>
      </c>
      <c r="C72" s="115" t="s">
        <v>27</v>
      </c>
      <c r="D72" s="116" t="s">
        <v>28</v>
      </c>
      <c r="E72" s="89">
        <f>'20'!J32+'20'!J34</f>
        <v>315000</v>
      </c>
      <c r="F72" s="89">
        <f>'20'!N32+'20'!N34</f>
        <v>0</v>
      </c>
      <c r="G72" s="118">
        <f t="shared" si="0"/>
        <v>0</v>
      </c>
    </row>
    <row r="73" spans="2:7">
      <c r="B73" s="112">
        <v>67</v>
      </c>
      <c r="C73" s="115" t="s">
        <v>29</v>
      </c>
      <c r="D73" s="116" t="s">
        <v>71</v>
      </c>
      <c r="E73" s="89">
        <v>0</v>
      </c>
      <c r="F73" s="89">
        <v>0</v>
      </c>
      <c r="G73" s="118" t="str">
        <f t="shared" si="0"/>
        <v/>
      </c>
    </row>
    <row r="74" spans="2:7">
      <c r="B74" s="112">
        <v>68</v>
      </c>
      <c r="C74" s="115" t="s">
        <v>30</v>
      </c>
      <c r="D74" s="116" t="s">
        <v>31</v>
      </c>
      <c r="E74" s="89">
        <v>0</v>
      </c>
      <c r="F74" s="89">
        <v>0</v>
      </c>
      <c r="G74" s="118" t="str">
        <f t="shared" ref="G74:G86" si="1">IF(E74=0,"",F74/E74*100)</f>
        <v/>
      </c>
    </row>
    <row r="75" spans="2:7">
      <c r="B75" s="112">
        <v>69</v>
      </c>
      <c r="C75" s="115" t="s">
        <v>32</v>
      </c>
      <c r="D75" s="116" t="s">
        <v>33</v>
      </c>
      <c r="E75" s="89">
        <v>0</v>
      </c>
      <c r="F75" s="89">
        <v>0</v>
      </c>
      <c r="G75" s="118" t="str">
        <f t="shared" si="1"/>
        <v/>
      </c>
    </row>
    <row r="76" spans="2:7">
      <c r="B76" s="112">
        <v>70</v>
      </c>
      <c r="C76" s="115" t="s">
        <v>34</v>
      </c>
      <c r="D76" s="116" t="s">
        <v>35</v>
      </c>
      <c r="E76" s="89">
        <f>'20'!J46-'20'!J32-'20'!J34-'20'!J35-'20'!J36-'20'!J37-'20'!J38-'20'!J39-'20'!J21</f>
        <v>1453623</v>
      </c>
      <c r="F76" s="89">
        <f>'20'!N46-'20'!N32-'20'!N34-'20'!N35-'20'!N36-'20'!N37-'20'!N38-'20'!N39-'20'!L21</f>
        <v>0</v>
      </c>
      <c r="G76" s="118">
        <f t="shared" si="1"/>
        <v>0</v>
      </c>
    </row>
    <row r="77" spans="2:7">
      <c r="B77" s="343">
        <v>71</v>
      </c>
      <c r="C77" s="347" t="s">
        <v>36</v>
      </c>
      <c r="D77" s="344" t="s">
        <v>37</v>
      </c>
      <c r="E77" s="345">
        <f>SUM(E78:E86)</f>
        <v>8073490</v>
      </c>
      <c r="F77" s="345">
        <f>SUM(F78:F86)</f>
        <v>0</v>
      </c>
      <c r="G77" s="349">
        <f t="shared" si="1"/>
        <v>0</v>
      </c>
    </row>
    <row r="78" spans="2:7">
      <c r="B78" s="112">
        <v>72</v>
      </c>
      <c r="C78" s="115" t="s">
        <v>38</v>
      </c>
      <c r="D78" s="116" t="s">
        <v>39</v>
      </c>
      <c r="E78" s="89">
        <v>0</v>
      </c>
      <c r="F78" s="89">
        <v>0</v>
      </c>
      <c r="G78" s="118" t="str">
        <f t="shared" si="1"/>
        <v/>
      </c>
    </row>
    <row r="79" spans="2:7">
      <c r="B79" s="112">
        <v>73</v>
      </c>
      <c r="C79" s="115" t="s">
        <v>40</v>
      </c>
      <c r="D79" s="116" t="s">
        <v>41</v>
      </c>
      <c r="E79" s="89">
        <v>0</v>
      </c>
      <c r="F79" s="89">
        <v>0</v>
      </c>
      <c r="G79" s="118" t="str">
        <f t="shared" si="1"/>
        <v/>
      </c>
    </row>
    <row r="80" spans="2:7">
      <c r="B80" s="112">
        <v>74</v>
      </c>
      <c r="C80" s="115" t="s">
        <v>42</v>
      </c>
      <c r="D80" s="116" t="s">
        <v>43</v>
      </c>
      <c r="E80" s="89">
        <v>0</v>
      </c>
      <c r="F80" s="89">
        <v>0</v>
      </c>
      <c r="G80" s="118" t="str">
        <f t="shared" si="1"/>
        <v/>
      </c>
    </row>
    <row r="81" spans="2:7">
      <c r="B81" s="112">
        <v>75</v>
      </c>
      <c r="C81" s="115" t="s">
        <v>44</v>
      </c>
      <c r="D81" s="116" t="s">
        <v>72</v>
      </c>
      <c r="E81" s="89">
        <v>0</v>
      </c>
      <c r="F81" s="89">
        <v>0</v>
      </c>
      <c r="G81" s="118" t="str">
        <f t="shared" si="1"/>
        <v/>
      </c>
    </row>
    <row r="82" spans="2:7">
      <c r="B82" s="112">
        <v>76</v>
      </c>
      <c r="C82" s="115" t="s">
        <v>45</v>
      </c>
      <c r="D82" s="116" t="s">
        <v>73</v>
      </c>
      <c r="E82" s="89">
        <v>0</v>
      </c>
      <c r="F82" s="89">
        <v>0</v>
      </c>
      <c r="G82" s="118" t="str">
        <f t="shared" si="1"/>
        <v/>
      </c>
    </row>
    <row r="83" spans="2:7">
      <c r="B83" s="112">
        <v>77</v>
      </c>
      <c r="C83" s="115" t="s">
        <v>46</v>
      </c>
      <c r="D83" s="116" t="s">
        <v>47</v>
      </c>
      <c r="E83" s="89">
        <v>0</v>
      </c>
      <c r="F83" s="89">
        <v>0</v>
      </c>
      <c r="G83" s="118" t="str">
        <f t="shared" si="1"/>
        <v/>
      </c>
    </row>
    <row r="84" spans="2:7">
      <c r="B84" s="112">
        <v>78</v>
      </c>
      <c r="C84" s="115" t="s">
        <v>48</v>
      </c>
      <c r="D84" s="116" t="s">
        <v>49</v>
      </c>
      <c r="E84" s="89">
        <v>0</v>
      </c>
      <c r="F84" s="89">
        <v>0</v>
      </c>
      <c r="G84" s="118" t="str">
        <f t="shared" si="1"/>
        <v/>
      </c>
    </row>
    <row r="85" spans="2:7">
      <c r="B85" s="112">
        <v>79</v>
      </c>
      <c r="C85" s="115" t="s">
        <v>50</v>
      </c>
      <c r="D85" s="116" t="s">
        <v>51</v>
      </c>
      <c r="E85" s="89">
        <v>0</v>
      </c>
      <c r="F85" s="89">
        <v>0</v>
      </c>
      <c r="G85" s="118" t="str">
        <f t="shared" si="1"/>
        <v/>
      </c>
    </row>
    <row r="86" spans="2:7">
      <c r="B86" s="112">
        <v>80</v>
      </c>
      <c r="C86" s="115" t="s">
        <v>52</v>
      </c>
      <c r="D86" s="116" t="s">
        <v>53</v>
      </c>
      <c r="E86" s="89">
        <f>'17'!J39+'31'!J36</f>
        <v>8073490</v>
      </c>
      <c r="F86" s="89">
        <f>'17'!N39+'31'!N36</f>
        <v>0</v>
      </c>
      <c r="G86" s="118">
        <f t="shared" si="1"/>
        <v>0</v>
      </c>
    </row>
    <row r="87" spans="2:7">
      <c r="B87" s="56"/>
      <c r="C87" s="56"/>
      <c r="D87" s="56"/>
      <c r="E87" s="56"/>
      <c r="F87" s="56"/>
      <c r="G87" s="56"/>
    </row>
    <row r="88" spans="2:7">
      <c r="B88" s="56"/>
      <c r="C88" s="56"/>
      <c r="D88" s="56"/>
      <c r="E88" s="56"/>
      <c r="F88" s="56"/>
      <c r="G88" s="56"/>
    </row>
    <row r="89" spans="2:7">
      <c r="B89" s="56"/>
      <c r="C89" s="56"/>
      <c r="D89" s="56"/>
      <c r="E89" s="56"/>
      <c r="F89" s="56"/>
      <c r="G89" s="56"/>
    </row>
    <row r="90" spans="2:7">
      <c r="B90" s="56"/>
      <c r="C90" s="56"/>
      <c r="D90" s="56"/>
      <c r="E90" s="56"/>
      <c r="F90" s="56"/>
      <c r="G90" s="56"/>
    </row>
    <row r="91" spans="2:7">
      <c r="B91" s="56"/>
      <c r="C91" s="56"/>
      <c r="D91" s="56"/>
      <c r="E91" s="56"/>
      <c r="F91" s="56"/>
      <c r="G91" s="56"/>
    </row>
    <row r="92" spans="2:7">
      <c r="B92" s="56"/>
      <c r="C92" s="56"/>
      <c r="D92" s="56"/>
      <c r="E92" s="56"/>
      <c r="F92" s="56"/>
      <c r="G92" s="56"/>
    </row>
    <row r="93" spans="2:7">
      <c r="B93" s="56"/>
      <c r="C93" s="56"/>
      <c r="D93" s="56"/>
      <c r="E93" s="56"/>
      <c r="F93" s="56"/>
      <c r="G93" s="56"/>
    </row>
    <row r="94" spans="2:7">
      <c r="B94" s="56"/>
      <c r="C94" s="56"/>
      <c r="D94" s="56"/>
      <c r="E94" s="56"/>
      <c r="F94" s="56"/>
      <c r="G94" s="56"/>
    </row>
    <row r="95" spans="2:7">
      <c r="B95" s="56"/>
      <c r="C95" s="56"/>
      <c r="D95" s="56"/>
      <c r="E95" s="56"/>
      <c r="F95" s="56"/>
      <c r="G95" s="56"/>
    </row>
    <row r="96" spans="2:7">
      <c r="B96" s="56"/>
      <c r="C96" s="56"/>
      <c r="D96" s="56"/>
      <c r="E96" s="56"/>
      <c r="F96" s="56"/>
      <c r="G96" s="56"/>
    </row>
    <row r="97" spans="2:7">
      <c r="B97" s="56"/>
      <c r="C97" s="56"/>
      <c r="D97" s="56"/>
      <c r="E97" s="56"/>
      <c r="F97" s="56"/>
      <c r="G97" s="56"/>
    </row>
    <row r="98" spans="2:7">
      <c r="B98" s="56"/>
      <c r="C98" s="56"/>
      <c r="D98" s="56"/>
      <c r="E98" s="56"/>
      <c r="F98" s="56"/>
      <c r="G98" s="56"/>
    </row>
    <row r="99" spans="2:7">
      <c r="B99" s="56"/>
      <c r="C99" s="56"/>
      <c r="D99" s="56"/>
      <c r="E99" s="56"/>
      <c r="F99" s="56"/>
      <c r="G99" s="56"/>
    </row>
    <row r="100" spans="2:7">
      <c r="B100" s="56"/>
      <c r="C100" s="56"/>
      <c r="D100" s="56"/>
      <c r="E100" s="56"/>
      <c r="F100" s="56"/>
      <c r="G100" s="56"/>
    </row>
    <row r="101" spans="2:7">
      <c r="B101" s="56"/>
      <c r="C101" s="56"/>
      <c r="D101" s="56"/>
      <c r="E101" s="56"/>
      <c r="F101" s="56"/>
      <c r="G101" s="56"/>
    </row>
    <row r="102" spans="2:7">
      <c r="B102" s="56"/>
      <c r="C102" s="56"/>
      <c r="D102" s="56"/>
      <c r="E102" s="56"/>
      <c r="F102" s="56"/>
      <c r="G102" s="56"/>
    </row>
    <row r="103" spans="2:7">
      <c r="B103" s="56"/>
      <c r="C103" s="56"/>
      <c r="D103" s="56"/>
      <c r="E103" s="56"/>
      <c r="F103" s="56"/>
      <c r="G103" s="56"/>
    </row>
    <row r="104" spans="2:7">
      <c r="B104" s="56"/>
      <c r="C104" s="56"/>
      <c r="D104" s="56"/>
      <c r="E104" s="56"/>
      <c r="F104" s="56"/>
      <c r="G104" s="56"/>
    </row>
    <row r="105" spans="2:7">
      <c r="B105" s="56"/>
      <c r="C105" s="56"/>
      <c r="D105" s="56"/>
      <c r="E105" s="56"/>
      <c r="F105" s="56"/>
      <c r="G105" s="56"/>
    </row>
    <row r="106" spans="2:7">
      <c r="B106" s="56"/>
      <c r="C106" s="56"/>
      <c r="D106" s="56"/>
      <c r="E106" s="56"/>
      <c r="F106" s="56"/>
      <c r="G106" s="56"/>
    </row>
    <row r="107" spans="2:7">
      <c r="B107" s="56"/>
      <c r="C107" s="56"/>
      <c r="D107" s="56"/>
      <c r="E107" s="56"/>
      <c r="F107" s="56"/>
      <c r="G107" s="56"/>
    </row>
    <row r="108" spans="2:7">
      <c r="B108" s="56"/>
      <c r="C108" s="56"/>
      <c r="D108" s="56"/>
      <c r="E108" s="56"/>
      <c r="F108" s="56"/>
      <c r="G108" s="56"/>
    </row>
    <row r="109" spans="2:7">
      <c r="B109" s="56"/>
      <c r="C109" s="56"/>
      <c r="D109" s="56"/>
      <c r="E109" s="56"/>
      <c r="F109" s="56"/>
      <c r="G109" s="56"/>
    </row>
    <row r="110" spans="2:7">
      <c r="B110" s="56"/>
      <c r="C110" s="56"/>
      <c r="D110" s="56"/>
      <c r="E110" s="56"/>
      <c r="F110" s="56"/>
      <c r="G110" s="56"/>
    </row>
    <row r="111" spans="2:7">
      <c r="B111" s="56"/>
      <c r="C111" s="56"/>
      <c r="D111" s="56"/>
      <c r="E111" s="56"/>
      <c r="F111" s="56"/>
      <c r="G111" s="56"/>
    </row>
    <row r="112" spans="2:7">
      <c r="B112" s="56"/>
      <c r="C112" s="56"/>
      <c r="D112" s="56"/>
      <c r="E112" s="56"/>
      <c r="F112" s="56"/>
      <c r="G112" s="56"/>
    </row>
    <row r="113" spans="2:7">
      <c r="B113" s="56"/>
      <c r="C113" s="56"/>
      <c r="D113" s="56"/>
      <c r="E113" s="56"/>
      <c r="F113" s="56"/>
      <c r="G113" s="56"/>
    </row>
    <row r="114" spans="2:7">
      <c r="B114" s="56"/>
      <c r="C114" s="56"/>
      <c r="D114" s="56"/>
      <c r="E114" s="56"/>
      <c r="F114" s="56"/>
      <c r="G114" s="56"/>
    </row>
    <row r="115" spans="2:7">
      <c r="B115" s="56"/>
      <c r="C115" s="56"/>
      <c r="D115" s="56"/>
      <c r="E115" s="56"/>
      <c r="F115" s="56"/>
      <c r="G115" s="56"/>
    </row>
    <row r="116" spans="2:7">
      <c r="B116" s="56"/>
      <c r="C116" s="56"/>
      <c r="D116" s="56"/>
      <c r="E116" s="56"/>
      <c r="F116" s="56"/>
      <c r="G116" s="56"/>
    </row>
    <row r="117" spans="2:7">
      <c r="B117" s="56"/>
      <c r="C117" s="56"/>
      <c r="D117" s="56"/>
      <c r="E117" s="56"/>
      <c r="F117" s="56"/>
      <c r="G117" s="56"/>
    </row>
    <row r="118" spans="2:7">
      <c r="B118" s="56"/>
      <c r="C118" s="56"/>
      <c r="D118" s="56"/>
      <c r="E118" s="56"/>
      <c r="F118" s="56"/>
      <c r="G118" s="56"/>
    </row>
    <row r="119" spans="2:7">
      <c r="B119" s="56"/>
      <c r="C119" s="56"/>
      <c r="D119" s="56"/>
      <c r="E119" s="56"/>
      <c r="F119" s="56"/>
      <c r="G119" s="56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7" firstPageNumber="46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J46"/>
  <sheetViews>
    <sheetView zoomScaleNormal="100" workbookViewId="0">
      <selection activeCell="N21" sqref="N21"/>
    </sheetView>
  </sheetViews>
  <sheetFormatPr defaultRowHeight="12.75"/>
  <cols>
    <col min="1" max="1" width="15.7109375" style="36" customWidth="1"/>
    <col min="2" max="2" width="82.28515625" customWidth="1"/>
    <col min="3" max="6" width="18.7109375" customWidth="1"/>
  </cols>
  <sheetData>
    <row r="1" spans="1:6" ht="7.5" customHeight="1"/>
    <row r="2" spans="1:6" ht="15.75">
      <c r="A2" s="929" t="s">
        <v>876</v>
      </c>
      <c r="B2" s="1000"/>
      <c r="C2" s="1000"/>
      <c r="D2" s="1000"/>
      <c r="E2" s="1000"/>
      <c r="F2" s="1000"/>
    </row>
    <row r="3" spans="1:6" ht="6.75" customHeight="1"/>
    <row r="4" spans="1:6" s="41" customFormat="1" ht="12.75" customHeight="1">
      <c r="A4" s="1005" t="s">
        <v>313</v>
      </c>
      <c r="B4" s="1005" t="s">
        <v>321</v>
      </c>
      <c r="C4" s="1005" t="s">
        <v>875</v>
      </c>
      <c r="D4" s="1002" t="s">
        <v>328</v>
      </c>
      <c r="E4" s="1003"/>
      <c r="F4" s="1004"/>
    </row>
    <row r="5" spans="1:6" s="41" customFormat="1" ht="57.75" customHeight="1">
      <c r="A5" s="1006"/>
      <c r="B5" s="1006"/>
      <c r="C5" s="1006"/>
      <c r="D5" s="98" t="s">
        <v>327</v>
      </c>
      <c r="E5" s="98" t="s">
        <v>439</v>
      </c>
      <c r="F5" s="98" t="s">
        <v>440</v>
      </c>
    </row>
    <row r="6" spans="1:6" s="41" customFormat="1">
      <c r="A6" s="98">
        <v>1</v>
      </c>
      <c r="B6" s="99">
        <v>2</v>
      </c>
      <c r="C6" s="98" t="s">
        <v>329</v>
      </c>
      <c r="D6" s="98">
        <v>4</v>
      </c>
      <c r="E6" s="98">
        <v>5</v>
      </c>
      <c r="F6" s="98">
        <v>6</v>
      </c>
    </row>
    <row r="7" spans="1:6" ht="20.100000000000001" customHeight="1">
      <c r="A7" s="92">
        <v>10010001</v>
      </c>
      <c r="B7" s="23" t="s">
        <v>185</v>
      </c>
      <c r="C7" s="90">
        <f>D7+E7+F7</f>
        <v>0</v>
      </c>
      <c r="D7" s="90">
        <f>'1'!N28-E7-F7</f>
        <v>0</v>
      </c>
      <c r="E7" s="90">
        <v>0</v>
      </c>
      <c r="F7" s="90">
        <v>0</v>
      </c>
    </row>
    <row r="8" spans="1:6" ht="20.100000000000001" customHeight="1">
      <c r="A8" s="92">
        <v>11010001</v>
      </c>
      <c r="B8" s="23" t="s">
        <v>186</v>
      </c>
      <c r="C8" s="90">
        <f t="shared" ref="C8:C44" si="0">D8+E8+F8</f>
        <v>0</v>
      </c>
      <c r="D8" s="90">
        <f>'2'!N46-E8-F8</f>
        <v>-80000</v>
      </c>
      <c r="E8" s="90">
        <v>0</v>
      </c>
      <c r="F8" s="90">
        <v>80000</v>
      </c>
    </row>
    <row r="9" spans="1:6" ht="20.100000000000001" customHeight="1">
      <c r="A9" s="92">
        <v>11010002</v>
      </c>
      <c r="B9" s="354" t="s">
        <v>674</v>
      </c>
      <c r="C9" s="90">
        <f t="shared" si="0"/>
        <v>0</v>
      </c>
      <c r="D9" s="90">
        <f>'4 (S)'!N31-E9-F9</f>
        <v>0</v>
      </c>
      <c r="E9" s="90">
        <v>0</v>
      </c>
      <c r="F9" s="90">
        <v>0</v>
      </c>
    </row>
    <row r="10" spans="1:6" ht="20.100000000000001" customHeight="1">
      <c r="A10" s="92">
        <v>11010003</v>
      </c>
      <c r="B10" s="23" t="s">
        <v>629</v>
      </c>
      <c r="C10" s="90">
        <f t="shared" si="0"/>
        <v>0</v>
      </c>
      <c r="D10" s="90">
        <f>'3'!N28-E10-F10</f>
        <v>0</v>
      </c>
      <c r="E10" s="90">
        <v>0</v>
      </c>
      <c r="F10" s="90">
        <v>0</v>
      </c>
    </row>
    <row r="11" spans="1:6" ht="20.100000000000001" customHeight="1">
      <c r="A11" s="92">
        <v>11010004</v>
      </c>
      <c r="B11" s="23" t="s">
        <v>627</v>
      </c>
      <c r="C11" s="90">
        <f t="shared" si="0"/>
        <v>0</v>
      </c>
      <c r="D11" s="90">
        <f>'4'!N28-E11-F11</f>
        <v>0</v>
      </c>
      <c r="E11" s="90">
        <v>0</v>
      </c>
      <c r="F11" s="90">
        <v>0</v>
      </c>
    </row>
    <row r="12" spans="1:6" ht="20.100000000000001" customHeight="1">
      <c r="A12" s="92">
        <v>11010005</v>
      </c>
      <c r="B12" s="136" t="s">
        <v>473</v>
      </c>
      <c r="C12" s="90">
        <f t="shared" si="0"/>
        <v>0</v>
      </c>
      <c r="D12" s="90">
        <f>'5'!N28-E12-F12</f>
        <v>0</v>
      </c>
      <c r="E12" s="90">
        <v>0</v>
      </c>
      <c r="F12" s="90">
        <v>0</v>
      </c>
    </row>
    <row r="13" spans="1:6" s="413" customFormat="1" ht="20.100000000000001" customHeight="1">
      <c r="A13" s="92">
        <v>11010006</v>
      </c>
      <c r="B13" s="354" t="s">
        <v>651</v>
      </c>
      <c r="C13" s="90">
        <f t="shared" ref="C13" si="1">D13+E13+F13</f>
        <v>0</v>
      </c>
      <c r="D13" s="90">
        <f>'6'!N31-E13-F13</f>
        <v>0</v>
      </c>
      <c r="E13" s="90">
        <v>0</v>
      </c>
      <c r="F13" s="90">
        <v>0</v>
      </c>
    </row>
    <row r="14" spans="1:6" ht="20.100000000000001" customHeight="1">
      <c r="A14" s="92">
        <v>12010001</v>
      </c>
      <c r="B14" s="23" t="s">
        <v>625</v>
      </c>
      <c r="C14" s="90">
        <f t="shared" si="0"/>
        <v>0</v>
      </c>
      <c r="D14" s="90">
        <f>'7'!N28-E14-F14</f>
        <v>0</v>
      </c>
      <c r="E14" s="90">
        <v>0</v>
      </c>
      <c r="F14" s="90">
        <v>0</v>
      </c>
    </row>
    <row r="15" spans="1:6" ht="20.100000000000001" customHeight="1">
      <c r="A15" s="92">
        <v>13010001</v>
      </c>
      <c r="B15" s="354" t="s">
        <v>187</v>
      </c>
      <c r="C15" s="90">
        <f t="shared" si="0"/>
        <v>0</v>
      </c>
      <c r="D15" s="90">
        <f>'8'!N29-E15-F15</f>
        <v>0</v>
      </c>
      <c r="E15" s="90">
        <v>0</v>
      </c>
      <c r="F15" s="90">
        <v>0</v>
      </c>
    </row>
    <row r="16" spans="1:6" ht="20.100000000000001" customHeight="1">
      <c r="A16" s="92">
        <v>14010001</v>
      </c>
      <c r="B16" s="354" t="s">
        <v>631</v>
      </c>
      <c r="C16" s="90">
        <f t="shared" si="0"/>
        <v>0</v>
      </c>
      <c r="D16" s="90">
        <f>'9'!N30-E16-F16</f>
        <v>0</v>
      </c>
      <c r="E16" s="90">
        <v>0</v>
      </c>
      <c r="F16" s="90">
        <v>0</v>
      </c>
    </row>
    <row r="17" spans="1:10" ht="20.100000000000001" customHeight="1">
      <c r="A17" s="92">
        <v>14020003</v>
      </c>
      <c r="B17" s="354" t="s">
        <v>659</v>
      </c>
      <c r="C17" s="90">
        <f t="shared" si="0"/>
        <v>0</v>
      </c>
      <c r="D17" s="90">
        <f>'10'!N29-E17-F17</f>
        <v>0</v>
      </c>
      <c r="E17" s="90">
        <v>0</v>
      </c>
      <c r="F17" s="90">
        <v>0</v>
      </c>
    </row>
    <row r="18" spans="1:10" ht="20.100000000000001" customHeight="1">
      <c r="A18" s="92">
        <v>14050001</v>
      </c>
      <c r="B18" s="354" t="s">
        <v>655</v>
      </c>
      <c r="C18" s="90">
        <f t="shared" si="0"/>
        <v>0</v>
      </c>
      <c r="D18" s="90">
        <f>'11'!N28-E18-F18</f>
        <v>0</v>
      </c>
      <c r="E18" s="90">
        <v>0</v>
      </c>
      <c r="F18" s="90">
        <v>0</v>
      </c>
      <c r="J18" s="899" t="s">
        <v>145</v>
      </c>
    </row>
    <row r="19" spans="1:10" ht="20.100000000000001" customHeight="1">
      <c r="A19" s="92">
        <v>14050002</v>
      </c>
      <c r="B19" s="354" t="s">
        <v>656</v>
      </c>
      <c r="C19" s="90">
        <f t="shared" si="0"/>
        <v>0</v>
      </c>
      <c r="D19" s="90">
        <f>'12'!N28-E19-F19</f>
        <v>0</v>
      </c>
      <c r="E19" s="90">
        <v>0</v>
      </c>
      <c r="F19" s="90">
        <v>0</v>
      </c>
    </row>
    <row r="20" spans="1:10" ht="20.100000000000001" customHeight="1">
      <c r="A20" s="92">
        <v>14060001</v>
      </c>
      <c r="B20" s="354" t="s">
        <v>657</v>
      </c>
      <c r="C20" s="90">
        <f t="shared" si="0"/>
        <v>0</v>
      </c>
      <c r="D20" s="90">
        <f>'13'!N28-E20-F20</f>
        <v>0</v>
      </c>
      <c r="E20" s="90">
        <v>0</v>
      </c>
      <c r="F20" s="90">
        <v>0</v>
      </c>
    </row>
    <row r="21" spans="1:10" s="539" customFormat="1" ht="20.100000000000001" customHeight="1">
      <c r="A21" s="92">
        <v>14070001</v>
      </c>
      <c r="B21" s="354" t="s">
        <v>833</v>
      </c>
      <c r="C21" s="90">
        <f t="shared" ref="C21" si="2">D21+E21+F21</f>
        <v>0</v>
      </c>
      <c r="D21" s="90">
        <f>'14'!N28-E28-F28</f>
        <v>0</v>
      </c>
      <c r="E21" s="90">
        <v>0</v>
      </c>
      <c r="F21" s="90">
        <v>0</v>
      </c>
    </row>
    <row r="22" spans="1:10" ht="20.100000000000001" customHeight="1">
      <c r="A22" s="92">
        <v>15010001</v>
      </c>
      <c r="B22" s="354" t="s">
        <v>632</v>
      </c>
      <c r="C22" s="90">
        <f t="shared" si="0"/>
        <v>0</v>
      </c>
      <c r="D22" s="90">
        <f>'15'!N37-E22-F22</f>
        <v>0</v>
      </c>
      <c r="E22" s="90">
        <v>0</v>
      </c>
      <c r="F22" s="90">
        <v>0</v>
      </c>
    </row>
    <row r="23" spans="1:10" ht="20.100000000000001" customHeight="1">
      <c r="A23" s="92">
        <v>16010001</v>
      </c>
      <c r="B23" s="354" t="s">
        <v>633</v>
      </c>
      <c r="C23" s="90">
        <f t="shared" si="0"/>
        <v>0</v>
      </c>
      <c r="D23" s="90">
        <f>'16'!N41-E23-F23</f>
        <v>0</v>
      </c>
      <c r="E23" s="90">
        <v>0</v>
      </c>
      <c r="F23" s="90">
        <v>0</v>
      </c>
    </row>
    <row r="24" spans="1:10" ht="20.100000000000001" customHeight="1">
      <c r="A24" s="92">
        <v>17010001</v>
      </c>
      <c r="B24" s="354" t="s">
        <v>634</v>
      </c>
      <c r="C24" s="90">
        <f t="shared" si="0"/>
        <v>0</v>
      </c>
      <c r="D24" s="90">
        <f>'17'!N34-E24-F24</f>
        <v>0</v>
      </c>
      <c r="E24" s="90">
        <v>0</v>
      </c>
      <c r="F24" s="90">
        <v>0</v>
      </c>
    </row>
    <row r="25" spans="1:10" ht="20.100000000000001" customHeight="1">
      <c r="A25" s="92">
        <v>18010001</v>
      </c>
      <c r="B25" s="354" t="s">
        <v>635</v>
      </c>
      <c r="C25" s="90">
        <f t="shared" si="0"/>
        <v>0</v>
      </c>
      <c r="D25" s="90">
        <f>'18'!N32-E25-F25</f>
        <v>-1980000</v>
      </c>
      <c r="E25" s="90">
        <f>1980000-759020</f>
        <v>1220980</v>
      </c>
      <c r="F25" s="90">
        <v>759020</v>
      </c>
    </row>
    <row r="26" spans="1:10" ht="20.100000000000001" customHeight="1">
      <c r="A26" s="92">
        <v>19010001</v>
      </c>
      <c r="B26" s="354" t="s">
        <v>636</v>
      </c>
      <c r="C26" s="90">
        <f t="shared" si="0"/>
        <v>0</v>
      </c>
      <c r="D26" s="90">
        <f>'19'!N38-E26-F26</f>
        <v>-20000</v>
      </c>
      <c r="E26" s="90">
        <v>20000</v>
      </c>
      <c r="F26" s="90">
        <v>0</v>
      </c>
    </row>
    <row r="27" spans="1:10" ht="20.100000000000001" customHeight="1">
      <c r="A27" s="92">
        <v>20010001</v>
      </c>
      <c r="B27" s="354" t="s">
        <v>637</v>
      </c>
      <c r="C27" s="90">
        <f t="shared" si="0"/>
        <v>0</v>
      </c>
      <c r="D27" s="90">
        <f>'20'!N41-E27-F27</f>
        <v>-20000</v>
      </c>
      <c r="E27" s="90">
        <v>0</v>
      </c>
      <c r="F27" s="90">
        <v>20000</v>
      </c>
    </row>
    <row r="28" spans="1:10" ht="20.100000000000001" customHeight="1">
      <c r="A28" s="92">
        <v>20020002</v>
      </c>
      <c r="B28" s="354" t="s">
        <v>685</v>
      </c>
      <c r="C28" s="90">
        <f t="shared" si="0"/>
        <v>0</v>
      </c>
      <c r="D28" s="90">
        <f>'21'!N28-E28-F28</f>
        <v>0</v>
      </c>
      <c r="E28" s="90">
        <v>0</v>
      </c>
      <c r="F28" s="90">
        <v>0</v>
      </c>
    </row>
    <row r="29" spans="1:10" ht="20.100000000000001" customHeight="1">
      <c r="A29" s="92">
        <v>20020003</v>
      </c>
      <c r="B29" s="354" t="s">
        <v>686</v>
      </c>
      <c r="C29" s="90">
        <f t="shared" si="0"/>
        <v>0</v>
      </c>
      <c r="D29" s="90">
        <f>'22'!N28-E29-F29</f>
        <v>0</v>
      </c>
      <c r="E29" s="90">
        <v>0</v>
      </c>
      <c r="F29" s="90">
        <v>0</v>
      </c>
    </row>
    <row r="30" spans="1:10" ht="20.100000000000001" customHeight="1">
      <c r="A30" s="92">
        <v>20020004</v>
      </c>
      <c r="B30" s="354" t="s">
        <v>687</v>
      </c>
      <c r="C30" s="90">
        <f t="shared" si="0"/>
        <v>0</v>
      </c>
      <c r="D30" s="90">
        <f>'23'!N28-E30-F30</f>
        <v>0</v>
      </c>
      <c r="E30" s="90">
        <v>0</v>
      </c>
      <c r="F30" s="152">
        <v>0</v>
      </c>
    </row>
    <row r="31" spans="1:10" ht="20.100000000000001" customHeight="1">
      <c r="A31" s="92">
        <v>20030001</v>
      </c>
      <c r="B31" s="354" t="s">
        <v>665</v>
      </c>
      <c r="C31" s="90">
        <f t="shared" si="0"/>
        <v>0</v>
      </c>
      <c r="D31" s="90">
        <f>'24'!N28-E31-F31</f>
        <v>-15000</v>
      </c>
      <c r="E31" s="90">
        <v>15000</v>
      </c>
      <c r="F31" s="90">
        <v>0</v>
      </c>
    </row>
    <row r="32" spans="1:10" ht="20.100000000000001" customHeight="1">
      <c r="A32" s="92">
        <v>20030002</v>
      </c>
      <c r="B32" s="354" t="s">
        <v>688</v>
      </c>
      <c r="C32" s="90">
        <f t="shared" si="0"/>
        <v>0</v>
      </c>
      <c r="D32" s="90">
        <f>'25'!N28-E32-F32</f>
        <v>0</v>
      </c>
      <c r="E32" s="90">
        <v>0</v>
      </c>
      <c r="F32" s="90">
        <v>0</v>
      </c>
    </row>
    <row r="33" spans="1:6" ht="20.100000000000001" customHeight="1">
      <c r="A33" s="92">
        <v>20030003</v>
      </c>
      <c r="B33" s="354" t="s">
        <v>689</v>
      </c>
      <c r="C33" s="90">
        <f t="shared" si="0"/>
        <v>0</v>
      </c>
      <c r="D33" s="90">
        <f>'26'!N28-E33-F33</f>
        <v>0</v>
      </c>
      <c r="E33" s="90">
        <v>0</v>
      </c>
      <c r="F33" s="90">
        <v>0</v>
      </c>
    </row>
    <row r="34" spans="1:6" ht="20.100000000000001" customHeight="1">
      <c r="A34" s="92">
        <v>20030004</v>
      </c>
      <c r="B34" s="354" t="s">
        <v>690</v>
      </c>
      <c r="C34" s="90">
        <f t="shared" si="0"/>
        <v>0</v>
      </c>
      <c r="D34" s="90">
        <f>'27'!N28-E34-F34</f>
        <v>0</v>
      </c>
      <c r="E34" s="90">
        <v>0</v>
      </c>
      <c r="F34" s="90">
        <v>0</v>
      </c>
    </row>
    <row r="35" spans="1:6" ht="20.100000000000001" customHeight="1">
      <c r="A35" s="92">
        <v>20030005</v>
      </c>
      <c r="B35" s="354" t="s">
        <v>695</v>
      </c>
      <c r="C35" s="90">
        <f t="shared" si="0"/>
        <v>0</v>
      </c>
      <c r="D35" s="90">
        <f>'28'!N28-E35-F35</f>
        <v>0</v>
      </c>
      <c r="E35" s="90">
        <v>0</v>
      </c>
      <c r="F35" s="90">
        <v>0</v>
      </c>
    </row>
    <row r="36" spans="1:6" ht="20.100000000000001" customHeight="1">
      <c r="A36" s="92">
        <v>20030006</v>
      </c>
      <c r="B36" s="354" t="s">
        <v>692</v>
      </c>
      <c r="C36" s="90">
        <f t="shared" si="0"/>
        <v>0</v>
      </c>
      <c r="D36" s="90">
        <f>'29'!N28-E36-F36</f>
        <v>0</v>
      </c>
      <c r="E36" s="90">
        <v>0</v>
      </c>
      <c r="F36" s="90">
        <v>0</v>
      </c>
    </row>
    <row r="37" spans="1:6" ht="20.100000000000001" customHeight="1">
      <c r="A37" s="92">
        <v>20030007</v>
      </c>
      <c r="B37" s="354" t="s">
        <v>693</v>
      </c>
      <c r="C37" s="90">
        <f t="shared" si="0"/>
        <v>0</v>
      </c>
      <c r="D37" s="90">
        <f>'30'!N28-E37-F37</f>
        <v>0</v>
      </c>
      <c r="E37" s="90">
        <v>0</v>
      </c>
      <c r="F37" s="90">
        <v>0</v>
      </c>
    </row>
    <row r="38" spans="1:6" ht="20.100000000000001" customHeight="1">
      <c r="A38" s="92">
        <v>21010001</v>
      </c>
      <c r="B38" s="354" t="s">
        <v>638</v>
      </c>
      <c r="C38" s="90">
        <f t="shared" si="0"/>
        <v>0</v>
      </c>
      <c r="D38" s="90">
        <f>'31'!N31-E38-F38</f>
        <v>0</v>
      </c>
      <c r="E38" s="90">
        <v>0</v>
      </c>
      <c r="F38" s="90">
        <v>0</v>
      </c>
    </row>
    <row r="39" spans="1:6" ht="20.100000000000001" customHeight="1">
      <c r="A39" s="92">
        <v>22010001</v>
      </c>
      <c r="B39" s="354" t="s">
        <v>652</v>
      </c>
      <c r="C39" s="90">
        <f t="shared" si="0"/>
        <v>0</v>
      </c>
      <c r="D39" s="90">
        <f>'32'!N28-E39-F39</f>
        <v>0</v>
      </c>
      <c r="E39" s="90">
        <v>0</v>
      </c>
      <c r="F39" s="90">
        <v>0</v>
      </c>
    </row>
    <row r="40" spans="1:6" ht="20.100000000000001" customHeight="1">
      <c r="A40" s="92">
        <v>23010001</v>
      </c>
      <c r="B40" s="354" t="s">
        <v>650</v>
      </c>
      <c r="C40" s="90">
        <f t="shared" si="0"/>
        <v>0</v>
      </c>
      <c r="D40" s="90">
        <f>'33'!N32-E40-F40</f>
        <v>-45000</v>
      </c>
      <c r="E40" s="90">
        <v>45000</v>
      </c>
      <c r="F40" s="90">
        <v>0</v>
      </c>
    </row>
    <row r="41" spans="1:6" ht="20.100000000000001" customHeight="1">
      <c r="A41" s="92">
        <v>24010001</v>
      </c>
      <c r="B41" s="23" t="s">
        <v>189</v>
      </c>
      <c r="C41" s="90">
        <f t="shared" si="0"/>
        <v>0</v>
      </c>
      <c r="D41" s="90">
        <f>'34'!N28-E41-F41</f>
        <v>0</v>
      </c>
      <c r="E41" s="90">
        <v>0</v>
      </c>
      <c r="F41" s="90">
        <v>0</v>
      </c>
    </row>
    <row r="42" spans="1:6" ht="20.100000000000001" customHeight="1">
      <c r="A42" s="92">
        <v>26010001</v>
      </c>
      <c r="B42" s="23" t="s">
        <v>190</v>
      </c>
      <c r="C42" s="90">
        <f t="shared" si="0"/>
        <v>0</v>
      </c>
      <c r="D42" s="90">
        <f>'35'!N28-E42-F42</f>
        <v>0</v>
      </c>
      <c r="E42" s="90">
        <v>0</v>
      </c>
      <c r="F42" s="90">
        <v>0</v>
      </c>
    </row>
    <row r="43" spans="1:6" ht="20.100000000000001" customHeight="1">
      <c r="A43" s="92">
        <v>27010001</v>
      </c>
      <c r="B43" s="354" t="s">
        <v>658</v>
      </c>
      <c r="C43" s="90">
        <f t="shared" si="0"/>
        <v>0</v>
      </c>
      <c r="D43" s="90">
        <f>'36'!N28-E43-F43</f>
        <v>0</v>
      </c>
      <c r="E43" s="90">
        <v>0</v>
      </c>
      <c r="F43" s="90">
        <v>0</v>
      </c>
    </row>
    <row r="44" spans="1:6" ht="20.100000000000001" customHeight="1">
      <c r="A44" s="92">
        <v>28010001</v>
      </c>
      <c r="B44" s="23" t="s">
        <v>191</v>
      </c>
      <c r="C44" s="90">
        <f t="shared" si="0"/>
        <v>0</v>
      </c>
      <c r="D44" s="90">
        <f>'37'!N28-E44-F44</f>
        <v>0</v>
      </c>
      <c r="E44" s="90">
        <v>0</v>
      </c>
      <c r="F44" s="90">
        <v>0</v>
      </c>
    </row>
    <row r="45" spans="1:6" s="41" customFormat="1" ht="20.100000000000001" customHeight="1">
      <c r="A45" s="62"/>
      <c r="B45" s="96" t="s">
        <v>325</v>
      </c>
      <c r="C45" s="97">
        <f>SUM(C7:C44)</f>
        <v>0</v>
      </c>
      <c r="D45" s="97">
        <f>SUM(D7:D44)</f>
        <v>-2160000</v>
      </c>
      <c r="E45" s="97">
        <f>SUM(E7:E44)</f>
        <v>1300980</v>
      </c>
      <c r="F45" s="97">
        <f>SUM(F7:F44)</f>
        <v>859020</v>
      </c>
    </row>
    <row r="46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N21" sqref="N21"/>
    </sheetView>
  </sheetViews>
  <sheetFormatPr defaultRowHeight="15" customHeight="1"/>
  <cols>
    <col min="1" max="1" width="9.140625" style="855"/>
    <col min="2" max="2" width="46.7109375" style="855" customWidth="1"/>
    <col min="3" max="3" width="18" style="855" customWidth="1"/>
    <col min="4" max="4" width="12.42578125" style="855" customWidth="1"/>
    <col min="5" max="6" width="9.140625" style="855"/>
    <col min="7" max="8" width="15.7109375" style="855" customWidth="1"/>
    <col min="9" max="9" width="8.7109375" style="855" customWidth="1"/>
    <col min="10" max="257" width="9.140625" style="855"/>
    <col min="258" max="258" width="46.7109375" style="855" customWidth="1"/>
    <col min="259" max="259" width="18" style="855" customWidth="1"/>
    <col min="260" max="260" width="12.42578125" style="855" customWidth="1"/>
    <col min="261" max="262" width="9.140625" style="855"/>
    <col min="263" max="264" width="15.7109375" style="855" customWidth="1"/>
    <col min="265" max="265" width="8.7109375" style="855" customWidth="1"/>
    <col min="266" max="513" width="9.140625" style="855"/>
    <col min="514" max="514" width="46.7109375" style="855" customWidth="1"/>
    <col min="515" max="515" width="18" style="855" customWidth="1"/>
    <col min="516" max="516" width="12.42578125" style="855" customWidth="1"/>
    <col min="517" max="518" width="9.140625" style="855"/>
    <col min="519" max="520" width="15.7109375" style="855" customWidth="1"/>
    <col min="521" max="521" width="8.7109375" style="855" customWidth="1"/>
    <col min="522" max="769" width="9.140625" style="855"/>
    <col min="770" max="770" width="46.7109375" style="855" customWidth="1"/>
    <col min="771" max="771" width="18" style="855" customWidth="1"/>
    <col min="772" max="772" width="12.42578125" style="855" customWidth="1"/>
    <col min="773" max="774" width="9.140625" style="855"/>
    <col min="775" max="776" width="15.7109375" style="855" customWidth="1"/>
    <col min="777" max="777" width="8.7109375" style="855" customWidth="1"/>
    <col min="778" max="1025" width="9.140625" style="855"/>
    <col min="1026" max="1026" width="46.7109375" style="855" customWidth="1"/>
    <col min="1027" max="1027" width="18" style="855" customWidth="1"/>
    <col min="1028" max="1028" width="12.42578125" style="855" customWidth="1"/>
    <col min="1029" max="1030" width="9.140625" style="855"/>
    <col min="1031" max="1032" width="15.7109375" style="855" customWidth="1"/>
    <col min="1033" max="1033" width="8.7109375" style="855" customWidth="1"/>
    <col min="1034" max="1281" width="9.140625" style="855"/>
    <col min="1282" max="1282" width="46.7109375" style="855" customWidth="1"/>
    <col min="1283" max="1283" width="18" style="855" customWidth="1"/>
    <col min="1284" max="1284" width="12.42578125" style="855" customWidth="1"/>
    <col min="1285" max="1286" width="9.140625" style="855"/>
    <col min="1287" max="1288" width="15.7109375" style="855" customWidth="1"/>
    <col min="1289" max="1289" width="8.7109375" style="855" customWidth="1"/>
    <col min="1290" max="1537" width="9.140625" style="855"/>
    <col min="1538" max="1538" width="46.7109375" style="855" customWidth="1"/>
    <col min="1539" max="1539" width="18" style="855" customWidth="1"/>
    <col min="1540" max="1540" width="12.42578125" style="855" customWidth="1"/>
    <col min="1541" max="1542" width="9.140625" style="855"/>
    <col min="1543" max="1544" width="15.7109375" style="855" customWidth="1"/>
    <col min="1545" max="1545" width="8.7109375" style="855" customWidth="1"/>
    <col min="1546" max="1793" width="9.140625" style="855"/>
    <col min="1794" max="1794" width="46.7109375" style="855" customWidth="1"/>
    <col min="1795" max="1795" width="18" style="855" customWidth="1"/>
    <col min="1796" max="1796" width="12.42578125" style="855" customWidth="1"/>
    <col min="1797" max="1798" width="9.140625" style="855"/>
    <col min="1799" max="1800" width="15.7109375" style="855" customWidth="1"/>
    <col min="1801" max="1801" width="8.7109375" style="855" customWidth="1"/>
    <col min="1802" max="2049" width="9.140625" style="855"/>
    <col min="2050" max="2050" width="46.7109375" style="855" customWidth="1"/>
    <col min="2051" max="2051" width="18" style="855" customWidth="1"/>
    <col min="2052" max="2052" width="12.42578125" style="855" customWidth="1"/>
    <col min="2053" max="2054" width="9.140625" style="855"/>
    <col min="2055" max="2056" width="15.7109375" style="855" customWidth="1"/>
    <col min="2057" max="2057" width="8.7109375" style="855" customWidth="1"/>
    <col min="2058" max="2305" width="9.140625" style="855"/>
    <col min="2306" max="2306" width="46.7109375" style="855" customWidth="1"/>
    <col min="2307" max="2307" width="18" style="855" customWidth="1"/>
    <col min="2308" max="2308" width="12.42578125" style="855" customWidth="1"/>
    <col min="2309" max="2310" width="9.140625" style="855"/>
    <col min="2311" max="2312" width="15.7109375" style="855" customWidth="1"/>
    <col min="2313" max="2313" width="8.7109375" style="855" customWidth="1"/>
    <col min="2314" max="2561" width="9.140625" style="855"/>
    <col min="2562" max="2562" width="46.7109375" style="855" customWidth="1"/>
    <col min="2563" max="2563" width="18" style="855" customWidth="1"/>
    <col min="2564" max="2564" width="12.42578125" style="855" customWidth="1"/>
    <col min="2565" max="2566" width="9.140625" style="855"/>
    <col min="2567" max="2568" width="15.7109375" style="855" customWidth="1"/>
    <col min="2569" max="2569" width="8.7109375" style="855" customWidth="1"/>
    <col min="2570" max="2817" width="9.140625" style="855"/>
    <col min="2818" max="2818" width="46.7109375" style="855" customWidth="1"/>
    <col min="2819" max="2819" width="18" style="855" customWidth="1"/>
    <col min="2820" max="2820" width="12.42578125" style="855" customWidth="1"/>
    <col min="2821" max="2822" width="9.140625" style="855"/>
    <col min="2823" max="2824" width="15.7109375" style="855" customWidth="1"/>
    <col min="2825" max="2825" width="8.7109375" style="855" customWidth="1"/>
    <col min="2826" max="3073" width="9.140625" style="855"/>
    <col min="3074" max="3074" width="46.7109375" style="855" customWidth="1"/>
    <col min="3075" max="3075" width="18" style="855" customWidth="1"/>
    <col min="3076" max="3076" width="12.42578125" style="855" customWidth="1"/>
    <col min="3077" max="3078" width="9.140625" style="855"/>
    <col min="3079" max="3080" width="15.7109375" style="855" customWidth="1"/>
    <col min="3081" max="3081" width="8.7109375" style="855" customWidth="1"/>
    <col min="3082" max="3329" width="9.140625" style="855"/>
    <col min="3330" max="3330" width="46.7109375" style="855" customWidth="1"/>
    <col min="3331" max="3331" width="18" style="855" customWidth="1"/>
    <col min="3332" max="3332" width="12.42578125" style="855" customWidth="1"/>
    <col min="3333" max="3334" width="9.140625" style="855"/>
    <col min="3335" max="3336" width="15.7109375" style="855" customWidth="1"/>
    <col min="3337" max="3337" width="8.7109375" style="855" customWidth="1"/>
    <col min="3338" max="3585" width="9.140625" style="855"/>
    <col min="3586" max="3586" width="46.7109375" style="855" customWidth="1"/>
    <col min="3587" max="3587" width="18" style="855" customWidth="1"/>
    <col min="3588" max="3588" width="12.42578125" style="855" customWidth="1"/>
    <col min="3589" max="3590" width="9.140625" style="855"/>
    <col min="3591" max="3592" width="15.7109375" style="855" customWidth="1"/>
    <col min="3593" max="3593" width="8.7109375" style="855" customWidth="1"/>
    <col min="3594" max="3841" width="9.140625" style="855"/>
    <col min="3842" max="3842" width="46.7109375" style="855" customWidth="1"/>
    <col min="3843" max="3843" width="18" style="855" customWidth="1"/>
    <col min="3844" max="3844" width="12.42578125" style="855" customWidth="1"/>
    <col min="3845" max="3846" width="9.140625" style="855"/>
    <col min="3847" max="3848" width="15.7109375" style="855" customWidth="1"/>
    <col min="3849" max="3849" width="8.7109375" style="855" customWidth="1"/>
    <col min="3850" max="4097" width="9.140625" style="855"/>
    <col min="4098" max="4098" width="46.7109375" style="855" customWidth="1"/>
    <col min="4099" max="4099" width="18" style="855" customWidth="1"/>
    <col min="4100" max="4100" width="12.42578125" style="855" customWidth="1"/>
    <col min="4101" max="4102" width="9.140625" style="855"/>
    <col min="4103" max="4104" width="15.7109375" style="855" customWidth="1"/>
    <col min="4105" max="4105" width="8.7109375" style="855" customWidth="1"/>
    <col min="4106" max="4353" width="9.140625" style="855"/>
    <col min="4354" max="4354" width="46.7109375" style="855" customWidth="1"/>
    <col min="4355" max="4355" width="18" style="855" customWidth="1"/>
    <col min="4356" max="4356" width="12.42578125" style="855" customWidth="1"/>
    <col min="4357" max="4358" width="9.140625" style="855"/>
    <col min="4359" max="4360" width="15.7109375" style="855" customWidth="1"/>
    <col min="4361" max="4361" width="8.7109375" style="855" customWidth="1"/>
    <col min="4362" max="4609" width="9.140625" style="855"/>
    <col min="4610" max="4610" width="46.7109375" style="855" customWidth="1"/>
    <col min="4611" max="4611" width="18" style="855" customWidth="1"/>
    <col min="4612" max="4612" width="12.42578125" style="855" customWidth="1"/>
    <col min="4613" max="4614" width="9.140625" style="855"/>
    <col min="4615" max="4616" width="15.7109375" style="855" customWidth="1"/>
    <col min="4617" max="4617" width="8.7109375" style="855" customWidth="1"/>
    <col min="4618" max="4865" width="9.140625" style="855"/>
    <col min="4866" max="4866" width="46.7109375" style="855" customWidth="1"/>
    <col min="4867" max="4867" width="18" style="855" customWidth="1"/>
    <col min="4868" max="4868" width="12.42578125" style="855" customWidth="1"/>
    <col min="4869" max="4870" width="9.140625" style="855"/>
    <col min="4871" max="4872" width="15.7109375" style="855" customWidth="1"/>
    <col min="4873" max="4873" width="8.7109375" style="855" customWidth="1"/>
    <col min="4874" max="5121" width="9.140625" style="855"/>
    <col min="5122" max="5122" width="46.7109375" style="855" customWidth="1"/>
    <col min="5123" max="5123" width="18" style="855" customWidth="1"/>
    <col min="5124" max="5124" width="12.42578125" style="855" customWidth="1"/>
    <col min="5125" max="5126" width="9.140625" style="855"/>
    <col min="5127" max="5128" width="15.7109375" style="855" customWidth="1"/>
    <col min="5129" max="5129" width="8.7109375" style="855" customWidth="1"/>
    <col min="5130" max="5377" width="9.140625" style="855"/>
    <col min="5378" max="5378" width="46.7109375" style="855" customWidth="1"/>
    <col min="5379" max="5379" width="18" style="855" customWidth="1"/>
    <col min="5380" max="5380" width="12.42578125" style="855" customWidth="1"/>
    <col min="5381" max="5382" width="9.140625" style="855"/>
    <col min="5383" max="5384" width="15.7109375" style="855" customWidth="1"/>
    <col min="5385" max="5385" width="8.7109375" style="855" customWidth="1"/>
    <col min="5386" max="5633" width="9.140625" style="855"/>
    <col min="5634" max="5634" width="46.7109375" style="855" customWidth="1"/>
    <col min="5635" max="5635" width="18" style="855" customWidth="1"/>
    <col min="5636" max="5636" width="12.42578125" style="855" customWidth="1"/>
    <col min="5637" max="5638" width="9.140625" style="855"/>
    <col min="5639" max="5640" width="15.7109375" style="855" customWidth="1"/>
    <col min="5641" max="5641" width="8.7109375" style="855" customWidth="1"/>
    <col min="5642" max="5889" width="9.140625" style="855"/>
    <col min="5890" max="5890" width="46.7109375" style="855" customWidth="1"/>
    <col min="5891" max="5891" width="18" style="855" customWidth="1"/>
    <col min="5892" max="5892" width="12.42578125" style="855" customWidth="1"/>
    <col min="5893" max="5894" width="9.140625" style="855"/>
    <col min="5895" max="5896" width="15.7109375" style="855" customWidth="1"/>
    <col min="5897" max="5897" width="8.7109375" style="855" customWidth="1"/>
    <col min="5898" max="6145" width="9.140625" style="855"/>
    <col min="6146" max="6146" width="46.7109375" style="855" customWidth="1"/>
    <col min="6147" max="6147" width="18" style="855" customWidth="1"/>
    <col min="6148" max="6148" width="12.42578125" style="855" customWidth="1"/>
    <col min="6149" max="6150" width="9.140625" style="855"/>
    <col min="6151" max="6152" width="15.7109375" style="855" customWidth="1"/>
    <col min="6153" max="6153" width="8.7109375" style="855" customWidth="1"/>
    <col min="6154" max="6401" width="9.140625" style="855"/>
    <col min="6402" max="6402" width="46.7109375" style="855" customWidth="1"/>
    <col min="6403" max="6403" width="18" style="855" customWidth="1"/>
    <col min="6404" max="6404" width="12.42578125" style="855" customWidth="1"/>
    <col min="6405" max="6406" width="9.140625" style="855"/>
    <col min="6407" max="6408" width="15.7109375" style="855" customWidth="1"/>
    <col min="6409" max="6409" width="8.7109375" style="855" customWidth="1"/>
    <col min="6410" max="6657" width="9.140625" style="855"/>
    <col min="6658" max="6658" width="46.7109375" style="855" customWidth="1"/>
    <col min="6659" max="6659" width="18" style="855" customWidth="1"/>
    <col min="6660" max="6660" width="12.42578125" style="855" customWidth="1"/>
    <col min="6661" max="6662" width="9.140625" style="855"/>
    <col min="6663" max="6664" width="15.7109375" style="855" customWidth="1"/>
    <col min="6665" max="6665" width="8.7109375" style="855" customWidth="1"/>
    <col min="6666" max="6913" width="9.140625" style="855"/>
    <col min="6914" max="6914" width="46.7109375" style="855" customWidth="1"/>
    <col min="6915" max="6915" width="18" style="855" customWidth="1"/>
    <col min="6916" max="6916" width="12.42578125" style="855" customWidth="1"/>
    <col min="6917" max="6918" width="9.140625" style="855"/>
    <col min="6919" max="6920" width="15.7109375" style="855" customWidth="1"/>
    <col min="6921" max="6921" width="8.7109375" style="855" customWidth="1"/>
    <col min="6922" max="7169" width="9.140625" style="855"/>
    <col min="7170" max="7170" width="46.7109375" style="855" customWidth="1"/>
    <col min="7171" max="7171" width="18" style="855" customWidth="1"/>
    <col min="7172" max="7172" width="12.42578125" style="855" customWidth="1"/>
    <col min="7173" max="7174" width="9.140625" style="855"/>
    <col min="7175" max="7176" width="15.7109375" style="855" customWidth="1"/>
    <col min="7177" max="7177" width="8.7109375" style="855" customWidth="1"/>
    <col min="7178" max="7425" width="9.140625" style="855"/>
    <col min="7426" max="7426" width="46.7109375" style="855" customWidth="1"/>
    <col min="7427" max="7427" width="18" style="855" customWidth="1"/>
    <col min="7428" max="7428" width="12.42578125" style="855" customWidth="1"/>
    <col min="7429" max="7430" width="9.140625" style="855"/>
    <col min="7431" max="7432" width="15.7109375" style="855" customWidth="1"/>
    <col min="7433" max="7433" width="8.7109375" style="855" customWidth="1"/>
    <col min="7434" max="7681" width="9.140625" style="855"/>
    <col min="7682" max="7682" width="46.7109375" style="855" customWidth="1"/>
    <col min="7683" max="7683" width="18" style="855" customWidth="1"/>
    <col min="7684" max="7684" width="12.42578125" style="855" customWidth="1"/>
    <col min="7685" max="7686" width="9.140625" style="855"/>
    <col min="7687" max="7688" width="15.7109375" style="855" customWidth="1"/>
    <col min="7689" max="7689" width="8.7109375" style="855" customWidth="1"/>
    <col min="7690" max="7937" width="9.140625" style="855"/>
    <col min="7938" max="7938" width="46.7109375" style="855" customWidth="1"/>
    <col min="7939" max="7939" width="18" style="855" customWidth="1"/>
    <col min="7940" max="7940" width="12.42578125" style="855" customWidth="1"/>
    <col min="7941" max="7942" width="9.140625" style="855"/>
    <col min="7943" max="7944" width="15.7109375" style="855" customWidth="1"/>
    <col min="7945" max="7945" width="8.7109375" style="855" customWidth="1"/>
    <col min="7946" max="8193" width="9.140625" style="855"/>
    <col min="8194" max="8194" width="46.7109375" style="855" customWidth="1"/>
    <col min="8195" max="8195" width="18" style="855" customWidth="1"/>
    <col min="8196" max="8196" width="12.42578125" style="855" customWidth="1"/>
    <col min="8197" max="8198" width="9.140625" style="855"/>
    <col min="8199" max="8200" width="15.7109375" style="855" customWidth="1"/>
    <col min="8201" max="8201" width="8.7109375" style="855" customWidth="1"/>
    <col min="8202" max="8449" width="9.140625" style="855"/>
    <col min="8450" max="8450" width="46.7109375" style="855" customWidth="1"/>
    <col min="8451" max="8451" width="18" style="855" customWidth="1"/>
    <col min="8452" max="8452" width="12.42578125" style="855" customWidth="1"/>
    <col min="8453" max="8454" width="9.140625" style="855"/>
    <col min="8455" max="8456" width="15.7109375" style="855" customWidth="1"/>
    <col min="8457" max="8457" width="8.7109375" style="855" customWidth="1"/>
    <col min="8458" max="8705" width="9.140625" style="855"/>
    <col min="8706" max="8706" width="46.7109375" style="855" customWidth="1"/>
    <col min="8707" max="8707" width="18" style="855" customWidth="1"/>
    <col min="8708" max="8708" width="12.42578125" style="855" customWidth="1"/>
    <col min="8709" max="8710" width="9.140625" style="855"/>
    <col min="8711" max="8712" width="15.7109375" style="855" customWidth="1"/>
    <col min="8713" max="8713" width="8.7109375" style="855" customWidth="1"/>
    <col min="8714" max="8961" width="9.140625" style="855"/>
    <col min="8962" max="8962" width="46.7109375" style="855" customWidth="1"/>
    <col min="8963" max="8963" width="18" style="855" customWidth="1"/>
    <col min="8964" max="8964" width="12.42578125" style="855" customWidth="1"/>
    <col min="8965" max="8966" width="9.140625" style="855"/>
    <col min="8967" max="8968" width="15.7109375" style="855" customWidth="1"/>
    <col min="8969" max="8969" width="8.7109375" style="855" customWidth="1"/>
    <col min="8970" max="9217" width="9.140625" style="855"/>
    <col min="9218" max="9218" width="46.7109375" style="855" customWidth="1"/>
    <col min="9219" max="9219" width="18" style="855" customWidth="1"/>
    <col min="9220" max="9220" width="12.42578125" style="855" customWidth="1"/>
    <col min="9221" max="9222" width="9.140625" style="855"/>
    <col min="9223" max="9224" width="15.7109375" style="855" customWidth="1"/>
    <col min="9225" max="9225" width="8.7109375" style="855" customWidth="1"/>
    <col min="9226" max="9473" width="9.140625" style="855"/>
    <col min="9474" max="9474" width="46.7109375" style="855" customWidth="1"/>
    <col min="9475" max="9475" width="18" style="855" customWidth="1"/>
    <col min="9476" max="9476" width="12.42578125" style="855" customWidth="1"/>
    <col min="9477" max="9478" width="9.140625" style="855"/>
    <col min="9479" max="9480" width="15.7109375" style="855" customWidth="1"/>
    <col min="9481" max="9481" width="8.7109375" style="855" customWidth="1"/>
    <col min="9482" max="9729" width="9.140625" style="855"/>
    <col min="9730" max="9730" width="46.7109375" style="855" customWidth="1"/>
    <col min="9731" max="9731" width="18" style="855" customWidth="1"/>
    <col min="9732" max="9732" width="12.42578125" style="855" customWidth="1"/>
    <col min="9733" max="9734" width="9.140625" style="855"/>
    <col min="9735" max="9736" width="15.7109375" style="855" customWidth="1"/>
    <col min="9737" max="9737" width="8.7109375" style="855" customWidth="1"/>
    <col min="9738" max="9985" width="9.140625" style="855"/>
    <col min="9986" max="9986" width="46.7109375" style="855" customWidth="1"/>
    <col min="9987" max="9987" width="18" style="855" customWidth="1"/>
    <col min="9988" max="9988" width="12.42578125" style="855" customWidth="1"/>
    <col min="9989" max="9990" width="9.140625" style="855"/>
    <col min="9991" max="9992" width="15.7109375" style="855" customWidth="1"/>
    <col min="9993" max="9993" width="8.7109375" style="855" customWidth="1"/>
    <col min="9994" max="10241" width="9.140625" style="855"/>
    <col min="10242" max="10242" width="46.7109375" style="855" customWidth="1"/>
    <col min="10243" max="10243" width="18" style="855" customWidth="1"/>
    <col min="10244" max="10244" width="12.42578125" style="855" customWidth="1"/>
    <col min="10245" max="10246" width="9.140625" style="855"/>
    <col min="10247" max="10248" width="15.7109375" style="855" customWidth="1"/>
    <col min="10249" max="10249" width="8.7109375" style="855" customWidth="1"/>
    <col min="10250" max="10497" width="9.140625" style="855"/>
    <col min="10498" max="10498" width="46.7109375" style="855" customWidth="1"/>
    <col min="10499" max="10499" width="18" style="855" customWidth="1"/>
    <col min="10500" max="10500" width="12.42578125" style="855" customWidth="1"/>
    <col min="10501" max="10502" width="9.140625" style="855"/>
    <col min="10503" max="10504" width="15.7109375" style="855" customWidth="1"/>
    <col min="10505" max="10505" width="8.7109375" style="855" customWidth="1"/>
    <col min="10506" max="10753" width="9.140625" style="855"/>
    <col min="10754" max="10754" width="46.7109375" style="855" customWidth="1"/>
    <col min="10755" max="10755" width="18" style="855" customWidth="1"/>
    <col min="10756" max="10756" width="12.42578125" style="855" customWidth="1"/>
    <col min="10757" max="10758" width="9.140625" style="855"/>
    <col min="10759" max="10760" width="15.7109375" style="855" customWidth="1"/>
    <col min="10761" max="10761" width="8.7109375" style="855" customWidth="1"/>
    <col min="10762" max="11009" width="9.140625" style="855"/>
    <col min="11010" max="11010" width="46.7109375" style="855" customWidth="1"/>
    <col min="11011" max="11011" width="18" style="855" customWidth="1"/>
    <col min="11012" max="11012" width="12.42578125" style="855" customWidth="1"/>
    <col min="11013" max="11014" width="9.140625" style="855"/>
    <col min="11015" max="11016" width="15.7109375" style="855" customWidth="1"/>
    <col min="11017" max="11017" width="8.7109375" style="855" customWidth="1"/>
    <col min="11018" max="11265" width="9.140625" style="855"/>
    <col min="11266" max="11266" width="46.7109375" style="855" customWidth="1"/>
    <col min="11267" max="11267" width="18" style="855" customWidth="1"/>
    <col min="11268" max="11268" width="12.42578125" style="855" customWidth="1"/>
    <col min="11269" max="11270" width="9.140625" style="855"/>
    <col min="11271" max="11272" width="15.7109375" style="855" customWidth="1"/>
    <col min="11273" max="11273" width="8.7109375" style="855" customWidth="1"/>
    <col min="11274" max="11521" width="9.140625" style="855"/>
    <col min="11522" max="11522" width="46.7109375" style="855" customWidth="1"/>
    <col min="11523" max="11523" width="18" style="855" customWidth="1"/>
    <col min="11524" max="11524" width="12.42578125" style="855" customWidth="1"/>
    <col min="11525" max="11526" width="9.140625" style="855"/>
    <col min="11527" max="11528" width="15.7109375" style="855" customWidth="1"/>
    <col min="11529" max="11529" width="8.7109375" style="855" customWidth="1"/>
    <col min="11530" max="11777" width="9.140625" style="855"/>
    <col min="11778" max="11778" width="46.7109375" style="855" customWidth="1"/>
    <col min="11779" max="11779" width="18" style="855" customWidth="1"/>
    <col min="11780" max="11780" width="12.42578125" style="855" customWidth="1"/>
    <col min="11781" max="11782" width="9.140625" style="855"/>
    <col min="11783" max="11784" width="15.7109375" style="855" customWidth="1"/>
    <col min="11785" max="11785" width="8.7109375" style="855" customWidth="1"/>
    <col min="11786" max="12033" width="9.140625" style="855"/>
    <col min="12034" max="12034" width="46.7109375" style="855" customWidth="1"/>
    <col min="12035" max="12035" width="18" style="855" customWidth="1"/>
    <col min="12036" max="12036" width="12.42578125" style="855" customWidth="1"/>
    <col min="12037" max="12038" width="9.140625" style="855"/>
    <col min="12039" max="12040" width="15.7109375" style="855" customWidth="1"/>
    <col min="12041" max="12041" width="8.7109375" style="855" customWidth="1"/>
    <col min="12042" max="12289" width="9.140625" style="855"/>
    <col min="12290" max="12290" width="46.7109375" style="855" customWidth="1"/>
    <col min="12291" max="12291" width="18" style="855" customWidth="1"/>
    <col min="12292" max="12292" width="12.42578125" style="855" customWidth="1"/>
    <col min="12293" max="12294" width="9.140625" style="855"/>
    <col min="12295" max="12296" width="15.7109375" style="855" customWidth="1"/>
    <col min="12297" max="12297" width="8.7109375" style="855" customWidth="1"/>
    <col min="12298" max="12545" width="9.140625" style="855"/>
    <col min="12546" max="12546" width="46.7109375" style="855" customWidth="1"/>
    <col min="12547" max="12547" width="18" style="855" customWidth="1"/>
    <col min="12548" max="12548" width="12.42578125" style="855" customWidth="1"/>
    <col min="12549" max="12550" width="9.140625" style="855"/>
    <col min="12551" max="12552" width="15.7109375" style="855" customWidth="1"/>
    <col min="12553" max="12553" width="8.7109375" style="855" customWidth="1"/>
    <col min="12554" max="12801" width="9.140625" style="855"/>
    <col min="12802" max="12802" width="46.7109375" style="855" customWidth="1"/>
    <col min="12803" max="12803" width="18" style="855" customWidth="1"/>
    <col min="12804" max="12804" width="12.42578125" style="855" customWidth="1"/>
    <col min="12805" max="12806" width="9.140625" style="855"/>
    <col min="12807" max="12808" width="15.7109375" style="855" customWidth="1"/>
    <col min="12809" max="12809" width="8.7109375" style="855" customWidth="1"/>
    <col min="12810" max="13057" width="9.140625" style="855"/>
    <col min="13058" max="13058" width="46.7109375" style="855" customWidth="1"/>
    <col min="13059" max="13059" width="18" style="855" customWidth="1"/>
    <col min="13060" max="13060" width="12.42578125" style="855" customWidth="1"/>
    <col min="13061" max="13062" width="9.140625" style="855"/>
    <col min="13063" max="13064" width="15.7109375" style="855" customWidth="1"/>
    <col min="13065" max="13065" width="8.7109375" style="855" customWidth="1"/>
    <col min="13066" max="13313" width="9.140625" style="855"/>
    <col min="13314" max="13314" width="46.7109375" style="855" customWidth="1"/>
    <col min="13315" max="13315" width="18" style="855" customWidth="1"/>
    <col min="13316" max="13316" width="12.42578125" style="855" customWidth="1"/>
    <col min="13317" max="13318" width="9.140625" style="855"/>
    <col min="13319" max="13320" width="15.7109375" style="855" customWidth="1"/>
    <col min="13321" max="13321" width="8.7109375" style="855" customWidth="1"/>
    <col min="13322" max="13569" width="9.140625" style="855"/>
    <col min="13570" max="13570" width="46.7109375" style="855" customWidth="1"/>
    <col min="13571" max="13571" width="18" style="855" customWidth="1"/>
    <col min="13572" max="13572" width="12.42578125" style="855" customWidth="1"/>
    <col min="13573" max="13574" width="9.140625" style="855"/>
    <col min="13575" max="13576" width="15.7109375" style="855" customWidth="1"/>
    <col min="13577" max="13577" width="8.7109375" style="855" customWidth="1"/>
    <col min="13578" max="13825" width="9.140625" style="855"/>
    <col min="13826" max="13826" width="46.7109375" style="855" customWidth="1"/>
    <col min="13827" max="13827" width="18" style="855" customWidth="1"/>
    <col min="13828" max="13828" width="12.42578125" style="855" customWidth="1"/>
    <col min="13829" max="13830" width="9.140625" style="855"/>
    <col min="13831" max="13832" width="15.7109375" style="855" customWidth="1"/>
    <col min="13833" max="13833" width="8.7109375" style="855" customWidth="1"/>
    <col min="13834" max="14081" width="9.140625" style="855"/>
    <col min="14082" max="14082" width="46.7109375" style="855" customWidth="1"/>
    <col min="14083" max="14083" width="18" style="855" customWidth="1"/>
    <col min="14084" max="14084" width="12.42578125" style="855" customWidth="1"/>
    <col min="14085" max="14086" width="9.140625" style="855"/>
    <col min="14087" max="14088" width="15.7109375" style="855" customWidth="1"/>
    <col min="14089" max="14089" width="8.7109375" style="855" customWidth="1"/>
    <col min="14090" max="14337" width="9.140625" style="855"/>
    <col min="14338" max="14338" width="46.7109375" style="855" customWidth="1"/>
    <col min="14339" max="14339" width="18" style="855" customWidth="1"/>
    <col min="14340" max="14340" width="12.42578125" style="855" customWidth="1"/>
    <col min="14341" max="14342" width="9.140625" style="855"/>
    <col min="14343" max="14344" width="15.7109375" style="855" customWidth="1"/>
    <col min="14345" max="14345" width="8.7109375" style="855" customWidth="1"/>
    <col min="14346" max="14593" width="9.140625" style="855"/>
    <col min="14594" max="14594" width="46.7109375" style="855" customWidth="1"/>
    <col min="14595" max="14595" width="18" style="855" customWidth="1"/>
    <col min="14596" max="14596" width="12.42578125" style="855" customWidth="1"/>
    <col min="14597" max="14598" width="9.140625" style="855"/>
    <col min="14599" max="14600" width="15.7109375" style="855" customWidth="1"/>
    <col min="14601" max="14601" width="8.7109375" style="855" customWidth="1"/>
    <col min="14602" max="14849" width="9.140625" style="855"/>
    <col min="14850" max="14850" width="46.7109375" style="855" customWidth="1"/>
    <col min="14851" max="14851" width="18" style="855" customWidth="1"/>
    <col min="14852" max="14852" width="12.42578125" style="855" customWidth="1"/>
    <col min="14853" max="14854" width="9.140625" style="855"/>
    <col min="14855" max="14856" width="15.7109375" style="855" customWidth="1"/>
    <col min="14857" max="14857" width="8.7109375" style="855" customWidth="1"/>
    <col min="14858" max="15105" width="9.140625" style="855"/>
    <col min="15106" max="15106" width="46.7109375" style="855" customWidth="1"/>
    <col min="15107" max="15107" width="18" style="855" customWidth="1"/>
    <col min="15108" max="15108" width="12.42578125" style="855" customWidth="1"/>
    <col min="15109" max="15110" width="9.140625" style="855"/>
    <col min="15111" max="15112" width="15.7109375" style="855" customWidth="1"/>
    <col min="15113" max="15113" width="8.7109375" style="855" customWidth="1"/>
    <col min="15114" max="15361" width="9.140625" style="855"/>
    <col min="15362" max="15362" width="46.7109375" style="855" customWidth="1"/>
    <col min="15363" max="15363" width="18" style="855" customWidth="1"/>
    <col min="15364" max="15364" width="12.42578125" style="855" customWidth="1"/>
    <col min="15365" max="15366" width="9.140625" style="855"/>
    <col min="15367" max="15368" width="15.7109375" style="855" customWidth="1"/>
    <col min="15369" max="15369" width="8.7109375" style="855" customWidth="1"/>
    <col min="15370" max="15617" width="9.140625" style="855"/>
    <col min="15618" max="15618" width="46.7109375" style="855" customWidth="1"/>
    <col min="15619" max="15619" width="18" style="855" customWidth="1"/>
    <col min="15620" max="15620" width="12.42578125" style="855" customWidth="1"/>
    <col min="15621" max="15622" width="9.140625" style="855"/>
    <col min="15623" max="15624" width="15.7109375" style="855" customWidth="1"/>
    <col min="15625" max="15625" width="8.7109375" style="855" customWidth="1"/>
    <col min="15626" max="15873" width="9.140625" style="855"/>
    <col min="15874" max="15874" width="46.7109375" style="855" customWidth="1"/>
    <col min="15875" max="15875" width="18" style="855" customWidth="1"/>
    <col min="15876" max="15876" width="12.42578125" style="855" customWidth="1"/>
    <col min="15877" max="15878" width="9.140625" style="855"/>
    <col min="15879" max="15880" width="15.7109375" style="855" customWidth="1"/>
    <col min="15881" max="15881" width="8.7109375" style="855" customWidth="1"/>
    <col min="15882" max="16129" width="9.140625" style="855"/>
    <col min="16130" max="16130" width="46.7109375" style="855" customWidth="1"/>
    <col min="16131" max="16131" width="18" style="855" customWidth="1"/>
    <col min="16132" max="16132" width="12.42578125" style="855" customWidth="1"/>
    <col min="16133" max="16134" width="9.140625" style="855"/>
    <col min="16135" max="16136" width="15.7109375" style="855" customWidth="1"/>
    <col min="16137" max="16137" width="8.7109375" style="855" customWidth="1"/>
    <col min="16138" max="16384" width="9.140625" style="855"/>
  </cols>
  <sheetData>
    <row r="1" spans="1:8" ht="15" customHeight="1">
      <c r="A1" s="35" t="s">
        <v>878</v>
      </c>
      <c r="C1" s="35"/>
    </row>
    <row r="2" spans="1:8" ht="15" customHeight="1">
      <c r="A2" s="35"/>
      <c r="B2" s="879">
        <f>Rashodi!K9</f>
        <v>0</v>
      </c>
      <c r="C2" s="880">
        <f>B2/D2*100</f>
        <v>0</v>
      </c>
      <c r="D2" s="879">
        <f>Prihodi!G257-Prihodi!G49-Prihodi!G55-Prihodi!G59-Prihodi!G60-Prihodi!G66-Prihodi!G89-Prihodi!G94-Prihodi!G97-Prihodi!G109-Prihodi!G123-Prihodi!G128-Prihodi!G130-Prihodi!G140-15000-Prihodi!G183-Prihodi!G193-Prihodi!G194-Prihodi!G196-Prihodi!G202-Prihodi!G203-Prihodi!G205-Prihodi!G218</f>
        <v>3791626</v>
      </c>
      <c r="G2" s="57"/>
    </row>
    <row r="3" spans="1:8" ht="15" customHeight="1">
      <c r="A3" s="881" t="s">
        <v>879</v>
      </c>
      <c r="C3" s="820"/>
    </row>
    <row r="4" spans="1:8" ht="17.25" customHeight="1">
      <c r="A4" s="1010" t="str">
        <f>CONCATENATE("     U tekuću pričuvu Vlade izdvojit će se ",TEXT(C2,"#.##0,00"),"% prihoda bez namjenskih prihoda, vlastitih prihoda i primitaka Proračuna.")</f>
        <v xml:space="preserve">     U tekuću pričuvu Vlade izdvojit će se 0,00% prihoda bez namjenskih prihoda, vlastitih prihoda i primitaka Proračuna.</v>
      </c>
      <c r="B4" s="1011"/>
      <c r="C4" s="1011"/>
      <c r="D4" s="1012"/>
      <c r="E4" s="1012"/>
      <c r="F4" s="1012"/>
      <c r="G4" s="1012"/>
      <c r="H4" s="1012"/>
    </row>
    <row r="5" spans="1:8" ht="15" customHeight="1">
      <c r="G5" s="41"/>
      <c r="H5" s="41"/>
    </row>
    <row r="6" spans="1:8" ht="15" customHeight="1">
      <c r="A6" s="35" t="s">
        <v>880</v>
      </c>
      <c r="C6" s="35"/>
      <c r="G6" s="353" t="s">
        <v>881</v>
      </c>
    </row>
    <row r="7" spans="1:8" ht="6.75" customHeight="1">
      <c r="A7" s="35"/>
      <c r="C7" s="35"/>
      <c r="E7" s="125"/>
    </row>
    <row r="8" spans="1:8" ht="15" customHeight="1">
      <c r="A8" s="930" t="s">
        <v>931</v>
      </c>
      <c r="B8" s="1009"/>
      <c r="C8" s="1009"/>
      <c r="D8" s="906"/>
      <c r="E8" s="906"/>
      <c r="F8" s="906"/>
      <c r="G8" s="906"/>
      <c r="H8" s="906"/>
    </row>
    <row r="9" spans="1:8" ht="15" customHeight="1">
      <c r="A9" s="1009"/>
      <c r="B9" s="1009"/>
      <c r="C9" s="1009"/>
      <c r="D9" s="906"/>
      <c r="E9" s="906"/>
      <c r="F9" s="906"/>
      <c r="G9" s="906"/>
      <c r="H9" s="906"/>
    </row>
    <row r="14" spans="1:8" ht="15" customHeight="1">
      <c r="A14" s="855" t="s">
        <v>882</v>
      </c>
    </row>
    <row r="15" spans="1:8" ht="15" customHeight="1">
      <c r="A15" s="855" t="s">
        <v>883</v>
      </c>
    </row>
    <row r="16" spans="1:8" ht="15" customHeight="1">
      <c r="A16" s="855" t="s">
        <v>884</v>
      </c>
    </row>
    <row r="17" spans="1:8" ht="15" customHeight="1">
      <c r="A17" s="855" t="s">
        <v>885</v>
      </c>
    </row>
    <row r="18" spans="1:8" ht="15" customHeight="1">
      <c r="A18" s="353" t="s">
        <v>913</v>
      </c>
    </row>
    <row r="19" spans="1:8" ht="15" customHeight="1">
      <c r="A19" s="353" t="s">
        <v>914</v>
      </c>
    </row>
    <row r="20" spans="1:8" ht="15" customHeight="1">
      <c r="G20" s="1013" t="s">
        <v>886</v>
      </c>
      <c r="H20" s="906"/>
    </row>
    <row r="21" spans="1:8" ht="15" customHeight="1">
      <c r="G21" s="1008"/>
      <c r="H21" s="1008"/>
    </row>
    <row r="22" spans="1:8" ht="15" customHeight="1">
      <c r="G22" s="1007" t="s">
        <v>887</v>
      </c>
      <c r="H22" s="1008"/>
    </row>
    <row r="25" spans="1:8" ht="15" customHeight="1">
      <c r="C25" s="861"/>
    </row>
    <row r="28" spans="1:8" ht="15" customHeight="1">
      <c r="C28" s="861"/>
    </row>
    <row r="32" spans="1:8" ht="15" customHeight="1">
      <c r="B32" s="855">
        <v>3</v>
      </c>
    </row>
    <row r="38" ht="12.75"/>
  </sheetData>
  <mergeCells count="5">
    <mergeCell ref="G22:H22"/>
    <mergeCell ref="G21:H21"/>
    <mergeCell ref="A8:H9"/>
    <mergeCell ref="A4:H4"/>
    <mergeCell ref="G20:H20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O260"/>
  <sheetViews>
    <sheetView topLeftCell="B187" zoomScale="150" zoomScaleNormal="150" workbookViewId="0">
      <selection activeCell="S6" sqref="S6"/>
    </sheetView>
  </sheetViews>
  <sheetFormatPr defaultRowHeight="14.25"/>
  <cols>
    <col min="1" max="1" width="0.42578125" style="488" hidden="1" customWidth="1"/>
    <col min="2" max="2" width="13.28515625" style="479" customWidth="1"/>
    <col min="3" max="3" width="62.7109375" style="488" customWidth="1"/>
    <col min="4" max="5" width="15.7109375" style="488" customWidth="1"/>
    <col min="6" max="6" width="14.28515625" style="729" customWidth="1"/>
    <col min="7" max="7" width="19" style="275" customWidth="1"/>
    <col min="8" max="8" width="9" style="488" customWidth="1"/>
    <col min="9" max="9" width="11" style="119" customWidth="1"/>
    <col min="10" max="10" width="17.28515625" style="531" customWidth="1"/>
    <col min="11" max="11" width="19.85546875" style="119" customWidth="1"/>
    <col min="12" max="12" width="16.42578125" style="119" customWidth="1"/>
    <col min="13" max="13" width="16.42578125" style="488" bestFit="1" customWidth="1"/>
    <col min="14" max="16384" width="9.140625" style="488"/>
  </cols>
  <sheetData>
    <row r="2" spans="2:13" ht="18.75" customHeight="1" thickBot="1">
      <c r="B2" s="937" t="s">
        <v>74</v>
      </c>
      <c r="C2" s="937"/>
      <c r="D2" s="937"/>
      <c r="E2" s="937"/>
      <c r="F2" s="937"/>
      <c r="G2" s="938"/>
      <c r="H2" s="938"/>
    </row>
    <row r="3" spans="2:13" ht="76.5" customHeight="1">
      <c r="B3" s="524" t="s">
        <v>151</v>
      </c>
      <c r="C3" s="525" t="s">
        <v>78</v>
      </c>
      <c r="D3" s="816" t="s">
        <v>915</v>
      </c>
      <c r="E3" s="816" t="s">
        <v>852</v>
      </c>
      <c r="F3" s="816" t="s">
        <v>916</v>
      </c>
      <c r="G3" s="274" t="s">
        <v>917</v>
      </c>
      <c r="H3" s="864" t="s">
        <v>857</v>
      </c>
      <c r="I3" s="144"/>
      <c r="K3" s="355"/>
      <c r="L3" s="355"/>
      <c r="M3" s="353"/>
    </row>
    <row r="4" spans="2:13" ht="12.75" customHeight="1">
      <c r="B4" s="526">
        <v>1</v>
      </c>
      <c r="C4" s="527">
        <v>2</v>
      </c>
      <c r="D4" s="817">
        <v>3</v>
      </c>
      <c r="E4" s="817">
        <v>4</v>
      </c>
      <c r="F4" s="818">
        <v>5</v>
      </c>
      <c r="G4" s="520">
        <v>6</v>
      </c>
      <c r="H4" s="819" t="s">
        <v>854</v>
      </c>
    </row>
    <row r="5" spans="2:13" s="33" customFormat="1" ht="17.25" customHeight="1">
      <c r="B5" s="662">
        <v>710000</v>
      </c>
      <c r="C5" s="663" t="s">
        <v>150</v>
      </c>
      <c r="D5" s="664">
        <f>D6+D16+D20+D28+D38+D47+D56</f>
        <v>44412420</v>
      </c>
      <c r="E5" s="664">
        <f>E6+E16+E20+E28+E38+E47+E56</f>
        <v>44412420</v>
      </c>
      <c r="F5" s="664">
        <f>F6+F16+F20+F28+F38+F47+F56</f>
        <v>22465856</v>
      </c>
      <c r="G5" s="665">
        <f>G6+G16+G20+G28+G38+G47+G56</f>
        <v>0</v>
      </c>
      <c r="H5" s="865">
        <f t="shared" ref="H5:H68" si="0">IF(E5=0,"",G5/E5*100)</f>
        <v>0</v>
      </c>
      <c r="I5" s="145"/>
      <c r="J5" s="533"/>
      <c r="K5" s="120"/>
      <c r="L5" s="120"/>
    </row>
    <row r="6" spans="2:13" s="86" customFormat="1" ht="17.100000000000001" customHeight="1">
      <c r="B6" s="662">
        <v>711000</v>
      </c>
      <c r="C6" s="666" t="s">
        <v>154</v>
      </c>
      <c r="D6" s="667">
        <f>D7+D13</f>
        <v>5554840</v>
      </c>
      <c r="E6" s="667">
        <f>E7+E13</f>
        <v>5554840</v>
      </c>
      <c r="F6" s="667">
        <f>F7+F13</f>
        <v>2737887</v>
      </c>
      <c r="G6" s="668">
        <f>G7+G13</f>
        <v>0</v>
      </c>
      <c r="H6" s="866">
        <f t="shared" si="0"/>
        <v>0</v>
      </c>
      <c r="I6" s="146"/>
      <c r="J6" s="147"/>
      <c r="K6" s="146"/>
      <c r="L6" s="147"/>
    </row>
    <row r="7" spans="2:13" s="86" customFormat="1" ht="15" customHeight="1">
      <c r="B7" s="669">
        <v>711100</v>
      </c>
      <c r="C7" s="670" t="s">
        <v>197</v>
      </c>
      <c r="D7" s="671">
        <f>SUM(D8:D12)</f>
        <v>4720</v>
      </c>
      <c r="E7" s="671">
        <f>SUM(E8:E12)</f>
        <v>4720</v>
      </c>
      <c r="F7" s="671">
        <f>SUM(F8:F12)</f>
        <v>4076</v>
      </c>
      <c r="G7" s="672">
        <f>SUM(G8:G12)</f>
        <v>0</v>
      </c>
      <c r="H7" s="867">
        <f t="shared" si="0"/>
        <v>0</v>
      </c>
      <c r="I7" s="146"/>
      <c r="J7" s="147"/>
      <c r="K7" s="121"/>
      <c r="L7" s="121"/>
    </row>
    <row r="8" spans="2:13" ht="15" customHeight="1">
      <c r="B8" s="673">
        <v>711111</v>
      </c>
      <c r="C8" s="674" t="s">
        <v>198</v>
      </c>
      <c r="D8" s="675">
        <v>4540</v>
      </c>
      <c r="E8" s="675">
        <v>4540</v>
      </c>
      <c r="F8" s="675">
        <v>4043</v>
      </c>
      <c r="G8" s="676"/>
      <c r="H8" s="868">
        <f t="shared" si="0"/>
        <v>0</v>
      </c>
      <c r="I8" s="146"/>
      <c r="K8" s="130"/>
    </row>
    <row r="9" spans="2:13" ht="15" customHeight="1">
      <c r="B9" s="673">
        <v>711112</v>
      </c>
      <c r="C9" s="674" t="s">
        <v>749</v>
      </c>
      <c r="D9" s="675">
        <v>130</v>
      </c>
      <c r="E9" s="675">
        <v>130</v>
      </c>
      <c r="F9" s="675">
        <v>33</v>
      </c>
      <c r="G9" s="676"/>
      <c r="H9" s="868">
        <f t="shared" si="0"/>
        <v>0</v>
      </c>
      <c r="I9" s="146"/>
      <c r="K9" s="130"/>
    </row>
    <row r="10" spans="2:13" ht="15" customHeight="1">
      <c r="B10" s="673">
        <v>711113</v>
      </c>
      <c r="C10" s="674" t="s">
        <v>490</v>
      </c>
      <c r="D10" s="675">
        <v>10</v>
      </c>
      <c r="E10" s="675">
        <v>10</v>
      </c>
      <c r="F10" s="675">
        <v>0</v>
      </c>
      <c r="G10" s="676"/>
      <c r="H10" s="868">
        <f t="shared" si="0"/>
        <v>0</v>
      </c>
      <c r="I10" s="146"/>
      <c r="K10" s="130"/>
    </row>
    <row r="11" spans="2:13" ht="15" customHeight="1">
      <c r="B11" s="673">
        <v>711114</v>
      </c>
      <c r="C11" s="674" t="s">
        <v>428</v>
      </c>
      <c r="D11" s="675">
        <v>30</v>
      </c>
      <c r="E11" s="675">
        <v>30</v>
      </c>
      <c r="F11" s="675">
        <v>0</v>
      </c>
      <c r="G11" s="676"/>
      <c r="H11" s="868">
        <f t="shared" si="0"/>
        <v>0</v>
      </c>
      <c r="I11" s="146"/>
      <c r="K11" s="130"/>
    </row>
    <row r="12" spans="2:13" ht="15" customHeight="1">
      <c r="B12" s="673">
        <v>711115</v>
      </c>
      <c r="C12" s="674" t="s">
        <v>199</v>
      </c>
      <c r="D12" s="677">
        <v>10</v>
      </c>
      <c r="E12" s="677">
        <v>10</v>
      </c>
      <c r="F12" s="677">
        <v>0</v>
      </c>
      <c r="G12" s="678"/>
      <c r="H12" s="868">
        <f t="shared" si="0"/>
        <v>0</v>
      </c>
      <c r="I12" s="146"/>
      <c r="K12" s="130"/>
    </row>
    <row r="13" spans="2:13" s="86" customFormat="1" ht="15" customHeight="1">
      <c r="B13" s="669">
        <v>711200</v>
      </c>
      <c r="C13" s="670" t="s">
        <v>202</v>
      </c>
      <c r="D13" s="671">
        <f>SUM(D14:D15)</f>
        <v>5550120</v>
      </c>
      <c r="E13" s="671">
        <f>SUM(E14:E15)</f>
        <v>5550120</v>
      </c>
      <c r="F13" s="671">
        <f>SUM(F14:F15)</f>
        <v>2733811</v>
      </c>
      <c r="G13" s="672">
        <f>SUM(G14:G15)</f>
        <v>0</v>
      </c>
      <c r="H13" s="867">
        <f t="shared" si="0"/>
        <v>0</v>
      </c>
      <c r="I13" s="146"/>
      <c r="J13" s="147"/>
      <c r="K13" s="130"/>
      <c r="L13" s="121"/>
      <c r="M13" s="488"/>
    </row>
    <row r="14" spans="2:13" ht="15" customHeight="1">
      <c r="B14" s="673">
        <v>711211</v>
      </c>
      <c r="C14" s="674" t="s">
        <v>200</v>
      </c>
      <c r="D14" s="677">
        <f>5443300</f>
        <v>5443300</v>
      </c>
      <c r="E14" s="677">
        <f>5443300</f>
        <v>5443300</v>
      </c>
      <c r="F14" s="677">
        <v>2658673</v>
      </c>
      <c r="G14" s="678"/>
      <c r="H14" s="868">
        <f t="shared" si="0"/>
        <v>0</v>
      </c>
      <c r="I14" s="146"/>
      <c r="K14" s="531"/>
      <c r="L14" s="532"/>
    </row>
    <row r="15" spans="2:13" ht="15" customHeight="1">
      <c r="B15" s="673">
        <v>711212</v>
      </c>
      <c r="C15" s="674" t="s">
        <v>201</v>
      </c>
      <c r="D15" s="677">
        <v>106820</v>
      </c>
      <c r="E15" s="677">
        <v>106820</v>
      </c>
      <c r="F15" s="677">
        <v>75138</v>
      </c>
      <c r="G15" s="678"/>
      <c r="H15" s="868">
        <f t="shared" si="0"/>
        <v>0</v>
      </c>
      <c r="I15" s="146"/>
      <c r="K15" s="531"/>
      <c r="L15" s="532"/>
    </row>
    <row r="16" spans="2:13" s="86" customFormat="1" ht="17.100000000000001" customHeight="1">
      <c r="B16" s="662">
        <v>713000</v>
      </c>
      <c r="C16" s="663" t="s">
        <v>203</v>
      </c>
      <c r="D16" s="667">
        <f>D17</f>
        <v>2370</v>
      </c>
      <c r="E16" s="667">
        <f>E17</f>
        <v>2370</v>
      </c>
      <c r="F16" s="667">
        <f>F17</f>
        <v>1273</v>
      </c>
      <c r="G16" s="668">
        <f>G17</f>
        <v>0</v>
      </c>
      <c r="H16" s="866">
        <f t="shared" si="0"/>
        <v>0</v>
      </c>
      <c r="I16" s="146"/>
      <c r="J16" s="147"/>
      <c r="K16" s="130"/>
      <c r="L16" s="121"/>
      <c r="M16" s="488"/>
    </row>
    <row r="17" spans="2:13" s="86" customFormat="1" ht="15" customHeight="1">
      <c r="B17" s="669">
        <v>713100</v>
      </c>
      <c r="C17" s="679" t="s">
        <v>303</v>
      </c>
      <c r="D17" s="680">
        <f>SUM(D18:D19)</f>
        <v>2370</v>
      </c>
      <c r="E17" s="680">
        <f>SUM(E18:E19)</f>
        <v>2370</v>
      </c>
      <c r="F17" s="680">
        <f>SUM(F18:F19)</f>
        <v>1273</v>
      </c>
      <c r="G17" s="681">
        <f>SUM(G18:G19)</f>
        <v>0</v>
      </c>
      <c r="H17" s="867">
        <f t="shared" si="0"/>
        <v>0</v>
      </c>
      <c r="I17" s="146"/>
      <c r="J17" s="147"/>
      <c r="K17" s="130"/>
      <c r="L17" s="121"/>
      <c r="M17" s="488"/>
    </row>
    <row r="18" spans="2:13" ht="15" customHeight="1">
      <c r="B18" s="673">
        <v>713111</v>
      </c>
      <c r="C18" s="674" t="s">
        <v>204</v>
      </c>
      <c r="D18" s="675">
        <v>1950</v>
      </c>
      <c r="E18" s="675">
        <v>1950</v>
      </c>
      <c r="F18" s="675">
        <v>1170</v>
      </c>
      <c r="G18" s="676"/>
      <c r="H18" s="868">
        <f t="shared" si="0"/>
        <v>0</v>
      </c>
      <c r="I18" s="130"/>
      <c r="K18" s="130"/>
    </row>
    <row r="19" spans="2:13" ht="15" customHeight="1">
      <c r="B19" s="673">
        <v>713113</v>
      </c>
      <c r="C19" s="674" t="s">
        <v>205</v>
      </c>
      <c r="D19" s="675">
        <v>420</v>
      </c>
      <c r="E19" s="675">
        <v>420</v>
      </c>
      <c r="F19" s="675">
        <v>103</v>
      </c>
      <c r="G19" s="676"/>
      <c r="H19" s="868">
        <f t="shared" si="0"/>
        <v>0</v>
      </c>
      <c r="I19" s="130"/>
      <c r="K19" s="130"/>
    </row>
    <row r="20" spans="2:13" s="86" customFormat="1" ht="17.100000000000001" customHeight="1">
      <c r="B20" s="662">
        <v>714000</v>
      </c>
      <c r="C20" s="663" t="s">
        <v>155</v>
      </c>
      <c r="D20" s="667">
        <f>D21</f>
        <v>445290</v>
      </c>
      <c r="E20" s="667">
        <f>E21</f>
        <v>445290</v>
      </c>
      <c r="F20" s="667">
        <f>F21</f>
        <v>203456</v>
      </c>
      <c r="G20" s="668">
        <f>G21</f>
        <v>0</v>
      </c>
      <c r="H20" s="866">
        <f t="shared" si="0"/>
        <v>0</v>
      </c>
      <c r="I20" s="146"/>
      <c r="J20" s="147"/>
      <c r="K20" s="130"/>
      <c r="L20" s="121"/>
      <c r="M20" s="488"/>
    </row>
    <row r="21" spans="2:13" s="86" customFormat="1" ht="15" customHeight="1">
      <c r="B21" s="669">
        <v>714100</v>
      </c>
      <c r="C21" s="679" t="s">
        <v>302</v>
      </c>
      <c r="D21" s="680">
        <f>SUM(D22:D27)</f>
        <v>445290</v>
      </c>
      <c r="E21" s="680">
        <f>SUM(E22:E27)</f>
        <v>445290</v>
      </c>
      <c r="F21" s="680">
        <f>SUM(F22:F27)</f>
        <v>203456</v>
      </c>
      <c r="G21" s="681">
        <f>SUM(G22:G27)</f>
        <v>0</v>
      </c>
      <c r="H21" s="867">
        <f t="shared" si="0"/>
        <v>0</v>
      </c>
      <c r="I21" s="146"/>
      <c r="J21" s="147"/>
      <c r="K21" s="130"/>
      <c r="L21" s="121"/>
      <c r="M21" s="488"/>
    </row>
    <row r="22" spans="2:13" ht="15" customHeight="1">
      <c r="B22" s="673">
        <v>714111</v>
      </c>
      <c r="C22" s="674" t="s">
        <v>206</v>
      </c>
      <c r="D22" s="675">
        <v>59240</v>
      </c>
      <c r="E22" s="675">
        <v>59240</v>
      </c>
      <c r="F22" s="675">
        <v>25859</v>
      </c>
      <c r="G22" s="678"/>
      <c r="H22" s="868">
        <f t="shared" si="0"/>
        <v>0</v>
      </c>
      <c r="I22" s="130"/>
      <c r="K22" s="130"/>
    </row>
    <row r="23" spans="2:13" ht="15" customHeight="1">
      <c r="B23" s="673">
        <v>714112</v>
      </c>
      <c r="C23" s="674" t="s">
        <v>207</v>
      </c>
      <c r="D23" s="677">
        <v>21270</v>
      </c>
      <c r="E23" s="677">
        <v>21270</v>
      </c>
      <c r="F23" s="677">
        <v>8304</v>
      </c>
      <c r="G23" s="676"/>
      <c r="H23" s="868">
        <f t="shared" si="0"/>
        <v>0</v>
      </c>
      <c r="I23" s="130"/>
      <c r="K23" s="130"/>
    </row>
    <row r="24" spans="2:13" ht="15" customHeight="1">
      <c r="B24" s="673">
        <v>714113</v>
      </c>
      <c r="C24" s="674" t="s">
        <v>208</v>
      </c>
      <c r="D24" s="675">
        <v>2880</v>
      </c>
      <c r="E24" s="675">
        <v>2880</v>
      </c>
      <c r="F24" s="675">
        <v>1355</v>
      </c>
      <c r="G24" s="676"/>
      <c r="H24" s="868">
        <f t="shared" si="0"/>
        <v>0</v>
      </c>
      <c r="I24" s="130"/>
      <c r="K24" s="130"/>
    </row>
    <row r="25" spans="2:13" ht="15" customHeight="1">
      <c r="B25" s="673">
        <v>714121</v>
      </c>
      <c r="C25" s="674" t="s">
        <v>209</v>
      </c>
      <c r="D25" s="677">
        <v>26410</v>
      </c>
      <c r="E25" s="677">
        <v>26410</v>
      </c>
      <c r="F25" s="677">
        <v>14163</v>
      </c>
      <c r="G25" s="676"/>
      <c r="H25" s="868">
        <f t="shared" si="0"/>
        <v>0</v>
      </c>
      <c r="I25" s="130"/>
      <c r="K25" s="130"/>
    </row>
    <row r="26" spans="2:13" ht="15" customHeight="1">
      <c r="B26" s="673">
        <v>714131</v>
      </c>
      <c r="C26" s="674" t="s">
        <v>210</v>
      </c>
      <c r="D26" s="677">
        <v>156910</v>
      </c>
      <c r="E26" s="677">
        <v>156910</v>
      </c>
      <c r="F26" s="677">
        <v>71289</v>
      </c>
      <c r="G26" s="676"/>
      <c r="H26" s="868">
        <f t="shared" si="0"/>
        <v>0</v>
      </c>
      <c r="I26" s="130"/>
      <c r="K26" s="130"/>
    </row>
    <row r="27" spans="2:13" ht="15" customHeight="1">
      <c r="B27" s="673">
        <v>714132</v>
      </c>
      <c r="C27" s="674" t="s">
        <v>211</v>
      </c>
      <c r="D27" s="677">
        <v>178580</v>
      </c>
      <c r="E27" s="677">
        <v>178580</v>
      </c>
      <c r="F27" s="677">
        <v>82486</v>
      </c>
      <c r="G27" s="676"/>
      <c r="H27" s="868">
        <f t="shared" si="0"/>
        <v>0</v>
      </c>
      <c r="I27" s="130"/>
      <c r="K27" s="130"/>
    </row>
    <row r="28" spans="2:13" s="86" customFormat="1" ht="25.5" customHeight="1">
      <c r="B28" s="662">
        <v>715000</v>
      </c>
      <c r="C28" s="666" t="s">
        <v>212</v>
      </c>
      <c r="D28" s="667">
        <f>D29+D34+D36</f>
        <v>6150</v>
      </c>
      <c r="E28" s="667">
        <f>E29+E34+E36</f>
        <v>6150</v>
      </c>
      <c r="F28" s="667">
        <f>F29+F34+F36</f>
        <v>3225</v>
      </c>
      <c r="G28" s="668">
        <f>G29+G34+G36</f>
        <v>0</v>
      </c>
      <c r="H28" s="866">
        <f t="shared" si="0"/>
        <v>0</v>
      </c>
      <c r="I28" s="146"/>
      <c r="J28" s="147"/>
      <c r="K28" s="130"/>
      <c r="L28" s="121"/>
      <c r="M28" s="488"/>
    </row>
    <row r="29" spans="2:13" s="86" customFormat="1" ht="26.25" customHeight="1">
      <c r="B29" s="669">
        <v>715100</v>
      </c>
      <c r="C29" s="682" t="s">
        <v>216</v>
      </c>
      <c r="D29" s="671">
        <f>SUM(D30:D33)</f>
        <v>4430</v>
      </c>
      <c r="E29" s="671">
        <f>SUM(E30:E33)</f>
        <v>4430</v>
      </c>
      <c r="F29" s="671">
        <f>SUM(F30:F33)</f>
        <v>2652</v>
      </c>
      <c r="G29" s="672">
        <f>SUM(G30:G33)</f>
        <v>0</v>
      </c>
      <c r="H29" s="867">
        <f t="shared" si="0"/>
        <v>0</v>
      </c>
      <c r="I29" s="146"/>
      <c r="J29" s="147"/>
      <c r="K29" s="130"/>
      <c r="L29" s="121"/>
      <c r="M29" s="488"/>
    </row>
    <row r="30" spans="2:13" ht="15" customHeight="1">
      <c r="B30" s="673">
        <v>715131</v>
      </c>
      <c r="C30" s="674" t="s">
        <v>213</v>
      </c>
      <c r="D30" s="675">
        <v>800</v>
      </c>
      <c r="E30" s="675">
        <v>800</v>
      </c>
      <c r="F30" s="675">
        <v>422</v>
      </c>
      <c r="G30" s="676"/>
      <c r="H30" s="868">
        <f t="shared" si="0"/>
        <v>0</v>
      </c>
      <c r="I30" s="130"/>
      <c r="K30" s="130"/>
    </row>
    <row r="31" spans="2:13" ht="15" customHeight="1">
      <c r="B31" s="673">
        <v>715132</v>
      </c>
      <c r="C31" s="674" t="s">
        <v>429</v>
      </c>
      <c r="D31" s="675">
        <v>10</v>
      </c>
      <c r="E31" s="675">
        <v>10</v>
      </c>
      <c r="F31" s="675">
        <v>0</v>
      </c>
      <c r="G31" s="676"/>
      <c r="H31" s="868">
        <f t="shared" si="0"/>
        <v>0</v>
      </c>
      <c r="I31" s="130"/>
      <c r="K31" s="130"/>
    </row>
    <row r="32" spans="2:13" ht="15" customHeight="1">
      <c r="B32" s="673">
        <v>715137</v>
      </c>
      <c r="C32" s="674" t="s">
        <v>214</v>
      </c>
      <c r="D32" s="675">
        <v>10</v>
      </c>
      <c r="E32" s="675">
        <v>10</v>
      </c>
      <c r="F32" s="675">
        <v>0</v>
      </c>
      <c r="G32" s="676"/>
      <c r="H32" s="868">
        <f t="shared" si="0"/>
        <v>0</v>
      </c>
      <c r="I32" s="130"/>
      <c r="K32" s="130"/>
    </row>
    <row r="33" spans="2:13" ht="15" customHeight="1">
      <c r="B33" s="673">
        <v>715141</v>
      </c>
      <c r="C33" s="674" t="s">
        <v>215</v>
      </c>
      <c r="D33" s="675">
        <v>3610</v>
      </c>
      <c r="E33" s="675">
        <v>3610</v>
      </c>
      <c r="F33" s="675">
        <v>2230</v>
      </c>
      <c r="G33" s="676"/>
      <c r="H33" s="868">
        <f t="shared" si="0"/>
        <v>0</v>
      </c>
      <c r="I33" s="130"/>
      <c r="K33" s="130"/>
    </row>
    <row r="34" spans="2:13" s="86" customFormat="1" ht="15" customHeight="1">
      <c r="B34" s="669">
        <v>715200</v>
      </c>
      <c r="C34" s="683" t="s">
        <v>217</v>
      </c>
      <c r="D34" s="671">
        <f>D35</f>
        <v>1450</v>
      </c>
      <c r="E34" s="671">
        <f>E35</f>
        <v>1450</v>
      </c>
      <c r="F34" s="671">
        <f>F35</f>
        <v>409</v>
      </c>
      <c r="G34" s="672">
        <f>G35</f>
        <v>0</v>
      </c>
      <c r="H34" s="867">
        <f t="shared" si="0"/>
        <v>0</v>
      </c>
      <c r="I34" s="146"/>
      <c r="J34" s="147"/>
      <c r="K34" s="130"/>
      <c r="L34" s="121"/>
      <c r="M34" s="488"/>
    </row>
    <row r="35" spans="2:13" ht="15" customHeight="1">
      <c r="B35" s="673">
        <v>715211</v>
      </c>
      <c r="C35" s="674" t="s">
        <v>218</v>
      </c>
      <c r="D35" s="675">
        <v>1450</v>
      </c>
      <c r="E35" s="675">
        <v>1450</v>
      </c>
      <c r="F35" s="675">
        <v>409</v>
      </c>
      <c r="G35" s="676"/>
      <c r="H35" s="868">
        <f t="shared" si="0"/>
        <v>0</v>
      </c>
      <c r="I35" s="130"/>
      <c r="K35" s="130"/>
    </row>
    <row r="36" spans="2:13" s="86" customFormat="1" ht="15" customHeight="1">
      <c r="B36" s="669">
        <v>715900</v>
      </c>
      <c r="C36" s="683" t="s">
        <v>219</v>
      </c>
      <c r="D36" s="671">
        <f>D37</f>
        <v>270</v>
      </c>
      <c r="E36" s="671">
        <f>E37</f>
        <v>270</v>
      </c>
      <c r="F36" s="671">
        <f>F37</f>
        <v>164</v>
      </c>
      <c r="G36" s="672">
        <f>G37</f>
        <v>0</v>
      </c>
      <c r="H36" s="867">
        <f t="shared" si="0"/>
        <v>0</v>
      </c>
      <c r="I36" s="146"/>
      <c r="J36" s="147"/>
      <c r="K36" s="130"/>
      <c r="L36" s="121"/>
      <c r="M36" s="488"/>
    </row>
    <row r="37" spans="2:13" ht="27" customHeight="1">
      <c r="B37" s="673">
        <v>715914</v>
      </c>
      <c r="C37" s="684" t="s">
        <v>220</v>
      </c>
      <c r="D37" s="677">
        <v>270</v>
      </c>
      <c r="E37" s="677">
        <v>270</v>
      </c>
      <c r="F37" s="677">
        <v>164</v>
      </c>
      <c r="G37" s="678"/>
      <c r="H37" s="868">
        <f t="shared" si="0"/>
        <v>0</v>
      </c>
      <c r="I37" s="130"/>
      <c r="K37" s="130"/>
    </row>
    <row r="38" spans="2:13" s="86" customFormat="1" ht="17.100000000000001" customHeight="1">
      <c r="B38" s="662">
        <v>716000</v>
      </c>
      <c r="C38" s="663" t="s">
        <v>156</v>
      </c>
      <c r="D38" s="667">
        <f>D39</f>
        <v>3589920</v>
      </c>
      <c r="E38" s="667">
        <f>E39</f>
        <v>3589920</v>
      </c>
      <c r="F38" s="667">
        <f>F39</f>
        <v>1965170</v>
      </c>
      <c r="G38" s="668">
        <f>G39</f>
        <v>0</v>
      </c>
      <c r="H38" s="866">
        <f t="shared" si="0"/>
        <v>0</v>
      </c>
      <c r="I38" s="146"/>
      <c r="J38" s="534"/>
      <c r="K38" s="130"/>
      <c r="L38" s="121"/>
      <c r="M38" s="488"/>
    </row>
    <row r="39" spans="2:13" s="86" customFormat="1" ht="15" customHeight="1">
      <c r="B39" s="669">
        <v>716100</v>
      </c>
      <c r="C39" s="683" t="s">
        <v>221</v>
      </c>
      <c r="D39" s="671">
        <f>SUM(D40:D46)</f>
        <v>3589920</v>
      </c>
      <c r="E39" s="671">
        <f>SUM(E40:E46)</f>
        <v>3589920</v>
      </c>
      <c r="F39" s="671">
        <f>SUM(F40:F46)</f>
        <v>1965170</v>
      </c>
      <c r="G39" s="672">
        <f>SUM(G40:G46)</f>
        <v>0</v>
      </c>
      <c r="H39" s="867">
        <f t="shared" si="0"/>
        <v>0</v>
      </c>
      <c r="I39" s="147"/>
      <c r="J39" s="530"/>
      <c r="K39" s="130"/>
      <c r="L39" s="121"/>
      <c r="M39" s="488"/>
    </row>
    <row r="40" spans="2:13" ht="15" customHeight="1">
      <c r="B40" s="673">
        <v>716111</v>
      </c>
      <c r="C40" s="674" t="s">
        <v>223</v>
      </c>
      <c r="D40" s="677">
        <v>2569620</v>
      </c>
      <c r="E40" s="677">
        <v>2569620</v>
      </c>
      <c r="F40" s="677">
        <v>1409024</v>
      </c>
      <c r="G40" s="678"/>
      <c r="H40" s="868">
        <f t="shared" si="0"/>
        <v>0</v>
      </c>
      <c r="I40" s="147"/>
      <c r="J40" s="530"/>
      <c r="K40" s="531"/>
      <c r="L40" s="121"/>
    </row>
    <row r="41" spans="2:13" ht="15" customHeight="1">
      <c r="B41" s="673">
        <v>716112</v>
      </c>
      <c r="C41" s="674" t="s">
        <v>224</v>
      </c>
      <c r="D41" s="677">
        <v>162950</v>
      </c>
      <c r="E41" s="677">
        <v>162950</v>
      </c>
      <c r="F41" s="677">
        <v>83699</v>
      </c>
      <c r="G41" s="678"/>
      <c r="H41" s="868">
        <f t="shared" si="0"/>
        <v>0</v>
      </c>
      <c r="I41" s="147"/>
      <c r="J41" s="530"/>
      <c r="K41" s="531"/>
      <c r="L41" s="121"/>
    </row>
    <row r="42" spans="2:13" ht="15" customHeight="1">
      <c r="B42" s="673">
        <v>716113</v>
      </c>
      <c r="C42" s="674" t="s">
        <v>225</v>
      </c>
      <c r="D42" s="677">
        <v>29290</v>
      </c>
      <c r="E42" s="677">
        <v>29290</v>
      </c>
      <c r="F42" s="677">
        <v>16248</v>
      </c>
      <c r="G42" s="678"/>
      <c r="H42" s="868">
        <f t="shared" si="0"/>
        <v>0</v>
      </c>
      <c r="I42" s="147"/>
      <c r="J42" s="530"/>
      <c r="K42" s="531"/>
      <c r="L42" s="121"/>
    </row>
    <row r="43" spans="2:13" ht="15" customHeight="1">
      <c r="B43" s="673">
        <v>716114</v>
      </c>
      <c r="C43" s="674" t="s">
        <v>226</v>
      </c>
      <c r="D43" s="677">
        <v>900</v>
      </c>
      <c r="E43" s="677">
        <v>900</v>
      </c>
      <c r="F43" s="677">
        <v>450</v>
      </c>
      <c r="G43" s="678"/>
      <c r="H43" s="868">
        <f t="shared" si="0"/>
        <v>0</v>
      </c>
      <c r="I43" s="147"/>
      <c r="J43" s="530"/>
      <c r="K43" s="531"/>
      <c r="L43" s="121"/>
    </row>
    <row r="44" spans="2:13" ht="25.5" customHeight="1">
      <c r="B44" s="673">
        <v>716115</v>
      </c>
      <c r="C44" s="684" t="s">
        <v>227</v>
      </c>
      <c r="D44" s="677">
        <v>361440</v>
      </c>
      <c r="E44" s="677">
        <v>361440</v>
      </c>
      <c r="F44" s="677">
        <v>175374</v>
      </c>
      <c r="G44" s="678"/>
      <c r="H44" s="868">
        <f t="shared" si="0"/>
        <v>0</v>
      </c>
      <c r="I44" s="147"/>
      <c r="J44" s="530"/>
      <c r="K44" s="531"/>
      <c r="L44" s="121"/>
    </row>
    <row r="45" spans="2:13" ht="15" customHeight="1">
      <c r="B45" s="673">
        <v>716116</v>
      </c>
      <c r="C45" s="674" t="s">
        <v>228</v>
      </c>
      <c r="D45" s="677">
        <v>238770</v>
      </c>
      <c r="E45" s="677">
        <v>238770</v>
      </c>
      <c r="F45" s="677">
        <v>123428</v>
      </c>
      <c r="G45" s="678"/>
      <c r="H45" s="868">
        <f t="shared" si="0"/>
        <v>0</v>
      </c>
      <c r="I45" s="147"/>
      <c r="J45" s="530"/>
      <c r="K45" s="531"/>
      <c r="L45" s="121"/>
    </row>
    <row r="46" spans="2:13" ht="15" customHeight="1">
      <c r="B46" s="673">
        <v>716117</v>
      </c>
      <c r="C46" s="674" t="s">
        <v>222</v>
      </c>
      <c r="D46" s="677">
        <v>226950</v>
      </c>
      <c r="E46" s="677">
        <v>226950</v>
      </c>
      <c r="F46" s="677">
        <v>156947</v>
      </c>
      <c r="G46" s="678"/>
      <c r="H46" s="868">
        <f t="shared" si="0"/>
        <v>0</v>
      </c>
      <c r="I46" s="147"/>
      <c r="J46" s="530"/>
      <c r="K46" s="531"/>
      <c r="L46" s="121"/>
    </row>
    <row r="47" spans="2:13" s="86" customFormat="1" ht="17.100000000000001" customHeight="1">
      <c r="B47" s="662">
        <v>717000</v>
      </c>
      <c r="C47" s="663" t="s">
        <v>157</v>
      </c>
      <c r="D47" s="667">
        <f>D48</f>
        <v>34813820</v>
      </c>
      <c r="E47" s="667">
        <f>E48</f>
        <v>34813820</v>
      </c>
      <c r="F47" s="667">
        <f>F48</f>
        <v>17554835</v>
      </c>
      <c r="G47" s="668">
        <f>G48</f>
        <v>0</v>
      </c>
      <c r="H47" s="866">
        <f t="shared" si="0"/>
        <v>0</v>
      </c>
      <c r="I47" s="146"/>
      <c r="J47" s="535"/>
      <c r="K47" s="130"/>
      <c r="L47" s="121"/>
      <c r="M47" s="488"/>
    </row>
    <row r="48" spans="2:13" s="86" customFormat="1" ht="15" customHeight="1">
      <c r="B48" s="669">
        <v>717100</v>
      </c>
      <c r="C48" s="683" t="s">
        <v>229</v>
      </c>
      <c r="D48" s="671">
        <f>D49+D52+D53</f>
        <v>34813820</v>
      </c>
      <c r="E48" s="671">
        <f>E49+E52+E53</f>
        <v>34813820</v>
      </c>
      <c r="F48" s="671">
        <f>F49+F52+F53</f>
        <v>17554835</v>
      </c>
      <c r="G48" s="672">
        <f>G49+G52+G53</f>
        <v>0</v>
      </c>
      <c r="H48" s="867">
        <f t="shared" si="0"/>
        <v>0</v>
      </c>
      <c r="I48" s="146"/>
      <c r="J48" s="535"/>
      <c r="K48" s="130"/>
      <c r="L48" s="121"/>
      <c r="M48" s="488"/>
    </row>
    <row r="49" spans="1:13" ht="15" customHeight="1">
      <c r="B49" s="673">
        <v>717114</v>
      </c>
      <c r="C49" s="674" t="s">
        <v>491</v>
      </c>
      <c r="D49" s="677">
        <f t="shared" ref="D49:E49" si="1">SUM(D50:D51)</f>
        <v>326030</v>
      </c>
      <c r="E49" s="677">
        <f t="shared" si="1"/>
        <v>326030</v>
      </c>
      <c r="F49" s="677">
        <f t="shared" ref="F49" si="2">SUM(F50:F51)</f>
        <v>148075</v>
      </c>
      <c r="G49" s="678">
        <f t="shared" ref="G49" si="3">SUM(G50:G51)</f>
        <v>0</v>
      </c>
      <c r="H49" s="868">
        <f t="shared" si="0"/>
        <v>0</v>
      </c>
      <c r="I49" s="130"/>
      <c r="J49" s="530"/>
      <c r="K49" s="130"/>
    </row>
    <row r="50" spans="1:13" ht="15" customHeight="1">
      <c r="B50" s="685"/>
      <c r="C50" s="686" t="s">
        <v>788</v>
      </c>
      <c r="D50" s="687">
        <v>0</v>
      </c>
      <c r="E50" s="687">
        <v>0</v>
      </c>
      <c r="F50" s="687">
        <v>0</v>
      </c>
      <c r="G50" s="688"/>
      <c r="H50" s="869" t="str">
        <f t="shared" si="0"/>
        <v/>
      </c>
      <c r="I50" s="130"/>
      <c r="J50" s="530"/>
      <c r="K50" s="130"/>
    </row>
    <row r="51" spans="1:13" ht="15" customHeight="1">
      <c r="B51" s="685"/>
      <c r="C51" s="686" t="s">
        <v>750</v>
      </c>
      <c r="D51" s="687">
        <v>326030</v>
      </c>
      <c r="E51" s="687">
        <v>326030</v>
      </c>
      <c r="F51" s="687">
        <v>148075</v>
      </c>
      <c r="G51" s="688"/>
      <c r="H51" s="869">
        <f t="shared" si="0"/>
        <v>0</v>
      </c>
      <c r="I51" s="130"/>
      <c r="J51" s="530"/>
      <c r="K51" s="130"/>
    </row>
    <row r="52" spans="1:13" ht="15" customHeight="1">
      <c r="B52" s="673">
        <v>717121</v>
      </c>
      <c r="C52" s="674" t="s">
        <v>230</v>
      </c>
      <c r="D52" s="677">
        <v>33515570</v>
      </c>
      <c r="E52" s="677">
        <v>33515570</v>
      </c>
      <c r="F52" s="677">
        <v>16916056</v>
      </c>
      <c r="G52" s="678"/>
      <c r="H52" s="868">
        <f t="shared" si="0"/>
        <v>0</v>
      </c>
      <c r="I52" s="130"/>
      <c r="J52" s="530"/>
      <c r="K52" s="130"/>
    </row>
    <row r="53" spans="1:13" ht="15" customHeight="1">
      <c r="B53" s="673">
        <v>717131</v>
      </c>
      <c r="C53" s="674" t="s">
        <v>231</v>
      </c>
      <c r="D53" s="677">
        <f t="shared" ref="D53:F53" si="4">D54+D55</f>
        <v>972220</v>
      </c>
      <c r="E53" s="677">
        <f t="shared" si="4"/>
        <v>972220</v>
      </c>
      <c r="F53" s="677">
        <f t="shared" si="4"/>
        <v>490704</v>
      </c>
      <c r="G53" s="678">
        <f t="shared" ref="G53" si="5">G54+G55</f>
        <v>0</v>
      </c>
      <c r="H53" s="868">
        <f t="shared" si="0"/>
        <v>0</v>
      </c>
      <c r="I53" s="130"/>
      <c r="J53" s="535"/>
      <c r="K53" s="130"/>
    </row>
    <row r="54" spans="1:13" ht="15" customHeight="1">
      <c r="B54" s="685"/>
      <c r="C54" s="686" t="s">
        <v>789</v>
      </c>
      <c r="D54" s="687">
        <v>0</v>
      </c>
      <c r="E54" s="687">
        <v>0</v>
      </c>
      <c r="F54" s="687">
        <v>0</v>
      </c>
      <c r="G54" s="688"/>
      <c r="H54" s="869" t="str">
        <f t="shared" si="0"/>
        <v/>
      </c>
      <c r="I54" s="130"/>
      <c r="J54" s="530"/>
      <c r="K54" s="130"/>
    </row>
    <row r="55" spans="1:13" ht="15" customHeight="1">
      <c r="B55" s="685"/>
      <c r="C55" s="686" t="s">
        <v>751</v>
      </c>
      <c r="D55" s="687">
        <v>972220</v>
      </c>
      <c r="E55" s="687">
        <v>972220</v>
      </c>
      <c r="F55" s="687">
        <v>490704</v>
      </c>
      <c r="G55" s="688"/>
      <c r="H55" s="869">
        <f t="shared" si="0"/>
        <v>0</v>
      </c>
      <c r="I55" s="130"/>
      <c r="J55" s="530"/>
      <c r="K55" s="130"/>
    </row>
    <row r="56" spans="1:13" s="86" customFormat="1" ht="17.100000000000001" customHeight="1">
      <c r="B56" s="662">
        <v>719000</v>
      </c>
      <c r="C56" s="663" t="s">
        <v>158</v>
      </c>
      <c r="D56" s="667">
        <f>D57</f>
        <v>30</v>
      </c>
      <c r="E56" s="667">
        <f>E57</f>
        <v>30</v>
      </c>
      <c r="F56" s="667">
        <f>F57</f>
        <v>10</v>
      </c>
      <c r="G56" s="668">
        <f>G57</f>
        <v>0</v>
      </c>
      <c r="H56" s="866">
        <f t="shared" si="0"/>
        <v>0</v>
      </c>
      <c r="I56" s="146"/>
      <c r="J56" s="536"/>
      <c r="K56" s="130"/>
      <c r="L56" s="121"/>
      <c r="M56" s="488"/>
    </row>
    <row r="57" spans="1:13" s="86" customFormat="1" ht="15" customHeight="1">
      <c r="B57" s="669">
        <v>719100</v>
      </c>
      <c r="C57" s="683" t="s">
        <v>232</v>
      </c>
      <c r="D57" s="671">
        <f>SUM(D58:D60)</f>
        <v>30</v>
      </c>
      <c r="E57" s="671">
        <f>SUM(E58:E60)</f>
        <v>30</v>
      </c>
      <c r="F57" s="671">
        <f>SUM(F58:F60)</f>
        <v>10</v>
      </c>
      <c r="G57" s="672">
        <f>SUM(G58:G60)</f>
        <v>0</v>
      </c>
      <c r="H57" s="867">
        <f t="shared" si="0"/>
        <v>0</v>
      </c>
      <c r="I57" s="146"/>
      <c r="J57" s="535"/>
      <c r="K57" s="130"/>
      <c r="L57" s="121"/>
      <c r="M57" s="488"/>
    </row>
    <row r="58" spans="1:13" ht="15" customHeight="1" thickBot="1">
      <c r="A58" s="102"/>
      <c r="B58" s="673">
        <v>719111</v>
      </c>
      <c r="C58" s="674" t="s">
        <v>232</v>
      </c>
      <c r="D58" s="675">
        <v>10</v>
      </c>
      <c r="E58" s="675">
        <v>10</v>
      </c>
      <c r="F58" s="675">
        <v>0</v>
      </c>
      <c r="G58" s="676"/>
      <c r="H58" s="868">
        <f t="shared" si="0"/>
        <v>0</v>
      </c>
      <c r="I58" s="130"/>
      <c r="J58" s="535"/>
      <c r="K58" s="130"/>
    </row>
    <row r="59" spans="1:13" ht="15" customHeight="1">
      <c r="B59" s="689">
        <v>719114</v>
      </c>
      <c r="C59" s="690" t="s">
        <v>233</v>
      </c>
      <c r="D59" s="691">
        <v>10</v>
      </c>
      <c r="E59" s="691">
        <v>10</v>
      </c>
      <c r="F59" s="691">
        <v>9</v>
      </c>
      <c r="G59" s="692"/>
      <c r="H59" s="870">
        <f t="shared" si="0"/>
        <v>0</v>
      </c>
      <c r="J59" s="535"/>
      <c r="K59" s="130"/>
    </row>
    <row r="60" spans="1:13" ht="25.5">
      <c r="B60" s="673">
        <v>719115</v>
      </c>
      <c r="C60" s="684" t="s">
        <v>234</v>
      </c>
      <c r="D60" s="677">
        <v>10</v>
      </c>
      <c r="E60" s="677">
        <v>10</v>
      </c>
      <c r="F60" s="677">
        <v>1</v>
      </c>
      <c r="G60" s="678"/>
      <c r="H60" s="871">
        <f t="shared" si="0"/>
        <v>0</v>
      </c>
      <c r="I60" s="148"/>
      <c r="J60" s="535"/>
      <c r="K60" s="130"/>
    </row>
    <row r="61" spans="1:13">
      <c r="B61" s="673"/>
      <c r="C61" s="693"/>
      <c r="D61" s="675"/>
      <c r="E61" s="675"/>
      <c r="F61" s="675"/>
      <c r="G61" s="676"/>
      <c r="H61" s="871" t="str">
        <f t="shared" si="0"/>
        <v/>
      </c>
      <c r="I61" s="148"/>
      <c r="J61" s="535"/>
      <c r="K61" s="130"/>
    </row>
    <row r="62" spans="1:13" ht="17.100000000000001" customHeight="1">
      <c r="B62" s="662">
        <v>720000</v>
      </c>
      <c r="C62" s="663" t="s">
        <v>153</v>
      </c>
      <c r="D62" s="664">
        <f>D63+D81+D169</f>
        <v>3741530</v>
      </c>
      <c r="E62" s="664">
        <f>E63+E81+E169</f>
        <v>3741530</v>
      </c>
      <c r="F62" s="664">
        <f>F63+F81+F169</f>
        <v>1790385</v>
      </c>
      <c r="G62" s="665">
        <f>G63+G81+G169</f>
        <v>0</v>
      </c>
      <c r="H62" s="865">
        <f t="shared" si="0"/>
        <v>0</v>
      </c>
      <c r="I62" s="149"/>
      <c r="J62" s="535"/>
      <c r="K62" s="130"/>
    </row>
    <row r="63" spans="1:13" ht="25.5">
      <c r="B63" s="662">
        <v>721000</v>
      </c>
      <c r="C63" s="694" t="s">
        <v>171</v>
      </c>
      <c r="D63" s="667">
        <f t="shared" ref="D63:E63" si="6">D64+D68+D72+D75+D77+D79</f>
        <v>64630</v>
      </c>
      <c r="E63" s="667">
        <f t="shared" si="6"/>
        <v>64630</v>
      </c>
      <c r="F63" s="667">
        <f t="shared" ref="F63" si="7">F64+F68+F72+F75+F77+F79</f>
        <v>14885</v>
      </c>
      <c r="G63" s="668">
        <f t="shared" ref="G63" si="8">G64+G68+G72+G75+G77+G79</f>
        <v>0</v>
      </c>
      <c r="H63" s="866">
        <f t="shared" si="0"/>
        <v>0</v>
      </c>
      <c r="J63" s="535"/>
      <c r="K63" s="130"/>
    </row>
    <row r="64" spans="1:13" ht="15" customHeight="1">
      <c r="B64" s="669">
        <v>721100</v>
      </c>
      <c r="C64" s="683" t="s">
        <v>235</v>
      </c>
      <c r="D64" s="671">
        <f t="shared" ref="D64:G64" si="9">SUM(D65:D67)</f>
        <v>50310</v>
      </c>
      <c r="E64" s="671">
        <f t="shared" ref="E64:F64" si="10">SUM(E65:E67)</f>
        <v>50310</v>
      </c>
      <c r="F64" s="671">
        <f t="shared" si="10"/>
        <v>9672</v>
      </c>
      <c r="G64" s="672">
        <f t="shared" si="9"/>
        <v>0</v>
      </c>
      <c r="H64" s="872">
        <f t="shared" si="0"/>
        <v>0</v>
      </c>
      <c r="J64" s="535"/>
      <c r="K64" s="130"/>
    </row>
    <row r="65" spans="2:12" ht="15" customHeight="1">
      <c r="B65" s="673">
        <v>721112</v>
      </c>
      <c r="C65" s="674" t="s">
        <v>236</v>
      </c>
      <c r="D65" s="677">
        <v>300</v>
      </c>
      <c r="E65" s="677">
        <v>300</v>
      </c>
      <c r="F65" s="677">
        <v>241</v>
      </c>
      <c r="G65" s="678"/>
      <c r="H65" s="871">
        <f t="shared" si="0"/>
        <v>0</v>
      </c>
      <c r="I65" s="355"/>
      <c r="J65" s="535"/>
      <c r="K65" s="130"/>
    </row>
    <row r="66" spans="2:12" ht="15" customHeight="1">
      <c r="B66" s="673">
        <v>721121</v>
      </c>
      <c r="C66" s="674" t="s">
        <v>604</v>
      </c>
      <c r="D66" s="677">
        <v>50000</v>
      </c>
      <c r="E66" s="677">
        <v>50000</v>
      </c>
      <c r="F66" s="677">
        <v>9431</v>
      </c>
      <c r="G66" s="678"/>
      <c r="H66" s="871">
        <f t="shared" si="0"/>
        <v>0</v>
      </c>
      <c r="I66" s="355"/>
      <c r="J66" s="535"/>
      <c r="K66" s="130"/>
    </row>
    <row r="67" spans="2:12" ht="15" customHeight="1">
      <c r="B67" s="673">
        <v>721123</v>
      </c>
      <c r="C67" s="674" t="s">
        <v>752</v>
      </c>
      <c r="D67" s="677">
        <v>10</v>
      </c>
      <c r="E67" s="677">
        <v>10</v>
      </c>
      <c r="F67" s="677">
        <v>0</v>
      </c>
      <c r="G67" s="678"/>
      <c r="H67" s="871">
        <f t="shared" si="0"/>
        <v>0</v>
      </c>
      <c r="I67" s="355"/>
      <c r="J67" s="535"/>
      <c r="K67" s="130"/>
    </row>
    <row r="68" spans="2:12" ht="15" customHeight="1">
      <c r="B68" s="669">
        <v>721200</v>
      </c>
      <c r="C68" s="683" t="s">
        <v>237</v>
      </c>
      <c r="D68" s="671">
        <f>SUM(D69:D71)</f>
        <v>14190</v>
      </c>
      <c r="E68" s="671">
        <f>SUM(E69:E71)</f>
        <v>14190</v>
      </c>
      <c r="F68" s="671">
        <f>SUM(F69:F71)</f>
        <v>5166</v>
      </c>
      <c r="G68" s="672">
        <f>SUM(G69:G71)</f>
        <v>0</v>
      </c>
      <c r="H68" s="872">
        <f t="shared" si="0"/>
        <v>0</v>
      </c>
      <c r="J68" s="535"/>
      <c r="K68" s="130"/>
    </row>
    <row r="69" spans="2:12" ht="15" customHeight="1">
      <c r="B69" s="673">
        <v>721211</v>
      </c>
      <c r="C69" s="674" t="s">
        <v>238</v>
      </c>
      <c r="D69" s="675">
        <v>420</v>
      </c>
      <c r="E69" s="675">
        <v>420</v>
      </c>
      <c r="F69" s="675">
        <v>174</v>
      </c>
      <c r="G69" s="676"/>
      <c r="H69" s="871">
        <f t="shared" ref="H69:H136" si="11">IF(E69=0,"",G69/E69*100)</f>
        <v>0</v>
      </c>
      <c r="J69" s="535"/>
      <c r="K69" s="130"/>
    </row>
    <row r="70" spans="2:12" ht="15" customHeight="1">
      <c r="B70" s="673">
        <v>721225</v>
      </c>
      <c r="C70" s="674" t="s">
        <v>476</v>
      </c>
      <c r="D70" s="677">
        <v>8010</v>
      </c>
      <c r="E70" s="677">
        <v>8010</v>
      </c>
      <c r="F70" s="677">
        <v>2116</v>
      </c>
      <c r="G70" s="678"/>
      <c r="H70" s="871">
        <f t="shared" si="11"/>
        <v>0</v>
      </c>
      <c r="J70" s="535"/>
      <c r="K70" s="130"/>
    </row>
    <row r="71" spans="2:12" ht="15" customHeight="1">
      <c r="B71" s="673">
        <v>721227</v>
      </c>
      <c r="C71" s="674" t="s">
        <v>492</v>
      </c>
      <c r="D71" s="677">
        <v>5760</v>
      </c>
      <c r="E71" s="677">
        <v>5760</v>
      </c>
      <c r="F71" s="677">
        <v>2876</v>
      </c>
      <c r="G71" s="678"/>
      <c r="H71" s="871">
        <f t="shared" si="11"/>
        <v>0</v>
      </c>
      <c r="J71" s="535"/>
      <c r="K71" s="130"/>
    </row>
    <row r="72" spans="2:12" ht="15" customHeight="1">
      <c r="B72" s="669">
        <v>721300</v>
      </c>
      <c r="C72" s="683" t="s">
        <v>239</v>
      </c>
      <c r="D72" s="671">
        <f>SUM(D73:D74)</f>
        <v>20</v>
      </c>
      <c r="E72" s="671">
        <f>SUM(E73:E74)</f>
        <v>20</v>
      </c>
      <c r="F72" s="671">
        <f>SUM(F73:F74)</f>
        <v>0</v>
      </c>
      <c r="G72" s="672">
        <f>SUM(G73:G74)</f>
        <v>0</v>
      </c>
      <c r="H72" s="872">
        <f t="shared" si="11"/>
        <v>0</v>
      </c>
      <c r="J72" s="535"/>
      <c r="K72" s="130"/>
    </row>
    <row r="73" spans="2:12" ht="15" customHeight="1">
      <c r="B73" s="673">
        <v>721311</v>
      </c>
      <c r="C73" s="674" t="s">
        <v>610</v>
      </c>
      <c r="D73" s="675">
        <v>10</v>
      </c>
      <c r="E73" s="675">
        <v>10</v>
      </c>
      <c r="F73" s="675">
        <v>0</v>
      </c>
      <c r="G73" s="676"/>
      <c r="H73" s="871">
        <f t="shared" si="11"/>
        <v>0</v>
      </c>
      <c r="J73" s="535"/>
      <c r="K73" s="130"/>
    </row>
    <row r="74" spans="2:12" ht="15" customHeight="1">
      <c r="B74" s="673">
        <v>721312</v>
      </c>
      <c r="C74" s="674" t="s">
        <v>240</v>
      </c>
      <c r="D74" s="675">
        <v>10</v>
      </c>
      <c r="E74" s="675">
        <v>10</v>
      </c>
      <c r="F74" s="675">
        <v>0</v>
      </c>
      <c r="G74" s="676"/>
      <c r="H74" s="871">
        <f t="shared" si="11"/>
        <v>0</v>
      </c>
      <c r="J74" s="535"/>
      <c r="K74" s="130"/>
    </row>
    <row r="75" spans="2:12" ht="15" customHeight="1">
      <c r="B75" s="669">
        <v>721500</v>
      </c>
      <c r="C75" s="683" t="s">
        <v>241</v>
      </c>
      <c r="D75" s="671">
        <f>D76</f>
        <v>100</v>
      </c>
      <c r="E75" s="671">
        <f>E76</f>
        <v>100</v>
      </c>
      <c r="F75" s="671">
        <f>F76</f>
        <v>47</v>
      </c>
      <c r="G75" s="672">
        <f>G76</f>
        <v>0</v>
      </c>
      <c r="H75" s="872">
        <f t="shared" si="11"/>
        <v>0</v>
      </c>
      <c r="J75" s="535"/>
      <c r="K75" s="130"/>
    </row>
    <row r="76" spans="2:12" ht="15" customHeight="1">
      <c r="B76" s="673">
        <v>721511</v>
      </c>
      <c r="C76" s="674" t="s">
        <v>241</v>
      </c>
      <c r="D76" s="675">
        <v>100</v>
      </c>
      <c r="E76" s="675">
        <v>100</v>
      </c>
      <c r="F76" s="675">
        <v>47</v>
      </c>
      <c r="G76" s="676"/>
      <c r="H76" s="871">
        <f t="shared" si="11"/>
        <v>0</v>
      </c>
      <c r="J76" s="535"/>
      <c r="K76" s="130"/>
    </row>
    <row r="77" spans="2:12" s="521" customFormat="1" ht="15" customHeight="1">
      <c r="B77" s="669">
        <v>721600</v>
      </c>
      <c r="C77" s="683" t="s">
        <v>784</v>
      </c>
      <c r="D77" s="671">
        <f>D78</f>
        <v>0</v>
      </c>
      <c r="E77" s="671">
        <f>E78</f>
        <v>0</v>
      </c>
      <c r="F77" s="671">
        <f>F78</f>
        <v>0</v>
      </c>
      <c r="G77" s="672">
        <f>G78</f>
        <v>0</v>
      </c>
      <c r="H77" s="872" t="str">
        <f t="shared" ref="H77:H78" si="12">IF(E77=0,"",G77/E77*100)</f>
        <v/>
      </c>
      <c r="I77" s="119"/>
      <c r="J77" s="535"/>
      <c r="K77" s="130"/>
      <c r="L77" s="119"/>
    </row>
    <row r="78" spans="2:12" s="521" customFormat="1" ht="15" customHeight="1">
      <c r="B78" s="673">
        <v>721613</v>
      </c>
      <c r="C78" s="674" t="s">
        <v>785</v>
      </c>
      <c r="D78" s="677">
        <v>0</v>
      </c>
      <c r="E78" s="677">
        <v>0</v>
      </c>
      <c r="F78" s="677">
        <v>0</v>
      </c>
      <c r="G78" s="678"/>
      <c r="H78" s="871" t="str">
        <f t="shared" si="12"/>
        <v/>
      </c>
      <c r="I78" s="119"/>
      <c r="J78" s="535"/>
      <c r="K78" s="130"/>
      <c r="L78" s="119"/>
    </row>
    <row r="79" spans="2:12" ht="15" customHeight="1">
      <c r="B79" s="669">
        <v>721700</v>
      </c>
      <c r="C79" s="683" t="s">
        <v>754</v>
      </c>
      <c r="D79" s="671">
        <f>D80</f>
        <v>10</v>
      </c>
      <c r="E79" s="671">
        <f>E80</f>
        <v>10</v>
      </c>
      <c r="F79" s="671">
        <f>F80</f>
        <v>0</v>
      </c>
      <c r="G79" s="672">
        <f>G80</f>
        <v>0</v>
      </c>
      <c r="H79" s="872">
        <f t="shared" si="11"/>
        <v>0</v>
      </c>
      <c r="J79" s="535"/>
      <c r="K79" s="130"/>
    </row>
    <row r="80" spans="2:12" ht="15" customHeight="1">
      <c r="B80" s="673">
        <v>721712</v>
      </c>
      <c r="C80" s="674" t="s">
        <v>755</v>
      </c>
      <c r="D80" s="675">
        <v>10</v>
      </c>
      <c r="E80" s="675">
        <v>10</v>
      </c>
      <c r="F80" s="675">
        <v>0</v>
      </c>
      <c r="G80" s="676"/>
      <c r="H80" s="871">
        <f t="shared" si="11"/>
        <v>0</v>
      </c>
      <c r="J80" s="535"/>
      <c r="K80" s="130"/>
    </row>
    <row r="81" spans="2:15" ht="15">
      <c r="B81" s="662">
        <v>722000</v>
      </c>
      <c r="C81" s="666" t="s">
        <v>304</v>
      </c>
      <c r="D81" s="664">
        <f>D82+D84+D86+D103+D155+D163</f>
        <v>2730740</v>
      </c>
      <c r="E81" s="664">
        <f>E82+E84+E86+E103+E155+E163</f>
        <v>2730740</v>
      </c>
      <c r="F81" s="664">
        <f>F82+F84+F86+F103+F155+F163</f>
        <v>1311380</v>
      </c>
      <c r="G81" s="665">
        <f>G82+G84+G86+G103+G155+G163</f>
        <v>0</v>
      </c>
      <c r="H81" s="866">
        <f t="shared" si="11"/>
        <v>0</v>
      </c>
      <c r="J81" s="535"/>
      <c r="K81" s="130"/>
    </row>
    <row r="82" spans="2:15" ht="15" customHeight="1">
      <c r="B82" s="669">
        <v>722100</v>
      </c>
      <c r="C82" s="695" t="s">
        <v>242</v>
      </c>
      <c r="D82" s="680">
        <f>D83</f>
        <v>135920</v>
      </c>
      <c r="E82" s="680">
        <f>E83</f>
        <v>135920</v>
      </c>
      <c r="F82" s="680">
        <f>F83</f>
        <v>58738</v>
      </c>
      <c r="G82" s="681">
        <f>G83</f>
        <v>0</v>
      </c>
      <c r="H82" s="872">
        <f t="shared" si="11"/>
        <v>0</v>
      </c>
      <c r="J82" s="535"/>
      <c r="K82" s="130"/>
    </row>
    <row r="83" spans="2:15" ht="15" customHeight="1">
      <c r="B83" s="673">
        <v>722121</v>
      </c>
      <c r="C83" s="696" t="s">
        <v>243</v>
      </c>
      <c r="D83" s="677">
        <v>135920</v>
      </c>
      <c r="E83" s="677">
        <v>135920</v>
      </c>
      <c r="F83" s="677">
        <v>58738</v>
      </c>
      <c r="G83" s="678"/>
      <c r="H83" s="871">
        <f t="shared" si="11"/>
        <v>0</v>
      </c>
      <c r="J83" s="535"/>
      <c r="K83" s="130"/>
    </row>
    <row r="84" spans="2:15" ht="15" customHeight="1">
      <c r="B84" s="669">
        <v>722200</v>
      </c>
      <c r="C84" s="695" t="s">
        <v>244</v>
      </c>
      <c r="D84" s="680">
        <f>D85</f>
        <v>464120</v>
      </c>
      <c r="E84" s="680">
        <f>E85</f>
        <v>464120</v>
      </c>
      <c r="F84" s="680">
        <f>F85</f>
        <v>204690</v>
      </c>
      <c r="G84" s="681">
        <f>G85</f>
        <v>0</v>
      </c>
      <c r="H84" s="872">
        <f t="shared" si="11"/>
        <v>0</v>
      </c>
      <c r="J84" s="535"/>
      <c r="K84" s="130"/>
      <c r="L84" s="355"/>
    </row>
    <row r="85" spans="2:15" ht="15" customHeight="1">
      <c r="B85" s="673">
        <v>722221</v>
      </c>
      <c r="C85" s="696" t="s">
        <v>245</v>
      </c>
      <c r="D85" s="677">
        <v>464120</v>
      </c>
      <c r="E85" s="677">
        <v>464120</v>
      </c>
      <c r="F85" s="677">
        <v>204690</v>
      </c>
      <c r="G85" s="678"/>
      <c r="H85" s="871">
        <f t="shared" si="11"/>
        <v>0</v>
      </c>
      <c r="J85" s="535"/>
      <c r="K85" s="130"/>
    </row>
    <row r="86" spans="2:15" ht="15" customHeight="1">
      <c r="B86" s="669">
        <v>722400</v>
      </c>
      <c r="C86" s="695" t="s">
        <v>246</v>
      </c>
      <c r="D86" s="680">
        <f>D87+D94+D97</f>
        <v>435940</v>
      </c>
      <c r="E86" s="680">
        <f>E87+E94+E97</f>
        <v>435940</v>
      </c>
      <c r="F86" s="680">
        <f>F87+F94+F97</f>
        <v>360582</v>
      </c>
      <c r="G86" s="681">
        <f>G87+G94+G97</f>
        <v>0</v>
      </c>
      <c r="H86" s="872">
        <f t="shared" si="11"/>
        <v>0</v>
      </c>
      <c r="J86" s="535"/>
      <c r="K86" s="130"/>
      <c r="O86" s="57"/>
    </row>
    <row r="87" spans="2:15" ht="15" customHeight="1">
      <c r="B87" s="697">
        <v>722420</v>
      </c>
      <c r="C87" s="698" t="s">
        <v>247</v>
      </c>
      <c r="D87" s="699">
        <f>D88+D89+D92+D93</f>
        <v>316200</v>
      </c>
      <c r="E87" s="699">
        <f>E88+E89+E92+E93</f>
        <v>316200</v>
      </c>
      <c r="F87" s="699">
        <f>F88+F89+F92+F93</f>
        <v>254668</v>
      </c>
      <c r="G87" s="700">
        <f>G88+G89+G92+G93</f>
        <v>0</v>
      </c>
      <c r="H87" s="872">
        <f t="shared" si="11"/>
        <v>0</v>
      </c>
      <c r="J87" s="535"/>
      <c r="K87" s="130"/>
    </row>
    <row r="88" spans="2:15" ht="15" customHeight="1">
      <c r="B88" s="673">
        <v>722421</v>
      </c>
      <c r="C88" s="696" t="s">
        <v>247</v>
      </c>
      <c r="D88" s="677">
        <v>820</v>
      </c>
      <c r="E88" s="677">
        <v>820</v>
      </c>
      <c r="F88" s="677">
        <v>0</v>
      </c>
      <c r="G88" s="678"/>
      <c r="H88" s="871">
        <f t="shared" si="11"/>
        <v>0</v>
      </c>
      <c r="J88" s="535"/>
      <c r="K88" s="130"/>
    </row>
    <row r="89" spans="2:15" ht="15" customHeight="1">
      <c r="B89" s="673">
        <v>722422</v>
      </c>
      <c r="C89" s="696" t="s">
        <v>311</v>
      </c>
      <c r="D89" s="677">
        <f t="shared" ref="D89:G89" si="13">SUM(D90:D91)</f>
        <v>300000</v>
      </c>
      <c r="E89" s="677">
        <f t="shared" ref="E89:F89" si="14">SUM(E90:E91)</f>
        <v>300000</v>
      </c>
      <c r="F89" s="677">
        <f t="shared" si="14"/>
        <v>246620</v>
      </c>
      <c r="G89" s="678">
        <f t="shared" si="13"/>
        <v>0</v>
      </c>
      <c r="H89" s="871">
        <f t="shared" si="11"/>
        <v>0</v>
      </c>
      <c r="J89" s="535"/>
      <c r="K89" s="130"/>
    </row>
    <row r="90" spans="2:15" s="468" customFormat="1" ht="15" customHeight="1">
      <c r="B90" s="685"/>
      <c r="C90" s="701" t="s">
        <v>790</v>
      </c>
      <c r="D90" s="687">
        <v>0</v>
      </c>
      <c r="E90" s="687">
        <v>0</v>
      </c>
      <c r="F90" s="687">
        <v>0</v>
      </c>
      <c r="G90" s="688"/>
      <c r="H90" s="873" t="str">
        <f t="shared" si="11"/>
        <v/>
      </c>
      <c r="I90" s="469"/>
      <c r="J90" s="537"/>
      <c r="K90" s="470"/>
      <c r="L90" s="469"/>
    </row>
    <row r="91" spans="2:15" s="468" customFormat="1" ht="15" customHeight="1">
      <c r="B91" s="685"/>
      <c r="C91" s="701" t="s">
        <v>753</v>
      </c>
      <c r="D91" s="687">
        <v>300000</v>
      </c>
      <c r="E91" s="687">
        <v>300000</v>
      </c>
      <c r="F91" s="687">
        <v>246620</v>
      </c>
      <c r="G91" s="688"/>
      <c r="H91" s="873">
        <f t="shared" si="11"/>
        <v>0</v>
      </c>
      <c r="I91" s="469"/>
      <c r="J91" s="537"/>
      <c r="K91" s="470"/>
      <c r="L91" s="469"/>
    </row>
    <row r="92" spans="2:15" ht="15" customHeight="1">
      <c r="B92" s="673">
        <v>722424</v>
      </c>
      <c r="C92" s="696" t="s">
        <v>250</v>
      </c>
      <c r="D92" s="677">
        <v>8280</v>
      </c>
      <c r="E92" s="677">
        <v>8280</v>
      </c>
      <c r="F92" s="677">
        <v>3748</v>
      </c>
      <c r="G92" s="678"/>
      <c r="H92" s="871">
        <f t="shared" si="11"/>
        <v>0</v>
      </c>
      <c r="J92" s="535"/>
      <c r="K92" s="130"/>
    </row>
    <row r="93" spans="2:15" ht="15" customHeight="1">
      <c r="B93" s="673">
        <v>722429</v>
      </c>
      <c r="C93" s="696" t="s">
        <v>248</v>
      </c>
      <c r="D93" s="677">
        <v>7100</v>
      </c>
      <c r="E93" s="677">
        <v>7100</v>
      </c>
      <c r="F93" s="677">
        <v>4300</v>
      </c>
      <c r="G93" s="678"/>
      <c r="H93" s="871">
        <f t="shared" si="11"/>
        <v>0</v>
      </c>
      <c r="J93" s="535"/>
      <c r="K93" s="130"/>
    </row>
    <row r="94" spans="2:15" ht="15" customHeight="1">
      <c r="B94" s="697">
        <v>722450</v>
      </c>
      <c r="C94" s="698" t="s">
        <v>249</v>
      </c>
      <c r="D94" s="699">
        <f>SUM(D95:D96)</f>
        <v>8180</v>
      </c>
      <c r="E94" s="699">
        <f>SUM(E95:E96)</f>
        <v>8180</v>
      </c>
      <c r="F94" s="699">
        <f>SUM(F95:F96)</f>
        <v>6630</v>
      </c>
      <c r="G94" s="700">
        <f>SUM(G95:G96)</f>
        <v>0</v>
      </c>
      <c r="H94" s="872">
        <f t="shared" si="11"/>
        <v>0</v>
      </c>
      <c r="J94" s="535"/>
      <c r="K94" s="130"/>
    </row>
    <row r="95" spans="2:15" ht="15" customHeight="1">
      <c r="B95" s="673">
        <v>722451</v>
      </c>
      <c r="C95" s="696" t="s">
        <v>251</v>
      </c>
      <c r="D95" s="677">
        <v>8160</v>
      </c>
      <c r="E95" s="677">
        <v>8160</v>
      </c>
      <c r="F95" s="677">
        <v>6630</v>
      </c>
      <c r="G95" s="678"/>
      <c r="H95" s="871">
        <f t="shared" si="11"/>
        <v>0</v>
      </c>
      <c r="J95" s="535"/>
      <c r="K95" s="130"/>
    </row>
    <row r="96" spans="2:15" ht="15" customHeight="1">
      <c r="B96" s="673">
        <v>722454</v>
      </c>
      <c r="C96" s="696" t="s">
        <v>252</v>
      </c>
      <c r="D96" s="677">
        <v>20</v>
      </c>
      <c r="E96" s="677">
        <v>20</v>
      </c>
      <c r="F96" s="677">
        <v>0</v>
      </c>
      <c r="G96" s="678"/>
      <c r="H96" s="871">
        <f t="shared" si="11"/>
        <v>0</v>
      </c>
      <c r="J96" s="535"/>
      <c r="K96" s="130"/>
    </row>
    <row r="97" spans="2:12" ht="25.5">
      <c r="B97" s="697">
        <v>722470</v>
      </c>
      <c r="C97" s="702" t="s">
        <v>305</v>
      </c>
      <c r="D97" s="699">
        <f>D98+D101+D102</f>
        <v>111560</v>
      </c>
      <c r="E97" s="699">
        <f>E98+E101+E102</f>
        <v>111560</v>
      </c>
      <c r="F97" s="699">
        <f>F98+F101+F102</f>
        <v>99284</v>
      </c>
      <c r="G97" s="700">
        <f>G98+G101+G102</f>
        <v>0</v>
      </c>
      <c r="H97" s="872">
        <f t="shared" si="11"/>
        <v>0</v>
      </c>
      <c r="J97" s="535"/>
      <c r="K97" s="130"/>
    </row>
    <row r="98" spans="2:12" ht="15" customHeight="1">
      <c r="B98" s="673">
        <v>722471</v>
      </c>
      <c r="C98" s="696" t="s">
        <v>253</v>
      </c>
      <c r="D98" s="677">
        <f t="shared" ref="D98:G98" si="15">SUM(D99:D100)</f>
        <v>71960</v>
      </c>
      <c r="E98" s="677">
        <f t="shared" ref="E98:F98" si="16">SUM(E99:E100)</f>
        <v>71960</v>
      </c>
      <c r="F98" s="677">
        <f t="shared" si="16"/>
        <v>68438</v>
      </c>
      <c r="G98" s="678">
        <f t="shared" si="15"/>
        <v>0</v>
      </c>
      <c r="H98" s="871">
        <f t="shared" si="11"/>
        <v>0</v>
      </c>
      <c r="J98" s="535"/>
      <c r="K98" s="130"/>
    </row>
    <row r="99" spans="2:12" s="468" customFormat="1" ht="15" customHeight="1">
      <c r="B99" s="685"/>
      <c r="C99" s="701" t="s">
        <v>791</v>
      </c>
      <c r="D99" s="687">
        <v>0</v>
      </c>
      <c r="E99" s="687">
        <v>0</v>
      </c>
      <c r="F99" s="687">
        <v>0</v>
      </c>
      <c r="G99" s="688"/>
      <c r="H99" s="873" t="str">
        <f t="shared" si="11"/>
        <v/>
      </c>
      <c r="I99" s="469"/>
      <c r="J99" s="537"/>
      <c r="K99" s="470"/>
      <c r="L99" s="469"/>
    </row>
    <row r="100" spans="2:12" s="468" customFormat="1" ht="15" customHeight="1">
      <c r="B100" s="685"/>
      <c r="C100" s="701" t="s">
        <v>753</v>
      </c>
      <c r="D100" s="687">
        <v>71960</v>
      </c>
      <c r="E100" s="687">
        <v>71960</v>
      </c>
      <c r="F100" s="687">
        <v>68438</v>
      </c>
      <c r="G100" s="688"/>
      <c r="H100" s="873">
        <f t="shared" si="11"/>
        <v>0</v>
      </c>
      <c r="I100" s="469"/>
      <c r="J100" s="537"/>
      <c r="K100" s="470"/>
      <c r="L100" s="469"/>
    </row>
    <row r="101" spans="2:12" ht="25.5">
      <c r="B101" s="673">
        <v>722472</v>
      </c>
      <c r="C101" s="703" t="s">
        <v>254</v>
      </c>
      <c r="D101" s="677">
        <v>28320</v>
      </c>
      <c r="E101" s="677">
        <v>28320</v>
      </c>
      <c r="F101" s="677">
        <v>19640</v>
      </c>
      <c r="G101" s="678"/>
      <c r="H101" s="871">
        <f t="shared" si="11"/>
        <v>0</v>
      </c>
      <c r="J101" s="535"/>
      <c r="K101" s="130"/>
    </row>
    <row r="102" spans="2:12" ht="17.100000000000001" customHeight="1">
      <c r="B102" s="673">
        <v>722479</v>
      </c>
      <c r="C102" s="703" t="s">
        <v>477</v>
      </c>
      <c r="D102" s="677">
        <v>11280</v>
      </c>
      <c r="E102" s="677">
        <v>11280</v>
      </c>
      <c r="F102" s="677">
        <v>11206</v>
      </c>
      <c r="G102" s="678"/>
      <c r="H102" s="883">
        <f t="shared" si="11"/>
        <v>0</v>
      </c>
      <c r="J102" s="535"/>
      <c r="K102" s="130"/>
    </row>
    <row r="103" spans="2:12" ht="17.100000000000001" customHeight="1">
      <c r="B103" s="669">
        <v>722500</v>
      </c>
      <c r="C103" s="695" t="s">
        <v>483</v>
      </c>
      <c r="D103" s="680">
        <f>D104+D109+D123+D128+D130+D140</f>
        <v>1240270</v>
      </c>
      <c r="E103" s="680">
        <f>E104+E109+E123+E128+E130+E140</f>
        <v>1240270</v>
      </c>
      <c r="F103" s="680">
        <f>F104+F109+F123+F128+F130+F140</f>
        <v>451197</v>
      </c>
      <c r="G103" s="681">
        <f>G104+G109+G123+G128+G130+G140</f>
        <v>0</v>
      </c>
      <c r="H103" s="872">
        <f t="shared" si="11"/>
        <v>0</v>
      </c>
      <c r="J103" s="535"/>
      <c r="K103" s="130"/>
    </row>
    <row r="104" spans="2:12" ht="27" customHeight="1">
      <c r="B104" s="697">
        <v>722510</v>
      </c>
      <c r="C104" s="704" t="s">
        <v>306</v>
      </c>
      <c r="D104" s="699">
        <f t="shared" ref="D104:G104" si="17">SUM(D105:D108)</f>
        <v>10420</v>
      </c>
      <c r="E104" s="699">
        <f t="shared" ref="E104:F104" si="18">SUM(E105:E108)</f>
        <v>10420</v>
      </c>
      <c r="F104" s="699">
        <f t="shared" si="18"/>
        <v>6440</v>
      </c>
      <c r="G104" s="700">
        <f t="shared" si="17"/>
        <v>0</v>
      </c>
      <c r="H104" s="872">
        <f t="shared" si="11"/>
        <v>0</v>
      </c>
      <c r="J104" s="535"/>
      <c r="K104" s="130"/>
    </row>
    <row r="105" spans="2:12" ht="25.5">
      <c r="B105" s="673">
        <v>722511</v>
      </c>
      <c r="C105" s="705" t="s">
        <v>493</v>
      </c>
      <c r="D105" s="677">
        <v>30</v>
      </c>
      <c r="E105" s="677">
        <v>30</v>
      </c>
      <c r="F105" s="677">
        <v>16</v>
      </c>
      <c r="G105" s="678"/>
      <c r="H105" s="871">
        <f t="shared" si="11"/>
        <v>0</v>
      </c>
      <c r="J105" s="535"/>
      <c r="K105" s="130"/>
    </row>
    <row r="106" spans="2:12" ht="25.5">
      <c r="B106" s="673">
        <v>722514</v>
      </c>
      <c r="C106" s="705" t="s">
        <v>269</v>
      </c>
      <c r="D106" s="677">
        <v>1680</v>
      </c>
      <c r="E106" s="677">
        <v>1680</v>
      </c>
      <c r="F106" s="677">
        <v>704</v>
      </c>
      <c r="G106" s="678"/>
      <c r="H106" s="871">
        <f t="shared" si="11"/>
        <v>0</v>
      </c>
      <c r="J106" s="535"/>
      <c r="K106" s="130"/>
    </row>
    <row r="107" spans="2:12" ht="15" customHeight="1">
      <c r="B107" s="673">
        <v>722515</v>
      </c>
      <c r="C107" s="706" t="s">
        <v>255</v>
      </c>
      <c r="D107" s="677">
        <v>8700</v>
      </c>
      <c r="E107" s="677">
        <v>8700</v>
      </c>
      <c r="F107" s="677">
        <v>5720</v>
      </c>
      <c r="G107" s="678"/>
      <c r="H107" s="871">
        <f t="shared" si="11"/>
        <v>0</v>
      </c>
      <c r="J107" s="535"/>
      <c r="K107" s="130"/>
    </row>
    <row r="108" spans="2:12" ht="15" customHeight="1">
      <c r="B108" s="673">
        <v>722516</v>
      </c>
      <c r="C108" s="706" t="s">
        <v>256</v>
      </c>
      <c r="D108" s="677">
        <v>10</v>
      </c>
      <c r="E108" s="677">
        <v>10</v>
      </c>
      <c r="F108" s="677">
        <v>0</v>
      </c>
      <c r="G108" s="678"/>
      <c r="H108" s="871">
        <f t="shared" si="11"/>
        <v>0</v>
      </c>
      <c r="J108" s="535"/>
      <c r="K108" s="130"/>
    </row>
    <row r="109" spans="2:12" ht="15" customHeight="1">
      <c r="B109" s="697">
        <v>722520</v>
      </c>
      <c r="C109" s="707" t="s">
        <v>257</v>
      </c>
      <c r="D109" s="699">
        <f>D110+D113+D114+D115+D116+D117+D118+D121+D122</f>
        <v>381890</v>
      </c>
      <c r="E109" s="699">
        <f>E110+E113+E114+E115+E116+E117+E118+E121+E122</f>
        <v>381890</v>
      </c>
      <c r="F109" s="699">
        <f>F110+F113+F114+F115+F116+F117+F118+F121+F122</f>
        <v>120213</v>
      </c>
      <c r="G109" s="700">
        <f t="shared" ref="G109" si="19">G110+G113+G114+G115+G116+G117+G118+G121+G122</f>
        <v>0</v>
      </c>
      <c r="H109" s="872">
        <f t="shared" si="11"/>
        <v>0</v>
      </c>
      <c r="J109" s="535"/>
      <c r="K109" s="130"/>
    </row>
    <row r="110" spans="2:12" ht="25.5">
      <c r="B110" s="673">
        <v>722521</v>
      </c>
      <c r="C110" s="705" t="s">
        <v>270</v>
      </c>
      <c r="D110" s="677">
        <f t="shared" ref="D110:E110" si="20">D111+D112</f>
        <v>148490</v>
      </c>
      <c r="E110" s="677">
        <f t="shared" si="20"/>
        <v>148490</v>
      </c>
      <c r="F110" s="677">
        <f t="shared" ref="F110" si="21">F111+F112</f>
        <v>47886</v>
      </c>
      <c r="G110" s="678">
        <f t="shared" ref="G110" si="22">G111+G112</f>
        <v>0</v>
      </c>
      <c r="H110" s="871">
        <f t="shared" si="11"/>
        <v>0</v>
      </c>
      <c r="J110" s="535"/>
      <c r="K110" s="130"/>
    </row>
    <row r="111" spans="2:12" s="468" customFormat="1" ht="15" customHeight="1">
      <c r="B111" s="685"/>
      <c r="C111" s="701" t="s">
        <v>792</v>
      </c>
      <c r="D111" s="687">
        <v>52360</v>
      </c>
      <c r="E111" s="687">
        <v>52360</v>
      </c>
      <c r="F111" s="687">
        <v>0</v>
      </c>
      <c r="G111" s="688"/>
      <c r="H111" s="873">
        <f t="shared" si="11"/>
        <v>0</v>
      </c>
      <c r="I111" s="469"/>
      <c r="J111" s="537"/>
      <c r="K111" s="470"/>
      <c r="L111" s="469"/>
    </row>
    <row r="112" spans="2:12" s="468" customFormat="1" ht="15" customHeight="1">
      <c r="B112" s="685"/>
      <c r="C112" s="701" t="s">
        <v>603</v>
      </c>
      <c r="D112" s="687">
        <v>96130</v>
      </c>
      <c r="E112" s="687">
        <v>96130</v>
      </c>
      <c r="F112" s="687">
        <v>47886</v>
      </c>
      <c r="G112" s="688"/>
      <c r="H112" s="873">
        <f t="shared" si="11"/>
        <v>0</v>
      </c>
      <c r="I112" s="469"/>
      <c r="J112" s="537"/>
      <c r="K112" s="470"/>
      <c r="L112" s="469"/>
    </row>
    <row r="113" spans="2:12" ht="25.5" customHeight="1">
      <c r="B113" s="689">
        <v>722522</v>
      </c>
      <c r="C113" s="708" t="s">
        <v>271</v>
      </c>
      <c r="D113" s="691">
        <v>24990</v>
      </c>
      <c r="E113" s="691">
        <v>24990</v>
      </c>
      <c r="F113" s="691">
        <v>12197</v>
      </c>
      <c r="G113" s="692"/>
      <c r="H113" s="874">
        <f t="shared" si="11"/>
        <v>0</v>
      </c>
      <c r="J113" s="535"/>
      <c r="K113" s="130"/>
    </row>
    <row r="114" spans="2:12" ht="25.5">
      <c r="B114" s="673">
        <v>722523</v>
      </c>
      <c r="C114" s="705" t="s">
        <v>272</v>
      </c>
      <c r="D114" s="677">
        <v>5020</v>
      </c>
      <c r="E114" s="677">
        <v>5020</v>
      </c>
      <c r="F114" s="677">
        <v>2637</v>
      </c>
      <c r="G114" s="678"/>
      <c r="H114" s="868">
        <f t="shared" si="11"/>
        <v>0</v>
      </c>
      <c r="J114" s="535"/>
      <c r="K114" s="130"/>
    </row>
    <row r="115" spans="2:12" ht="27" customHeight="1">
      <c r="B115" s="673">
        <v>722524</v>
      </c>
      <c r="C115" s="705" t="s">
        <v>480</v>
      </c>
      <c r="D115" s="677">
        <v>20</v>
      </c>
      <c r="E115" s="677">
        <v>20</v>
      </c>
      <c r="F115" s="677">
        <v>11</v>
      </c>
      <c r="G115" s="678"/>
      <c r="H115" s="868">
        <f t="shared" si="11"/>
        <v>0</v>
      </c>
      <c r="J115" s="535"/>
      <c r="K115" s="130"/>
    </row>
    <row r="116" spans="2:12" ht="25.5">
      <c r="B116" s="673">
        <v>722525</v>
      </c>
      <c r="C116" s="705" t="s">
        <v>479</v>
      </c>
      <c r="D116" s="677">
        <v>160</v>
      </c>
      <c r="E116" s="677">
        <v>160</v>
      </c>
      <c r="F116" s="677">
        <v>82</v>
      </c>
      <c r="G116" s="678"/>
      <c r="H116" s="868">
        <f t="shared" si="11"/>
        <v>0</v>
      </c>
      <c r="J116" s="535"/>
      <c r="K116" s="130"/>
    </row>
    <row r="117" spans="2:12" ht="25.5">
      <c r="B117" s="673">
        <v>722526</v>
      </c>
      <c r="C117" s="705" t="s">
        <v>482</v>
      </c>
      <c r="D117" s="677">
        <v>10</v>
      </c>
      <c r="E117" s="677">
        <v>10</v>
      </c>
      <c r="F117" s="677">
        <v>0</v>
      </c>
      <c r="G117" s="678"/>
      <c r="H117" s="868">
        <f t="shared" si="11"/>
        <v>0</v>
      </c>
      <c r="J117" s="535"/>
      <c r="K117" s="130"/>
    </row>
    <row r="118" spans="2:12" ht="15" customHeight="1">
      <c r="B118" s="673">
        <v>722527</v>
      </c>
      <c r="C118" s="706" t="s">
        <v>430</v>
      </c>
      <c r="D118" s="677">
        <f>D119+D120</f>
        <v>93180</v>
      </c>
      <c r="E118" s="677">
        <f>E119+E120</f>
        <v>93180</v>
      </c>
      <c r="F118" s="677">
        <f>F119+F120</f>
        <v>3</v>
      </c>
      <c r="G118" s="678">
        <f t="shared" ref="G118" si="23">G119+G120</f>
        <v>0</v>
      </c>
      <c r="H118" s="868">
        <f t="shared" si="11"/>
        <v>0</v>
      </c>
      <c r="I118" s="882"/>
      <c r="J118" s="535"/>
      <c r="K118" s="130"/>
    </row>
    <row r="119" spans="2:12" s="897" customFormat="1" ht="15" customHeight="1">
      <c r="B119" s="673"/>
      <c r="C119" s="701" t="s">
        <v>792</v>
      </c>
      <c r="D119" s="687">
        <v>46010</v>
      </c>
      <c r="E119" s="687">
        <v>46010</v>
      </c>
      <c r="F119" s="687">
        <v>0</v>
      </c>
      <c r="G119" s="688"/>
      <c r="H119" s="868">
        <f t="shared" ref="H119" si="24">IF(E119=0,"",G119/E119*100)</f>
        <v>0</v>
      </c>
      <c r="I119" s="882"/>
      <c r="J119" s="535"/>
      <c r="K119" s="130"/>
      <c r="L119" s="119"/>
    </row>
    <row r="120" spans="2:12" s="897" customFormat="1" ht="15" customHeight="1">
      <c r="B120" s="673"/>
      <c r="C120" s="701" t="s">
        <v>603</v>
      </c>
      <c r="D120" s="687">
        <v>47170</v>
      </c>
      <c r="E120" s="687">
        <v>47170</v>
      </c>
      <c r="F120" s="687">
        <v>3</v>
      </c>
      <c r="G120" s="688"/>
      <c r="H120" s="868">
        <f t="shared" ref="H120" si="25">IF(E120=0,"",G120/E120*100)</f>
        <v>0</v>
      </c>
      <c r="I120" s="882"/>
      <c r="J120" s="535"/>
      <c r="K120" s="130"/>
      <c r="L120" s="119"/>
    </row>
    <row r="121" spans="2:12" ht="15" customHeight="1">
      <c r="B121" s="673">
        <v>722528</v>
      </c>
      <c r="C121" s="706" t="s">
        <v>258</v>
      </c>
      <c r="D121" s="677">
        <v>440</v>
      </c>
      <c r="E121" s="677">
        <v>440</v>
      </c>
      <c r="F121" s="677">
        <v>217</v>
      </c>
      <c r="G121" s="678"/>
      <c r="H121" s="868">
        <f t="shared" si="11"/>
        <v>0</v>
      </c>
      <c r="J121" s="535"/>
      <c r="K121" s="130"/>
    </row>
    <row r="122" spans="2:12" ht="15" customHeight="1">
      <c r="B122" s="673">
        <v>722529</v>
      </c>
      <c r="C122" s="706" t="s">
        <v>259</v>
      </c>
      <c r="D122" s="677">
        <v>109580</v>
      </c>
      <c r="E122" s="677">
        <v>109580</v>
      </c>
      <c r="F122" s="677">
        <v>57180</v>
      </c>
      <c r="G122" s="678"/>
      <c r="H122" s="868">
        <f t="shared" si="11"/>
        <v>0</v>
      </c>
      <c r="J122" s="535"/>
      <c r="K122" s="130"/>
    </row>
    <row r="123" spans="2:12" ht="15" customHeight="1">
      <c r="B123" s="697">
        <v>722530</v>
      </c>
      <c r="C123" s="707" t="s">
        <v>260</v>
      </c>
      <c r="D123" s="699">
        <f>SUM(D124:D127)</f>
        <v>342720</v>
      </c>
      <c r="E123" s="699">
        <f>SUM(E124:E127)</f>
        <v>342720</v>
      </c>
      <c r="F123" s="699">
        <f>SUM(F124:F127)</f>
        <v>182332</v>
      </c>
      <c r="G123" s="700">
        <f>SUM(G124:G127)</f>
        <v>0</v>
      </c>
      <c r="H123" s="867">
        <f t="shared" si="11"/>
        <v>0</v>
      </c>
      <c r="J123" s="535"/>
      <c r="K123" s="130"/>
    </row>
    <row r="124" spans="2:12" ht="15" customHeight="1">
      <c r="B124" s="673">
        <v>722531</v>
      </c>
      <c r="C124" s="706" t="s">
        <v>261</v>
      </c>
      <c r="D124" s="677">
        <v>109970</v>
      </c>
      <c r="E124" s="677">
        <v>109970</v>
      </c>
      <c r="F124" s="677">
        <v>58749</v>
      </c>
      <c r="G124" s="678"/>
      <c r="H124" s="868">
        <f t="shared" si="11"/>
        <v>0</v>
      </c>
      <c r="J124" s="535"/>
      <c r="K124" s="130"/>
    </row>
    <row r="125" spans="2:12" ht="15" customHeight="1">
      <c r="B125" s="673">
        <v>722532</v>
      </c>
      <c r="C125" s="706" t="s">
        <v>262</v>
      </c>
      <c r="D125" s="677">
        <v>232730</v>
      </c>
      <c r="E125" s="677">
        <v>232730</v>
      </c>
      <c r="F125" s="677">
        <v>123583</v>
      </c>
      <c r="G125" s="678"/>
      <c r="H125" s="868">
        <f t="shared" si="11"/>
        <v>0</v>
      </c>
      <c r="J125" s="535"/>
      <c r="K125" s="130"/>
    </row>
    <row r="126" spans="2:12" ht="15" customHeight="1">
      <c r="B126" s="673">
        <v>722538</v>
      </c>
      <c r="C126" s="706" t="s">
        <v>263</v>
      </c>
      <c r="D126" s="677">
        <v>10</v>
      </c>
      <c r="E126" s="677">
        <v>10</v>
      </c>
      <c r="F126" s="677">
        <v>0</v>
      </c>
      <c r="G126" s="678"/>
      <c r="H126" s="868">
        <f t="shared" si="11"/>
        <v>0</v>
      </c>
      <c r="J126" s="535"/>
      <c r="K126" s="130"/>
    </row>
    <row r="127" spans="2:12" ht="15" customHeight="1">
      <c r="B127" s="673">
        <v>722539</v>
      </c>
      <c r="C127" s="706" t="s">
        <v>433</v>
      </c>
      <c r="D127" s="677">
        <v>10</v>
      </c>
      <c r="E127" s="677">
        <v>10</v>
      </c>
      <c r="F127" s="677">
        <v>0</v>
      </c>
      <c r="G127" s="678"/>
      <c r="H127" s="868">
        <f t="shared" si="11"/>
        <v>0</v>
      </c>
      <c r="J127" s="535"/>
      <c r="K127" s="130"/>
    </row>
    <row r="128" spans="2:12" ht="15" customHeight="1">
      <c r="B128" s="697">
        <v>722540</v>
      </c>
      <c r="C128" s="707" t="s">
        <v>264</v>
      </c>
      <c r="D128" s="699">
        <f>D129</f>
        <v>260</v>
      </c>
      <c r="E128" s="699">
        <f>E129</f>
        <v>260</v>
      </c>
      <c r="F128" s="699">
        <f>F129</f>
        <v>338</v>
      </c>
      <c r="G128" s="700">
        <f>G129</f>
        <v>0</v>
      </c>
      <c r="H128" s="867">
        <f t="shared" si="11"/>
        <v>0</v>
      </c>
      <c r="J128" s="535"/>
      <c r="K128" s="130"/>
    </row>
    <row r="129" spans="2:12" ht="15" customHeight="1">
      <c r="B129" s="673">
        <v>722541</v>
      </c>
      <c r="C129" s="706" t="s">
        <v>265</v>
      </c>
      <c r="D129" s="677">
        <v>260</v>
      </c>
      <c r="E129" s="677">
        <v>260</v>
      </c>
      <c r="F129" s="677">
        <v>338</v>
      </c>
      <c r="G129" s="678"/>
      <c r="H129" s="868">
        <f t="shared" si="11"/>
        <v>0</v>
      </c>
      <c r="J129" s="535"/>
      <c r="K129" s="130"/>
    </row>
    <row r="130" spans="2:12" ht="15" customHeight="1">
      <c r="B130" s="697">
        <v>722550</v>
      </c>
      <c r="C130" s="707" t="s">
        <v>266</v>
      </c>
      <c r="D130" s="699">
        <f>D131+D133+D135+D137</f>
        <v>280000</v>
      </c>
      <c r="E130" s="699">
        <f>E131+E133+E135+E137</f>
        <v>280000</v>
      </c>
      <c r="F130" s="699">
        <f>F131+F133+F135+F137</f>
        <v>102273</v>
      </c>
      <c r="G130" s="700">
        <f>G131+G133+G135+G137</f>
        <v>0</v>
      </c>
      <c r="H130" s="867">
        <f t="shared" si="11"/>
        <v>0</v>
      </c>
      <c r="J130" s="536"/>
      <c r="K130" s="130"/>
    </row>
    <row r="131" spans="2:12" ht="15" customHeight="1">
      <c r="B131" s="673">
        <v>722551</v>
      </c>
      <c r="C131" s="706" t="s">
        <v>267</v>
      </c>
      <c r="D131" s="677">
        <f>D132</f>
        <v>15150</v>
      </c>
      <c r="E131" s="677">
        <f>E132</f>
        <v>15150</v>
      </c>
      <c r="F131" s="677">
        <f>F132</f>
        <v>6309</v>
      </c>
      <c r="G131" s="678">
        <f>G132</f>
        <v>0</v>
      </c>
      <c r="H131" s="868">
        <f t="shared" si="11"/>
        <v>0</v>
      </c>
      <c r="J131" s="535"/>
      <c r="K131" s="130"/>
    </row>
    <row r="132" spans="2:12" s="468" customFormat="1" ht="15" customHeight="1">
      <c r="B132" s="685"/>
      <c r="C132" s="701" t="s">
        <v>603</v>
      </c>
      <c r="D132" s="687">
        <v>15150</v>
      </c>
      <c r="E132" s="687">
        <v>15150</v>
      </c>
      <c r="F132" s="687">
        <v>6309</v>
      </c>
      <c r="G132" s="688"/>
      <c r="H132" s="869">
        <f t="shared" si="11"/>
        <v>0</v>
      </c>
      <c r="I132" s="469"/>
      <c r="J132" s="537"/>
      <c r="K132" s="470"/>
      <c r="L132" s="469"/>
    </row>
    <row r="133" spans="2:12" ht="15" customHeight="1">
      <c r="B133" s="673">
        <v>722552</v>
      </c>
      <c r="C133" s="706" t="s">
        <v>608</v>
      </c>
      <c r="D133" s="677">
        <f>D134</f>
        <v>10</v>
      </c>
      <c r="E133" s="677">
        <f>E134</f>
        <v>10</v>
      </c>
      <c r="F133" s="677">
        <f>F134</f>
        <v>0</v>
      </c>
      <c r="G133" s="678">
        <f>G134</f>
        <v>0</v>
      </c>
      <c r="H133" s="868">
        <f t="shared" si="11"/>
        <v>0</v>
      </c>
      <c r="J133" s="535"/>
      <c r="K133" s="130"/>
    </row>
    <row r="134" spans="2:12" s="468" customFormat="1" ht="15" customHeight="1">
      <c r="B134" s="685"/>
      <c r="C134" s="701" t="s">
        <v>603</v>
      </c>
      <c r="D134" s="687">
        <v>10</v>
      </c>
      <c r="E134" s="687">
        <v>10</v>
      </c>
      <c r="F134" s="687">
        <v>0</v>
      </c>
      <c r="G134" s="688"/>
      <c r="H134" s="869">
        <f t="shared" si="11"/>
        <v>0</v>
      </c>
      <c r="I134" s="469"/>
      <c r="J134" s="537"/>
      <c r="K134" s="470"/>
      <c r="L134" s="469"/>
    </row>
    <row r="135" spans="2:12" ht="25.5">
      <c r="B135" s="673">
        <v>722555</v>
      </c>
      <c r="C135" s="705" t="s">
        <v>273</v>
      </c>
      <c r="D135" s="677">
        <f>D136</f>
        <v>63390</v>
      </c>
      <c r="E135" s="677">
        <f>E136</f>
        <v>63390</v>
      </c>
      <c r="F135" s="677">
        <f>F136</f>
        <v>34188</v>
      </c>
      <c r="G135" s="678">
        <f>G136</f>
        <v>0</v>
      </c>
      <c r="H135" s="868">
        <f t="shared" si="11"/>
        <v>0</v>
      </c>
      <c r="J135" s="535"/>
      <c r="K135" s="130"/>
    </row>
    <row r="136" spans="2:12" s="468" customFormat="1" ht="17.100000000000001" customHeight="1">
      <c r="B136" s="685"/>
      <c r="C136" s="701" t="s">
        <v>603</v>
      </c>
      <c r="D136" s="687">
        <v>63390</v>
      </c>
      <c r="E136" s="687">
        <v>63390</v>
      </c>
      <c r="F136" s="687">
        <v>34188</v>
      </c>
      <c r="G136" s="688"/>
      <c r="H136" s="869">
        <f t="shared" si="11"/>
        <v>0</v>
      </c>
      <c r="I136" s="469"/>
      <c r="J136" s="537"/>
      <c r="K136" s="470"/>
      <c r="L136" s="469"/>
    </row>
    <row r="137" spans="2:12" ht="25.5">
      <c r="B137" s="673">
        <v>722556</v>
      </c>
      <c r="C137" s="705" t="s">
        <v>274</v>
      </c>
      <c r="D137" s="677">
        <f t="shared" ref="D137:G137" si="26">SUM(D138:D139)</f>
        <v>201450</v>
      </c>
      <c r="E137" s="677">
        <f t="shared" ref="E137:F137" si="27">SUM(E138:E139)</f>
        <v>201450</v>
      </c>
      <c r="F137" s="677">
        <f t="shared" si="27"/>
        <v>61776</v>
      </c>
      <c r="G137" s="678">
        <f t="shared" si="26"/>
        <v>0</v>
      </c>
      <c r="H137" s="868">
        <f t="shared" ref="H137:H218" si="28">IF(E137=0,"",G137/E137*100)</f>
        <v>0</v>
      </c>
      <c r="J137" s="535"/>
      <c r="K137" s="130"/>
    </row>
    <row r="138" spans="2:12" s="468" customFormat="1" ht="15" customHeight="1">
      <c r="B138" s="685"/>
      <c r="C138" s="701" t="s">
        <v>792</v>
      </c>
      <c r="D138" s="687">
        <v>89720</v>
      </c>
      <c r="E138" s="687">
        <v>89720</v>
      </c>
      <c r="F138" s="687">
        <v>0</v>
      </c>
      <c r="G138" s="688"/>
      <c r="H138" s="869">
        <f t="shared" si="28"/>
        <v>0</v>
      </c>
      <c r="I138" s="469"/>
      <c r="J138" s="537"/>
      <c r="K138" s="470"/>
      <c r="L138" s="469"/>
    </row>
    <row r="139" spans="2:12" s="468" customFormat="1" ht="15" customHeight="1">
      <c r="B139" s="685"/>
      <c r="C139" s="701" t="s">
        <v>603</v>
      </c>
      <c r="D139" s="687">
        <v>111730</v>
      </c>
      <c r="E139" s="687">
        <v>111730</v>
      </c>
      <c r="F139" s="687">
        <v>61776</v>
      </c>
      <c r="G139" s="688"/>
      <c r="H139" s="869">
        <f t="shared" si="28"/>
        <v>0</v>
      </c>
      <c r="I139" s="469"/>
      <c r="J139" s="537"/>
      <c r="K139" s="470"/>
      <c r="L139" s="469"/>
    </row>
    <row r="140" spans="2:12" ht="15" customHeight="1">
      <c r="B140" s="697">
        <v>722580</v>
      </c>
      <c r="C140" s="707" t="s">
        <v>275</v>
      </c>
      <c r="D140" s="699">
        <f>D141+D144+D145+D148+D151+D154</f>
        <v>224980</v>
      </c>
      <c r="E140" s="699">
        <f>E141+E144+E145+E148+E151+E154</f>
        <v>224980</v>
      </c>
      <c r="F140" s="699">
        <f>F141+F144+F145+F148+F151+F154</f>
        <v>39601</v>
      </c>
      <c r="G140" s="700">
        <f t="shared" ref="G140" si="29">G141+G144+G145+G148+G151+G154</f>
        <v>0</v>
      </c>
      <c r="H140" s="867">
        <f t="shared" si="28"/>
        <v>0</v>
      </c>
      <c r="J140" s="535"/>
      <c r="K140" s="130"/>
    </row>
    <row r="141" spans="2:12" ht="25.5">
      <c r="B141" s="673">
        <v>722581</v>
      </c>
      <c r="C141" s="705" t="s">
        <v>481</v>
      </c>
      <c r="D141" s="677">
        <f t="shared" ref="D141:G141" si="30">SUM(D142:D143)</f>
        <v>109490</v>
      </c>
      <c r="E141" s="677">
        <f t="shared" ref="E141" si="31">SUM(E142:E143)</f>
        <v>109490</v>
      </c>
      <c r="F141" s="677">
        <f t="shared" ref="F141" si="32">SUM(F142:F143)</f>
        <v>36157</v>
      </c>
      <c r="G141" s="678">
        <f t="shared" si="30"/>
        <v>0</v>
      </c>
      <c r="H141" s="868">
        <f t="shared" si="28"/>
        <v>0</v>
      </c>
      <c r="J141" s="535"/>
      <c r="K141" s="130"/>
    </row>
    <row r="142" spans="2:12" s="468" customFormat="1" ht="15" customHeight="1">
      <c r="B142" s="685"/>
      <c r="C142" s="701" t="s">
        <v>793</v>
      </c>
      <c r="D142" s="687">
        <v>37640</v>
      </c>
      <c r="E142" s="687">
        <v>37640</v>
      </c>
      <c r="F142" s="687">
        <v>0</v>
      </c>
      <c r="G142" s="688"/>
      <c r="H142" s="869">
        <f t="shared" si="28"/>
        <v>0</v>
      </c>
      <c r="I142" s="469"/>
      <c r="J142" s="538"/>
      <c r="K142" s="470"/>
      <c r="L142" s="469"/>
    </row>
    <row r="143" spans="2:12" s="468" customFormat="1" ht="15" customHeight="1">
      <c r="B143" s="685"/>
      <c r="C143" s="701" t="s">
        <v>602</v>
      </c>
      <c r="D143" s="687">
        <v>71850</v>
      </c>
      <c r="E143" s="687">
        <v>71850</v>
      </c>
      <c r="F143" s="687">
        <v>36157</v>
      </c>
      <c r="G143" s="688"/>
      <c r="H143" s="869">
        <f t="shared" si="28"/>
        <v>0</v>
      </c>
      <c r="I143" s="469"/>
      <c r="J143" s="538"/>
      <c r="K143" s="470"/>
      <c r="L143" s="469"/>
    </row>
    <row r="144" spans="2:12" ht="37.5" customHeight="1">
      <c r="B144" s="673">
        <v>722582</v>
      </c>
      <c r="C144" s="705" t="s">
        <v>478</v>
      </c>
      <c r="D144" s="677">
        <v>5490</v>
      </c>
      <c r="E144" s="677">
        <v>5490</v>
      </c>
      <c r="F144" s="677">
        <v>2546</v>
      </c>
      <c r="G144" s="678"/>
      <c r="H144" s="868">
        <f t="shared" si="28"/>
        <v>0</v>
      </c>
      <c r="J144" s="535"/>
      <c r="K144" s="130"/>
    </row>
    <row r="145" spans="2:12" ht="26.25" customHeight="1">
      <c r="B145" s="673">
        <v>722583</v>
      </c>
      <c r="C145" s="705" t="s">
        <v>276</v>
      </c>
      <c r="D145" s="677">
        <f t="shared" ref="D145:F145" si="33">D146+D147</f>
        <v>3720</v>
      </c>
      <c r="E145" s="677">
        <f t="shared" si="33"/>
        <v>3720</v>
      </c>
      <c r="F145" s="677">
        <f t="shared" si="33"/>
        <v>569</v>
      </c>
      <c r="G145" s="678">
        <f t="shared" ref="G145" si="34">G146+G147</f>
        <v>0</v>
      </c>
      <c r="H145" s="868">
        <f t="shared" si="28"/>
        <v>0</v>
      </c>
      <c r="J145" s="535"/>
      <c r="K145" s="130"/>
    </row>
    <row r="146" spans="2:12" s="468" customFormat="1" ht="15" customHeight="1">
      <c r="B146" s="685"/>
      <c r="C146" s="701" t="s">
        <v>793</v>
      </c>
      <c r="D146" s="687">
        <v>2940</v>
      </c>
      <c r="E146" s="687">
        <v>2940</v>
      </c>
      <c r="F146" s="687">
        <v>0</v>
      </c>
      <c r="G146" s="688"/>
      <c r="H146" s="869">
        <f t="shared" ref="H146:H147" si="35">IF(E146=0,"",G146/E146*100)</f>
        <v>0</v>
      </c>
      <c r="I146" s="469"/>
      <c r="J146" s="538"/>
      <c r="K146" s="470"/>
      <c r="L146" s="469"/>
    </row>
    <row r="147" spans="2:12" s="468" customFormat="1" ht="15" customHeight="1">
      <c r="B147" s="685"/>
      <c r="C147" s="701" t="s">
        <v>602</v>
      </c>
      <c r="D147" s="687">
        <v>780</v>
      </c>
      <c r="E147" s="687">
        <v>780</v>
      </c>
      <c r="F147" s="687">
        <v>569</v>
      </c>
      <c r="G147" s="688"/>
      <c r="H147" s="869">
        <f t="shared" si="35"/>
        <v>0</v>
      </c>
      <c r="I147" s="469"/>
      <c r="J147" s="538"/>
      <c r="K147" s="470"/>
      <c r="L147" s="469"/>
    </row>
    <row r="148" spans="2:12" ht="25.5">
      <c r="B148" s="673">
        <v>722584</v>
      </c>
      <c r="C148" s="705" t="s">
        <v>277</v>
      </c>
      <c r="D148" s="677">
        <f t="shared" ref="D148:F148" si="36">D149+D150</f>
        <v>1900</v>
      </c>
      <c r="E148" s="677">
        <f t="shared" si="36"/>
        <v>1900</v>
      </c>
      <c r="F148" s="677">
        <f t="shared" si="36"/>
        <v>223</v>
      </c>
      <c r="G148" s="678">
        <f t="shared" ref="G148" si="37">G149+G150</f>
        <v>0</v>
      </c>
      <c r="H148" s="868">
        <f t="shared" si="28"/>
        <v>0</v>
      </c>
      <c r="J148" s="535"/>
      <c r="K148" s="130"/>
    </row>
    <row r="149" spans="2:12" s="468" customFormat="1" ht="15" customHeight="1">
      <c r="B149" s="685"/>
      <c r="C149" s="701" t="s">
        <v>793</v>
      </c>
      <c r="D149" s="687">
        <v>1480</v>
      </c>
      <c r="E149" s="687">
        <v>1480</v>
      </c>
      <c r="F149" s="687">
        <v>0</v>
      </c>
      <c r="G149" s="688"/>
      <c r="H149" s="869">
        <f t="shared" si="28"/>
        <v>0</v>
      </c>
      <c r="I149" s="469"/>
      <c r="J149" s="538"/>
      <c r="K149" s="470"/>
      <c r="L149" s="469"/>
    </row>
    <row r="150" spans="2:12" s="468" customFormat="1" ht="15" customHeight="1">
      <c r="B150" s="685"/>
      <c r="C150" s="701" t="s">
        <v>602</v>
      </c>
      <c r="D150" s="687">
        <v>420</v>
      </c>
      <c r="E150" s="687">
        <v>420</v>
      </c>
      <c r="F150" s="687">
        <v>223</v>
      </c>
      <c r="G150" s="688"/>
      <c r="H150" s="869">
        <f t="shared" si="28"/>
        <v>0</v>
      </c>
      <c r="I150" s="469"/>
      <c r="J150" s="538"/>
      <c r="K150" s="470"/>
      <c r="L150" s="469"/>
    </row>
    <row r="151" spans="2:12" ht="25.5">
      <c r="B151" s="673">
        <v>722585</v>
      </c>
      <c r="C151" s="705" t="s">
        <v>278</v>
      </c>
      <c r="D151" s="677">
        <f t="shared" ref="D151:F151" si="38">D152+D153</f>
        <v>1250</v>
      </c>
      <c r="E151" s="677">
        <f t="shared" si="38"/>
        <v>1250</v>
      </c>
      <c r="F151" s="677">
        <f t="shared" si="38"/>
        <v>106</v>
      </c>
      <c r="G151" s="678">
        <f t="shared" ref="G151" si="39">G152+G153</f>
        <v>0</v>
      </c>
      <c r="H151" s="868">
        <f t="shared" si="28"/>
        <v>0</v>
      </c>
      <c r="J151" s="535"/>
      <c r="K151" s="130"/>
    </row>
    <row r="152" spans="2:12" s="468" customFormat="1" ht="15" customHeight="1">
      <c r="B152" s="685"/>
      <c r="C152" s="701" t="s">
        <v>793</v>
      </c>
      <c r="D152" s="687">
        <v>1090</v>
      </c>
      <c r="E152" s="687">
        <v>1090</v>
      </c>
      <c r="F152" s="687">
        <v>0</v>
      </c>
      <c r="G152" s="688"/>
      <c r="H152" s="869">
        <f t="shared" ref="H152:H154" si="40">IF(E152=0,"",G152/E152*100)</f>
        <v>0</v>
      </c>
      <c r="I152" s="469"/>
      <c r="J152" s="538"/>
      <c r="K152" s="470"/>
      <c r="L152" s="469"/>
    </row>
    <row r="153" spans="2:12" s="468" customFormat="1" ht="15" customHeight="1">
      <c r="B153" s="685"/>
      <c r="C153" s="701" t="s">
        <v>602</v>
      </c>
      <c r="D153" s="687">
        <v>160</v>
      </c>
      <c r="E153" s="687">
        <v>160</v>
      </c>
      <c r="F153" s="687">
        <v>106</v>
      </c>
      <c r="G153" s="688"/>
      <c r="H153" s="869">
        <f t="shared" si="40"/>
        <v>0</v>
      </c>
      <c r="I153" s="469"/>
      <c r="J153" s="538"/>
      <c r="K153" s="470"/>
      <c r="L153" s="469"/>
    </row>
    <row r="154" spans="2:12" s="550" customFormat="1" ht="25.5">
      <c r="B154" s="673">
        <v>722586</v>
      </c>
      <c r="C154" s="705" t="s">
        <v>837</v>
      </c>
      <c r="D154" s="677">
        <v>103130</v>
      </c>
      <c r="E154" s="677">
        <v>103130</v>
      </c>
      <c r="F154" s="677">
        <v>0</v>
      </c>
      <c r="G154" s="678"/>
      <c r="H154" s="868">
        <f t="shared" si="40"/>
        <v>0</v>
      </c>
      <c r="I154" s="119"/>
      <c r="J154" s="535"/>
      <c r="K154" s="130"/>
      <c r="L154" s="119"/>
    </row>
    <row r="155" spans="2:12" ht="15" customHeight="1">
      <c r="B155" s="669">
        <v>722600</v>
      </c>
      <c r="C155" s="695" t="s">
        <v>268</v>
      </c>
      <c r="D155" s="680">
        <f>SUM(D156:D162)</f>
        <v>421130</v>
      </c>
      <c r="E155" s="680">
        <f>SUM(E156:E162)</f>
        <v>421130</v>
      </c>
      <c r="F155" s="680">
        <f>SUM(F156:F162)</f>
        <v>203107</v>
      </c>
      <c r="G155" s="681">
        <f>SUM(G156:G162)</f>
        <v>0</v>
      </c>
      <c r="H155" s="867">
        <f t="shared" si="28"/>
        <v>0</v>
      </c>
      <c r="J155" s="535"/>
      <c r="K155" s="130"/>
    </row>
    <row r="156" spans="2:12" ht="15" customHeight="1">
      <c r="B156" s="673">
        <v>722611</v>
      </c>
      <c r="C156" s="706" t="s">
        <v>279</v>
      </c>
      <c r="D156" s="677">
        <v>149690</v>
      </c>
      <c r="E156" s="677">
        <v>149690</v>
      </c>
      <c r="F156" s="677">
        <v>57869</v>
      </c>
      <c r="G156" s="678"/>
      <c r="H156" s="868">
        <f t="shared" si="28"/>
        <v>0</v>
      </c>
      <c r="J156" s="535"/>
      <c r="K156" s="130"/>
    </row>
    <row r="157" spans="2:12" ht="15" customHeight="1">
      <c r="B157" s="673">
        <v>722612</v>
      </c>
      <c r="C157" s="706" t="s">
        <v>280</v>
      </c>
      <c r="D157" s="677">
        <v>70360</v>
      </c>
      <c r="E157" s="677">
        <v>70360</v>
      </c>
      <c r="F157" s="677">
        <v>56620</v>
      </c>
      <c r="G157" s="678"/>
      <c r="H157" s="868">
        <f t="shared" si="28"/>
        <v>0</v>
      </c>
      <c r="J157" s="535"/>
      <c r="K157" s="130"/>
    </row>
    <row r="158" spans="2:12" ht="15" customHeight="1">
      <c r="B158" s="673">
        <v>722613</v>
      </c>
      <c r="C158" s="706" t="s">
        <v>281</v>
      </c>
      <c r="D158" s="677">
        <v>10220</v>
      </c>
      <c r="E158" s="677">
        <v>10220</v>
      </c>
      <c r="F158" s="677">
        <v>5250</v>
      </c>
      <c r="G158" s="678"/>
      <c r="H158" s="868">
        <f t="shared" si="28"/>
        <v>0</v>
      </c>
      <c r="J158" s="535"/>
      <c r="K158" s="130"/>
    </row>
    <row r="159" spans="2:12" ht="15" customHeight="1">
      <c r="B159" s="673">
        <v>722621</v>
      </c>
      <c r="C159" s="706" t="s">
        <v>282</v>
      </c>
      <c r="D159" s="677">
        <v>142950</v>
      </c>
      <c r="E159" s="677">
        <v>142950</v>
      </c>
      <c r="F159" s="677">
        <v>59085</v>
      </c>
      <c r="G159" s="678"/>
      <c r="H159" s="868">
        <f t="shared" si="28"/>
        <v>0</v>
      </c>
      <c r="J159" s="535"/>
      <c r="K159" s="130"/>
    </row>
    <row r="160" spans="2:12" ht="15" customHeight="1">
      <c r="B160" s="673">
        <v>722631</v>
      </c>
      <c r="C160" s="706" t="s">
        <v>283</v>
      </c>
      <c r="D160" s="677">
        <v>47890</v>
      </c>
      <c r="E160" s="677">
        <v>47890</v>
      </c>
      <c r="F160" s="677">
        <v>24283</v>
      </c>
      <c r="G160" s="678"/>
      <c r="H160" s="868">
        <f t="shared" si="28"/>
        <v>0</v>
      </c>
      <c r="J160" s="535"/>
      <c r="K160" s="130"/>
    </row>
    <row r="161" spans="2:12" ht="15" customHeight="1">
      <c r="B161" s="673">
        <v>722632</v>
      </c>
      <c r="C161" s="706" t="s">
        <v>434</v>
      </c>
      <c r="D161" s="677">
        <v>10</v>
      </c>
      <c r="E161" s="677">
        <v>10</v>
      </c>
      <c r="F161" s="677">
        <v>0</v>
      </c>
      <c r="G161" s="678"/>
      <c r="H161" s="868">
        <f t="shared" si="28"/>
        <v>0</v>
      </c>
      <c r="J161" s="535"/>
      <c r="K161" s="130"/>
    </row>
    <row r="162" spans="2:12" ht="15" customHeight="1">
      <c r="B162" s="673">
        <v>722633</v>
      </c>
      <c r="C162" s="706" t="s">
        <v>609</v>
      </c>
      <c r="D162" s="677">
        <v>10</v>
      </c>
      <c r="E162" s="677">
        <v>10</v>
      </c>
      <c r="F162" s="677">
        <v>0</v>
      </c>
      <c r="G162" s="678"/>
      <c r="H162" s="868">
        <f t="shared" si="28"/>
        <v>0</v>
      </c>
      <c r="J162" s="535"/>
      <c r="K162" s="130"/>
    </row>
    <row r="163" spans="2:12" ht="15" customHeight="1">
      <c r="B163" s="697">
        <v>722700</v>
      </c>
      <c r="C163" s="695" t="s">
        <v>284</v>
      </c>
      <c r="D163" s="680">
        <f t="shared" ref="D163:G163" si="41">SUM(D164:D168)</f>
        <v>33360</v>
      </c>
      <c r="E163" s="680">
        <f t="shared" ref="E163:F163" si="42">SUM(E164:E168)</f>
        <v>33360</v>
      </c>
      <c r="F163" s="680">
        <f t="shared" si="42"/>
        <v>33066</v>
      </c>
      <c r="G163" s="681">
        <f t="shared" si="41"/>
        <v>0</v>
      </c>
      <c r="H163" s="867">
        <f t="shared" si="28"/>
        <v>0</v>
      </c>
      <c r="J163" s="535"/>
      <c r="K163" s="130"/>
    </row>
    <row r="164" spans="2:12" ht="15" customHeight="1">
      <c r="B164" s="673">
        <v>722715</v>
      </c>
      <c r="C164" s="706" t="s">
        <v>494</v>
      </c>
      <c r="D164" s="677">
        <v>10</v>
      </c>
      <c r="E164" s="677">
        <v>10</v>
      </c>
      <c r="F164" s="677">
        <v>0</v>
      </c>
      <c r="G164" s="678"/>
      <c r="H164" s="868">
        <f t="shared" si="28"/>
        <v>0</v>
      </c>
      <c r="J164" s="535"/>
      <c r="K164" s="130"/>
    </row>
    <row r="165" spans="2:12" ht="15" customHeight="1">
      <c r="B165" s="673">
        <v>722719</v>
      </c>
      <c r="C165" s="706" t="s">
        <v>431</v>
      </c>
      <c r="D165" s="677">
        <v>32160</v>
      </c>
      <c r="E165" s="677">
        <v>32160</v>
      </c>
      <c r="F165" s="677">
        <v>31774</v>
      </c>
      <c r="G165" s="678"/>
      <c r="H165" s="868">
        <f t="shared" si="28"/>
        <v>0</v>
      </c>
      <c r="J165" s="535"/>
      <c r="K165" s="130"/>
    </row>
    <row r="166" spans="2:12" ht="15" customHeight="1">
      <c r="B166" s="673">
        <v>722732</v>
      </c>
      <c r="C166" s="706" t="s">
        <v>285</v>
      </c>
      <c r="D166" s="677">
        <v>10</v>
      </c>
      <c r="E166" s="677">
        <v>10</v>
      </c>
      <c r="F166" s="677">
        <v>0</v>
      </c>
      <c r="G166" s="678"/>
      <c r="H166" s="868">
        <f t="shared" si="28"/>
        <v>0</v>
      </c>
      <c r="J166" s="535"/>
      <c r="K166" s="130"/>
    </row>
    <row r="167" spans="2:12" s="903" customFormat="1" ht="15" customHeight="1">
      <c r="B167" s="673">
        <v>722741</v>
      </c>
      <c r="C167" s="706" t="s">
        <v>936</v>
      </c>
      <c r="D167" s="677">
        <v>0</v>
      </c>
      <c r="E167" s="677">
        <v>0</v>
      </c>
      <c r="F167" s="677">
        <v>1292</v>
      </c>
      <c r="G167" s="678"/>
      <c r="H167" s="868" t="str">
        <f t="shared" ref="H167" si="43">IF(E167=0,"",G167/E167*100)</f>
        <v/>
      </c>
      <c r="I167" s="119"/>
      <c r="J167" s="535"/>
      <c r="K167" s="130"/>
      <c r="L167" s="119"/>
    </row>
    <row r="168" spans="2:12" ht="15" customHeight="1">
      <c r="B168" s="673">
        <v>722791</v>
      </c>
      <c r="C168" s="706" t="s">
        <v>286</v>
      </c>
      <c r="D168" s="677">
        <v>1180</v>
      </c>
      <c r="E168" s="677">
        <v>1180</v>
      </c>
      <c r="F168" s="677">
        <v>0</v>
      </c>
      <c r="G168" s="678"/>
      <c r="H168" s="868">
        <f t="shared" si="28"/>
        <v>0</v>
      </c>
      <c r="J168" s="535"/>
      <c r="K168" s="130"/>
    </row>
    <row r="169" spans="2:12" ht="17.100000000000001" customHeight="1">
      <c r="B169" s="662">
        <v>723000</v>
      </c>
      <c r="C169" s="666" t="s">
        <v>159</v>
      </c>
      <c r="D169" s="667">
        <f>D170</f>
        <v>946160</v>
      </c>
      <c r="E169" s="667">
        <f>E170</f>
        <v>946160</v>
      </c>
      <c r="F169" s="667">
        <f>F170</f>
        <v>464120</v>
      </c>
      <c r="G169" s="668">
        <f>G170</f>
        <v>0</v>
      </c>
      <c r="H169" s="866">
        <f t="shared" si="28"/>
        <v>0</v>
      </c>
      <c r="J169" s="535"/>
      <c r="K169" s="130"/>
    </row>
    <row r="170" spans="2:12" ht="15" customHeight="1">
      <c r="B170" s="669">
        <v>723100</v>
      </c>
      <c r="C170" s="704" t="s">
        <v>287</v>
      </c>
      <c r="D170" s="699">
        <f>SUM(D171:D174)</f>
        <v>946160</v>
      </c>
      <c r="E170" s="699">
        <f>SUM(E171:E174)</f>
        <v>946160</v>
      </c>
      <c r="F170" s="699">
        <f>SUM(F171:F174)</f>
        <v>464120</v>
      </c>
      <c r="G170" s="700">
        <f>SUM(G171:G174)</f>
        <v>0</v>
      </c>
      <c r="H170" s="868">
        <f t="shared" si="28"/>
        <v>0</v>
      </c>
      <c r="J170" s="535"/>
      <c r="K170" s="130"/>
    </row>
    <row r="171" spans="2:12" ht="15" customHeight="1">
      <c r="B171" s="673">
        <v>723121</v>
      </c>
      <c r="C171" s="693" t="s">
        <v>288</v>
      </c>
      <c r="D171" s="675">
        <v>100</v>
      </c>
      <c r="E171" s="675">
        <v>100</v>
      </c>
      <c r="F171" s="675">
        <v>70</v>
      </c>
      <c r="G171" s="676"/>
      <c r="H171" s="868">
        <f t="shared" si="28"/>
        <v>0</v>
      </c>
      <c r="J171" s="535"/>
      <c r="K171" s="130"/>
    </row>
    <row r="172" spans="2:12" ht="15" customHeight="1">
      <c r="B172" s="673">
        <v>723122</v>
      </c>
      <c r="C172" s="693" t="s">
        <v>289</v>
      </c>
      <c r="D172" s="677">
        <v>15100</v>
      </c>
      <c r="E172" s="677">
        <v>15100</v>
      </c>
      <c r="F172" s="677">
        <v>20</v>
      </c>
      <c r="G172" s="678"/>
      <c r="H172" s="868">
        <f t="shared" si="28"/>
        <v>0</v>
      </c>
      <c r="J172" s="535"/>
      <c r="K172" s="130"/>
    </row>
    <row r="173" spans="2:12" ht="25.5">
      <c r="B173" s="673">
        <v>723123</v>
      </c>
      <c r="C173" s="709" t="s">
        <v>291</v>
      </c>
      <c r="D173" s="675">
        <v>927550</v>
      </c>
      <c r="E173" s="675">
        <v>927550</v>
      </c>
      <c r="F173" s="675">
        <v>460270</v>
      </c>
      <c r="G173" s="678"/>
      <c r="H173" s="868">
        <f t="shared" si="28"/>
        <v>0</v>
      </c>
      <c r="J173" s="535"/>
      <c r="K173" s="130"/>
    </row>
    <row r="174" spans="2:12" ht="15" customHeight="1">
      <c r="B174" s="689">
        <v>723129</v>
      </c>
      <c r="C174" s="710" t="s">
        <v>290</v>
      </c>
      <c r="D174" s="691">
        <v>3410</v>
      </c>
      <c r="E174" s="691">
        <v>3410</v>
      </c>
      <c r="F174" s="691">
        <v>3760</v>
      </c>
      <c r="G174" s="692"/>
      <c r="H174" s="870">
        <f t="shared" si="28"/>
        <v>0</v>
      </c>
      <c r="J174" s="535"/>
      <c r="K174" s="130"/>
    </row>
    <row r="175" spans="2:12">
      <c r="B175" s="673"/>
      <c r="C175" s="709"/>
      <c r="D175" s="675"/>
      <c r="E175" s="675"/>
      <c r="F175" s="675"/>
      <c r="G175" s="676"/>
      <c r="H175" s="871" t="str">
        <f t="shared" si="28"/>
        <v/>
      </c>
      <c r="J175" s="535"/>
      <c r="K175" s="130"/>
    </row>
    <row r="176" spans="2:12" ht="17.100000000000001" customHeight="1">
      <c r="B176" s="933" t="s">
        <v>309</v>
      </c>
      <c r="C176" s="934"/>
      <c r="D176" s="711">
        <f>D5+D62</f>
        <v>48153950</v>
      </c>
      <c r="E176" s="711">
        <f>E5+E62</f>
        <v>48153950</v>
      </c>
      <c r="F176" s="711">
        <f>F5+F62</f>
        <v>24256241</v>
      </c>
      <c r="G176" s="712">
        <f>G5+G62</f>
        <v>0</v>
      </c>
      <c r="H176" s="875">
        <f t="shared" si="28"/>
        <v>0</v>
      </c>
      <c r="J176" s="535"/>
      <c r="K176" s="130"/>
    </row>
    <row r="177" spans="2:12">
      <c r="B177" s="713"/>
      <c r="C177" s="714"/>
      <c r="D177" s="715"/>
      <c r="E177" s="715"/>
      <c r="F177" s="715"/>
      <c r="G177" s="716"/>
      <c r="H177" s="871" t="str">
        <f t="shared" si="28"/>
        <v/>
      </c>
      <c r="J177" s="535"/>
      <c r="K177" s="130"/>
    </row>
    <row r="178" spans="2:12" ht="17.100000000000001" customHeight="1">
      <c r="B178" s="662">
        <v>730000</v>
      </c>
      <c r="C178" s="666" t="s">
        <v>347</v>
      </c>
      <c r="D178" s="664">
        <f>D179+D186+D210</f>
        <v>9307180</v>
      </c>
      <c r="E178" s="664">
        <f>E179+E186+E210</f>
        <v>9312820</v>
      </c>
      <c r="F178" s="664">
        <f>F179+F186+F210</f>
        <v>7776912</v>
      </c>
      <c r="G178" s="665">
        <f>G179+G186+G210</f>
        <v>9241176</v>
      </c>
      <c r="H178" s="865">
        <f t="shared" si="28"/>
        <v>99.230694891558088</v>
      </c>
      <c r="J178" s="535"/>
      <c r="K178" s="130"/>
    </row>
    <row r="179" spans="2:12" ht="25.5">
      <c r="B179" s="662">
        <v>731000</v>
      </c>
      <c r="C179" s="666" t="s">
        <v>330</v>
      </c>
      <c r="D179" s="667">
        <f>D180</f>
        <v>39280</v>
      </c>
      <c r="E179" s="667">
        <f>E180</f>
        <v>39280</v>
      </c>
      <c r="F179" s="667">
        <f>F180</f>
        <v>30281</v>
      </c>
      <c r="G179" s="668">
        <f>G180</f>
        <v>0</v>
      </c>
      <c r="H179" s="866">
        <f t="shared" si="28"/>
        <v>0</v>
      </c>
      <c r="J179" s="535"/>
      <c r="K179" s="130"/>
    </row>
    <row r="180" spans="2:12" ht="15" customHeight="1">
      <c r="B180" s="697">
        <v>731100</v>
      </c>
      <c r="C180" s="698" t="s">
        <v>331</v>
      </c>
      <c r="D180" s="699">
        <f>D181+D183</f>
        <v>39280</v>
      </c>
      <c r="E180" s="699">
        <f>E181+E183</f>
        <v>39280</v>
      </c>
      <c r="F180" s="699">
        <f>F181+F183</f>
        <v>30281</v>
      </c>
      <c r="G180" s="700">
        <f>G181+G183</f>
        <v>0</v>
      </c>
      <c r="H180" s="872">
        <f t="shared" si="28"/>
        <v>0</v>
      </c>
      <c r="J180" s="535"/>
      <c r="K180" s="130"/>
    </row>
    <row r="181" spans="2:12" ht="15" customHeight="1">
      <c r="B181" s="673">
        <v>731111</v>
      </c>
      <c r="C181" s="674" t="s">
        <v>441</v>
      </c>
      <c r="D181" s="675">
        <f t="shared" ref="D181:G181" si="44">D182</f>
        <v>0</v>
      </c>
      <c r="E181" s="675">
        <f t="shared" si="44"/>
        <v>0</v>
      </c>
      <c r="F181" s="675">
        <f t="shared" si="44"/>
        <v>0</v>
      </c>
      <c r="G181" s="676">
        <f t="shared" si="44"/>
        <v>0</v>
      </c>
      <c r="H181" s="871" t="str">
        <f t="shared" si="28"/>
        <v/>
      </c>
      <c r="J181" s="535"/>
      <c r="K181" s="130"/>
    </row>
    <row r="182" spans="2:12" s="468" customFormat="1" ht="15" customHeight="1">
      <c r="B182" s="685"/>
      <c r="C182" s="701" t="s">
        <v>756</v>
      </c>
      <c r="D182" s="687">
        <v>0</v>
      </c>
      <c r="E182" s="687">
        <v>0</v>
      </c>
      <c r="F182" s="687">
        <v>0</v>
      </c>
      <c r="G182" s="688">
        <v>0</v>
      </c>
      <c r="H182" s="873" t="str">
        <f t="shared" si="28"/>
        <v/>
      </c>
      <c r="I182" s="469"/>
      <c r="J182" s="537"/>
      <c r="K182" s="470"/>
      <c r="L182" s="469"/>
    </row>
    <row r="183" spans="2:12" ht="15" customHeight="1">
      <c r="B183" s="673">
        <v>731121</v>
      </c>
      <c r="C183" s="674" t="s">
        <v>332</v>
      </c>
      <c r="D183" s="675">
        <f>D184+D185</f>
        <v>39280</v>
      </c>
      <c r="E183" s="675">
        <f>E184+E185</f>
        <v>39280</v>
      </c>
      <c r="F183" s="675">
        <f>F184+F185</f>
        <v>30281</v>
      </c>
      <c r="G183" s="676">
        <f t="shared" ref="G183" si="45">G184+G185</f>
        <v>0</v>
      </c>
      <c r="H183" s="871">
        <f t="shared" si="28"/>
        <v>0</v>
      </c>
      <c r="J183" s="535"/>
      <c r="K183" s="130"/>
    </row>
    <row r="184" spans="2:12" s="468" customFormat="1" ht="15" customHeight="1">
      <c r="B184" s="685"/>
      <c r="C184" s="701" t="s">
        <v>898</v>
      </c>
      <c r="D184" s="687">
        <v>30280</v>
      </c>
      <c r="E184" s="687">
        <v>30280</v>
      </c>
      <c r="F184" s="687">
        <v>30281</v>
      </c>
      <c r="G184" s="688"/>
      <c r="H184" s="873">
        <f t="shared" ref="H184" si="46">IF(E184=0,"",G184/E184*100)</f>
        <v>0</v>
      </c>
      <c r="I184" s="469"/>
      <c r="J184" s="537"/>
      <c r="K184" s="470"/>
      <c r="L184" s="469"/>
    </row>
    <row r="185" spans="2:12" s="468" customFormat="1" ht="15" customHeight="1">
      <c r="B185" s="685"/>
      <c r="C185" s="701" t="s">
        <v>899</v>
      </c>
      <c r="D185" s="687">
        <v>9000</v>
      </c>
      <c r="E185" s="687">
        <v>9000</v>
      </c>
      <c r="F185" s="687">
        <v>0</v>
      </c>
      <c r="G185" s="688"/>
      <c r="H185" s="873">
        <f t="shared" si="28"/>
        <v>0</v>
      </c>
      <c r="I185" s="469"/>
      <c r="J185" s="537"/>
      <c r="K185" s="470"/>
      <c r="L185" s="469"/>
    </row>
    <row r="186" spans="2:12" ht="17.100000000000001" customHeight="1">
      <c r="B186" s="717">
        <v>732000</v>
      </c>
      <c r="C186" s="666" t="s">
        <v>333</v>
      </c>
      <c r="D186" s="667">
        <f>D187</f>
        <v>9267900</v>
      </c>
      <c r="E186" s="667">
        <f>E187</f>
        <v>9273540</v>
      </c>
      <c r="F186" s="667">
        <f>F187</f>
        <v>7746631</v>
      </c>
      <c r="G186" s="668">
        <f>G187</f>
        <v>9241176</v>
      </c>
      <c r="H186" s="866">
        <f t="shared" si="28"/>
        <v>99.651007058793084</v>
      </c>
      <c r="J186" s="535"/>
      <c r="K186" s="130"/>
    </row>
    <row r="187" spans="2:12" ht="15" customHeight="1">
      <c r="B187" s="697">
        <v>732100</v>
      </c>
      <c r="C187" s="698" t="s">
        <v>334</v>
      </c>
      <c r="D187" s="699">
        <f>D188+D207</f>
        <v>9267900</v>
      </c>
      <c r="E187" s="699">
        <f>E188+E207</f>
        <v>9273540</v>
      </c>
      <c r="F187" s="699">
        <f>F188+F207</f>
        <v>7746631</v>
      </c>
      <c r="G187" s="700">
        <f>G188+G207</f>
        <v>9241176</v>
      </c>
      <c r="H187" s="872">
        <f t="shared" si="28"/>
        <v>99.651007058793084</v>
      </c>
      <c r="J187" s="535"/>
      <c r="K187" s="130"/>
    </row>
    <row r="188" spans="2:12" ht="15" customHeight="1">
      <c r="B188" s="669">
        <v>732110</v>
      </c>
      <c r="C188" s="679" t="s">
        <v>335</v>
      </c>
      <c r="D188" s="680">
        <f>D189+D192+D205</f>
        <v>9146190</v>
      </c>
      <c r="E188" s="680">
        <f>E189+E192+E205</f>
        <v>9151830</v>
      </c>
      <c r="F188" s="680">
        <f>F189+F192+F205</f>
        <v>7716715</v>
      </c>
      <c r="G188" s="681">
        <f>G189+G192+G205</f>
        <v>9241176</v>
      </c>
      <c r="H188" s="872">
        <f t="shared" si="28"/>
        <v>100.9762637636407</v>
      </c>
      <c r="J188" s="535"/>
      <c r="K188" s="130"/>
    </row>
    <row r="189" spans="2:12" ht="15" customHeight="1">
      <c r="B189" s="673">
        <v>732111</v>
      </c>
      <c r="C189" s="674" t="s">
        <v>768</v>
      </c>
      <c r="D189" s="675">
        <f>SUM(D190:D191)</f>
        <v>0</v>
      </c>
      <c r="E189" s="675">
        <f>SUM(E190:E191)</f>
        <v>0</v>
      </c>
      <c r="F189" s="675">
        <f>SUM(F190:F191)</f>
        <v>0</v>
      </c>
      <c r="G189" s="676">
        <f>SUM(G190:G191)</f>
        <v>0</v>
      </c>
      <c r="H189" s="871" t="str">
        <f t="shared" si="28"/>
        <v/>
      </c>
      <c r="J189" s="535"/>
      <c r="K189" s="130"/>
    </row>
    <row r="190" spans="2:12" s="468" customFormat="1" ht="16.5" customHeight="1">
      <c r="B190" s="685"/>
      <c r="C190" s="701" t="s">
        <v>795</v>
      </c>
      <c r="D190" s="687">
        <v>0</v>
      </c>
      <c r="E190" s="687">
        <v>0</v>
      </c>
      <c r="F190" s="687">
        <v>0</v>
      </c>
      <c r="G190" s="688">
        <v>0</v>
      </c>
      <c r="H190" s="873" t="str">
        <f t="shared" si="28"/>
        <v/>
      </c>
      <c r="I190" s="469"/>
      <c r="J190" s="531"/>
      <c r="K190" s="470"/>
      <c r="L190" s="469"/>
    </row>
    <row r="191" spans="2:12" s="468" customFormat="1" ht="15" customHeight="1">
      <c r="B191" s="685"/>
      <c r="C191" s="701" t="s">
        <v>769</v>
      </c>
      <c r="D191" s="687">
        <v>0</v>
      </c>
      <c r="E191" s="687">
        <v>0</v>
      </c>
      <c r="F191" s="687">
        <v>0</v>
      </c>
      <c r="G191" s="688">
        <v>0</v>
      </c>
      <c r="H191" s="873" t="str">
        <f t="shared" ref="H191" si="47">IF(E191=0,"",G191/E191*100)</f>
        <v/>
      </c>
      <c r="I191" s="469"/>
      <c r="J191" s="537"/>
      <c r="K191" s="470"/>
      <c r="L191" s="469"/>
    </row>
    <row r="192" spans="2:12" ht="15" customHeight="1">
      <c r="B192" s="673">
        <v>732112</v>
      </c>
      <c r="C192" s="674" t="s">
        <v>336</v>
      </c>
      <c r="D192" s="675">
        <f t="shared" ref="D192" si="48">D193+D194+D195+D196+D197+D200+D203+D204</f>
        <v>9141190</v>
      </c>
      <c r="E192" s="675">
        <f t="shared" ref="E192:F192" si="49">E193+E194+E195+E196+E197+E200+E203+E204</f>
        <v>9146830</v>
      </c>
      <c r="F192" s="675">
        <f t="shared" si="49"/>
        <v>7716715</v>
      </c>
      <c r="G192" s="676">
        <f>G193+G194+G195+G196+G197+G200+G203+G204</f>
        <v>9241176</v>
      </c>
      <c r="H192" s="871">
        <f t="shared" si="28"/>
        <v>101.03146117288722</v>
      </c>
      <c r="J192" s="535"/>
      <c r="K192" s="130"/>
    </row>
    <row r="193" spans="2:12" s="468" customFormat="1" ht="15" customHeight="1">
      <c r="B193" s="685"/>
      <c r="C193" s="718" t="s">
        <v>910</v>
      </c>
      <c r="D193" s="687">
        <v>4870</v>
      </c>
      <c r="E193" s="687">
        <v>4870</v>
      </c>
      <c r="F193" s="687">
        <v>0</v>
      </c>
      <c r="G193" s="688"/>
      <c r="H193" s="873">
        <f t="shared" si="28"/>
        <v>0</v>
      </c>
      <c r="I193" s="469"/>
      <c r="J193" s="537"/>
      <c r="K193" s="470"/>
      <c r="L193" s="469"/>
    </row>
    <row r="194" spans="2:12" s="468" customFormat="1" ht="25.5">
      <c r="B194" s="685"/>
      <c r="C194" s="701" t="s">
        <v>611</v>
      </c>
      <c r="D194" s="687">
        <v>226320</v>
      </c>
      <c r="E194" s="687">
        <v>226320</v>
      </c>
      <c r="F194" s="687">
        <v>114744</v>
      </c>
      <c r="G194" s="688"/>
      <c r="H194" s="873">
        <f t="shared" si="28"/>
        <v>0</v>
      </c>
      <c r="I194" s="469"/>
      <c r="J194" s="537"/>
      <c r="K194" s="470"/>
      <c r="L194" s="469"/>
    </row>
    <row r="195" spans="2:12" s="468" customFormat="1" ht="25.5">
      <c r="B195" s="685"/>
      <c r="C195" s="701" t="s">
        <v>612</v>
      </c>
      <c r="D195" s="687">
        <v>0</v>
      </c>
      <c r="E195" s="687">
        <v>5640</v>
      </c>
      <c r="F195" s="687">
        <v>0</v>
      </c>
      <c r="G195" s="688">
        <v>5640</v>
      </c>
      <c r="H195" s="873">
        <f t="shared" si="28"/>
        <v>100</v>
      </c>
      <c r="I195" s="469"/>
      <c r="J195" s="537"/>
      <c r="K195" s="469"/>
      <c r="L195" s="469"/>
    </row>
    <row r="196" spans="2:12" s="468" customFormat="1" ht="29.25" customHeight="1">
      <c r="B196" s="685"/>
      <c r="C196" s="701" t="s">
        <v>836</v>
      </c>
      <c r="D196" s="687">
        <v>20000</v>
      </c>
      <c r="E196" s="687">
        <v>20000</v>
      </c>
      <c r="F196" s="687">
        <v>0</v>
      </c>
      <c r="G196" s="688">
        <v>20000</v>
      </c>
      <c r="H196" s="873">
        <f t="shared" ref="H196" si="50">IF(E196=0,"",G196/E196*100)</f>
        <v>100</v>
      </c>
      <c r="I196" s="469"/>
      <c r="J196" s="537"/>
      <c r="K196" s="470"/>
      <c r="L196" s="469"/>
    </row>
    <row r="197" spans="2:12" s="468" customFormat="1" ht="25.5">
      <c r="B197" s="685"/>
      <c r="C197" s="854" t="s">
        <v>859</v>
      </c>
      <c r="D197" s="687">
        <v>0</v>
      </c>
      <c r="E197" s="687">
        <v>0</v>
      </c>
      <c r="F197" s="687">
        <v>0</v>
      </c>
      <c r="G197" s="688">
        <v>0</v>
      </c>
      <c r="H197" s="873" t="str">
        <f t="shared" ref="H197" si="51">IF(E197=0,"",G197/E197*100)</f>
        <v/>
      </c>
      <c r="I197" s="469"/>
      <c r="J197" s="537"/>
      <c r="K197" s="469"/>
      <c r="L197" s="469"/>
    </row>
    <row r="198" spans="2:12" s="468" customFormat="1">
      <c r="B198" s="685"/>
      <c r="C198" s="904" t="s">
        <v>937</v>
      </c>
      <c r="D198" s="687">
        <v>0</v>
      </c>
      <c r="E198" s="687">
        <v>0</v>
      </c>
      <c r="F198" s="687">
        <v>0</v>
      </c>
      <c r="G198" s="905"/>
      <c r="H198" s="873" t="str">
        <f t="shared" ref="H198" si="52">IF(E198=0,"",G198/E198*100)</f>
        <v/>
      </c>
      <c r="I198" s="469">
        <v>60000</v>
      </c>
      <c r="J198" s="537"/>
      <c r="K198" s="469"/>
      <c r="L198" s="469"/>
    </row>
    <row r="199" spans="2:12" s="468" customFormat="1">
      <c r="B199" s="685"/>
      <c r="C199" s="904" t="s">
        <v>938</v>
      </c>
      <c r="D199" s="687">
        <v>0</v>
      </c>
      <c r="E199" s="687">
        <v>0</v>
      </c>
      <c r="F199" s="687">
        <v>0</v>
      </c>
      <c r="G199" s="905"/>
      <c r="H199" s="873" t="str">
        <f t="shared" ref="H199" si="53">IF(E199=0,"",G199/E199*100)</f>
        <v/>
      </c>
      <c r="I199" s="469">
        <v>67451.399999999994</v>
      </c>
      <c r="J199" s="537"/>
      <c r="K199" s="469"/>
      <c r="L199" s="469"/>
    </row>
    <row r="200" spans="2:12" s="468" customFormat="1" ht="17.100000000000001" customHeight="1">
      <c r="B200" s="685"/>
      <c r="C200" s="701" t="s">
        <v>308</v>
      </c>
      <c r="D200" s="687">
        <f>SUM(D201:D202)</f>
        <v>5890000</v>
      </c>
      <c r="E200" s="687">
        <f>SUM(E201:E202)</f>
        <v>5890000</v>
      </c>
      <c r="F200" s="687">
        <f>SUM(F201:F202)</f>
        <v>7601971</v>
      </c>
      <c r="G200" s="688">
        <f t="shared" ref="G200" si="54">SUM(G201:G202)</f>
        <v>6215536</v>
      </c>
      <c r="H200" s="873">
        <f t="shared" si="28"/>
        <v>105.52692699490662</v>
      </c>
      <c r="I200" s="469"/>
      <c r="J200" s="537"/>
      <c r="K200" s="469"/>
      <c r="L200" s="469"/>
    </row>
    <row r="201" spans="2:12" s="468" customFormat="1" ht="17.100000000000001" customHeight="1">
      <c r="B201" s="685"/>
      <c r="C201" s="701" t="s">
        <v>907</v>
      </c>
      <c r="D201" s="687">
        <v>3800980</v>
      </c>
      <c r="E201" s="687">
        <v>3800980</v>
      </c>
      <c r="F201" s="687">
        <v>3800986</v>
      </c>
      <c r="G201" s="688">
        <v>3800986</v>
      </c>
      <c r="H201" s="873">
        <f>IF(E201=0,"",G201/E201*100)</f>
        <v>100.00015785402712</v>
      </c>
      <c r="I201" s="469"/>
      <c r="J201" s="537"/>
      <c r="K201" s="537"/>
      <c r="L201" s="469"/>
    </row>
    <row r="202" spans="2:12" s="468" customFormat="1" ht="17.100000000000001" customHeight="1">
      <c r="B202" s="685"/>
      <c r="C202" s="701" t="s">
        <v>908</v>
      </c>
      <c r="D202" s="687">
        <v>2089020</v>
      </c>
      <c r="E202" s="687">
        <v>2089020</v>
      </c>
      <c r="F202" s="687">
        <v>3800985</v>
      </c>
      <c r="G202" s="688">
        <v>2414550</v>
      </c>
      <c r="H202" s="873">
        <f t="shared" ref="H202" si="55">IF(E202=0,"",G202/E202*100)</f>
        <v>115.58290490277739</v>
      </c>
      <c r="I202" s="469"/>
      <c r="J202" s="537"/>
      <c r="K202" s="537"/>
      <c r="L202" s="469"/>
    </row>
    <row r="203" spans="2:12" s="468" customFormat="1" ht="17.100000000000001" customHeight="1">
      <c r="B203" s="685"/>
      <c r="C203" s="701" t="s">
        <v>794</v>
      </c>
      <c r="D203" s="687">
        <v>3000000</v>
      </c>
      <c r="E203" s="687">
        <v>3000000</v>
      </c>
      <c r="F203" s="687">
        <v>0</v>
      </c>
      <c r="G203" s="905">
        <v>3000000</v>
      </c>
      <c r="H203" s="873">
        <f t="shared" si="28"/>
        <v>100</v>
      </c>
      <c r="I203" s="469"/>
      <c r="J203" s="537"/>
      <c r="K203" s="469"/>
      <c r="L203" s="469"/>
    </row>
    <row r="204" spans="2:12" s="468" customFormat="1" ht="17.100000000000001" customHeight="1">
      <c r="B204" s="685"/>
      <c r="C204" s="701" t="s">
        <v>757</v>
      </c>
      <c r="D204" s="687">
        <v>0</v>
      </c>
      <c r="E204" s="687">
        <v>0</v>
      </c>
      <c r="F204" s="687">
        <v>0</v>
      </c>
      <c r="G204" s="688">
        <v>0</v>
      </c>
      <c r="H204" s="873" t="str">
        <f t="shared" si="28"/>
        <v/>
      </c>
      <c r="I204" s="469"/>
      <c r="J204" s="537"/>
      <c r="K204" s="537"/>
      <c r="L204" s="469"/>
    </row>
    <row r="205" spans="2:12" ht="15" customHeight="1">
      <c r="B205" s="673">
        <v>732115</v>
      </c>
      <c r="C205" s="674" t="s">
        <v>496</v>
      </c>
      <c r="D205" s="675">
        <f t="shared" ref="D205:G205" si="56">D206</f>
        <v>5000</v>
      </c>
      <c r="E205" s="675">
        <f t="shared" si="56"/>
        <v>5000</v>
      </c>
      <c r="F205" s="675">
        <v>0</v>
      </c>
      <c r="G205" s="676">
        <f t="shared" si="56"/>
        <v>0</v>
      </c>
      <c r="H205" s="871">
        <f t="shared" si="28"/>
        <v>0</v>
      </c>
      <c r="J205" s="535"/>
    </row>
    <row r="206" spans="2:12" s="468" customFormat="1" ht="15" customHeight="1">
      <c r="B206" s="685"/>
      <c r="C206" s="686" t="s">
        <v>758</v>
      </c>
      <c r="D206" s="719">
        <v>5000</v>
      </c>
      <c r="E206" s="719">
        <v>5000</v>
      </c>
      <c r="F206" s="719">
        <v>0</v>
      </c>
      <c r="G206" s="720"/>
      <c r="H206" s="873">
        <f t="shared" si="28"/>
        <v>0</v>
      </c>
      <c r="I206" s="469"/>
      <c r="J206" s="537"/>
      <c r="K206" s="469"/>
      <c r="L206" s="469"/>
    </row>
    <row r="207" spans="2:12" ht="15" customHeight="1">
      <c r="B207" s="669">
        <v>732130</v>
      </c>
      <c r="C207" s="679" t="s">
        <v>471</v>
      </c>
      <c r="D207" s="680">
        <f>SUM(D208:D209)</f>
        <v>121710</v>
      </c>
      <c r="E207" s="680">
        <f>SUM(E208:E209)</f>
        <v>121710</v>
      </c>
      <c r="F207" s="680">
        <f>SUM(F208:F209)</f>
        <v>29916</v>
      </c>
      <c r="G207" s="681">
        <f>SUM(G208:G209)</f>
        <v>0</v>
      </c>
      <c r="H207" s="872">
        <f t="shared" si="28"/>
        <v>0</v>
      </c>
      <c r="J207" s="535"/>
    </row>
    <row r="208" spans="2:12" ht="15" customHeight="1">
      <c r="B208" s="673">
        <v>732131</v>
      </c>
      <c r="C208" s="696" t="s">
        <v>675</v>
      </c>
      <c r="D208" s="677">
        <v>83910</v>
      </c>
      <c r="E208" s="677">
        <v>83910</v>
      </c>
      <c r="F208" s="677">
        <v>21516</v>
      </c>
      <c r="G208" s="678"/>
      <c r="H208" s="871">
        <f t="shared" si="28"/>
        <v>0</v>
      </c>
      <c r="I208" s="355"/>
      <c r="J208" s="535"/>
    </row>
    <row r="209" spans="2:12" ht="15" customHeight="1">
      <c r="B209" s="673">
        <v>732131</v>
      </c>
      <c r="C209" s="696" t="s">
        <v>487</v>
      </c>
      <c r="D209" s="677">
        <v>37800</v>
      </c>
      <c r="E209" s="677">
        <v>37800</v>
      </c>
      <c r="F209" s="677">
        <v>8400</v>
      </c>
      <c r="G209" s="678"/>
      <c r="H209" s="871">
        <f t="shared" si="28"/>
        <v>0</v>
      </c>
      <c r="I209" s="355"/>
      <c r="J209" s="535"/>
    </row>
    <row r="210" spans="2:12" ht="17.100000000000001" customHeight="1">
      <c r="B210" s="717">
        <v>733000</v>
      </c>
      <c r="C210" s="666" t="s">
        <v>292</v>
      </c>
      <c r="D210" s="667">
        <f>D211</f>
        <v>0</v>
      </c>
      <c r="E210" s="667">
        <f>E211</f>
        <v>0</v>
      </c>
      <c r="F210" s="667">
        <f>F211</f>
        <v>0</v>
      </c>
      <c r="G210" s="668">
        <f>G211</f>
        <v>0</v>
      </c>
      <c r="H210" s="866" t="str">
        <f t="shared" si="28"/>
        <v/>
      </c>
      <c r="J210" s="535"/>
    </row>
    <row r="211" spans="2:12" ht="15" customHeight="1">
      <c r="B211" s="697">
        <v>733100</v>
      </c>
      <c r="C211" s="698" t="s">
        <v>293</v>
      </c>
      <c r="D211" s="699">
        <f>D212+D216</f>
        <v>0</v>
      </c>
      <c r="E211" s="699">
        <f>E212+E216</f>
        <v>0</v>
      </c>
      <c r="F211" s="699">
        <f>F212+F216</f>
        <v>0</v>
      </c>
      <c r="G211" s="700">
        <f>G212+G216</f>
        <v>0</v>
      </c>
      <c r="H211" s="872" t="str">
        <f t="shared" si="28"/>
        <v/>
      </c>
      <c r="J211" s="535"/>
    </row>
    <row r="212" spans="2:12" ht="15" customHeight="1">
      <c r="B212" s="669">
        <v>733110</v>
      </c>
      <c r="C212" s="679" t="s">
        <v>294</v>
      </c>
      <c r="D212" s="680">
        <f t="shared" ref="D212:E212" si="57">D213+D214+D215</f>
        <v>0</v>
      </c>
      <c r="E212" s="680">
        <f t="shared" si="57"/>
        <v>0</v>
      </c>
      <c r="F212" s="680">
        <f t="shared" ref="F212" si="58">F213+F214+F215</f>
        <v>0</v>
      </c>
      <c r="G212" s="681">
        <f t="shared" ref="G212" si="59">G213+G214+G215</f>
        <v>0</v>
      </c>
      <c r="H212" s="872" t="str">
        <f t="shared" si="28"/>
        <v/>
      </c>
      <c r="J212" s="535"/>
    </row>
    <row r="213" spans="2:12" s="521" customFormat="1" ht="15" customHeight="1">
      <c r="B213" s="673">
        <v>733112</v>
      </c>
      <c r="C213" s="721" t="s">
        <v>782</v>
      </c>
      <c r="D213" s="677">
        <v>0</v>
      </c>
      <c r="E213" s="677">
        <v>0</v>
      </c>
      <c r="F213" s="677">
        <v>0</v>
      </c>
      <c r="G213" s="678">
        <v>0</v>
      </c>
      <c r="H213" s="871"/>
      <c r="I213" s="119"/>
      <c r="J213" s="535"/>
      <c r="K213" s="119"/>
      <c r="L213" s="119"/>
    </row>
    <row r="214" spans="2:12" s="521" customFormat="1" ht="15" customHeight="1">
      <c r="B214" s="673">
        <v>733112</v>
      </c>
      <c r="C214" s="721" t="s">
        <v>783</v>
      </c>
      <c r="D214" s="677">
        <v>0</v>
      </c>
      <c r="E214" s="677">
        <v>0</v>
      </c>
      <c r="F214" s="677">
        <v>0</v>
      </c>
      <c r="G214" s="678">
        <v>0</v>
      </c>
      <c r="H214" s="871"/>
      <c r="I214" s="119"/>
      <c r="J214" s="535"/>
      <c r="K214" s="119"/>
      <c r="L214" s="119"/>
    </row>
    <row r="215" spans="2:12" s="489" customFormat="1" ht="15" customHeight="1">
      <c r="B215" s="673">
        <v>733112</v>
      </c>
      <c r="C215" s="721" t="s">
        <v>781</v>
      </c>
      <c r="D215" s="677">
        <v>0</v>
      </c>
      <c r="E215" s="677">
        <v>0</v>
      </c>
      <c r="F215" s="677">
        <v>0</v>
      </c>
      <c r="G215" s="678">
        <v>0</v>
      </c>
      <c r="H215" s="871"/>
      <c r="I215" s="119"/>
      <c r="J215" s="535"/>
      <c r="K215" s="119"/>
      <c r="L215" s="119"/>
    </row>
    <row r="216" spans="2:12" ht="15" customHeight="1">
      <c r="B216" s="669">
        <v>733120</v>
      </c>
      <c r="C216" s="679" t="s">
        <v>295</v>
      </c>
      <c r="D216" s="680">
        <v>0</v>
      </c>
      <c r="E216" s="680">
        <v>0</v>
      </c>
      <c r="F216" s="680">
        <v>0</v>
      </c>
      <c r="G216" s="681">
        <v>0</v>
      </c>
      <c r="H216" s="872" t="str">
        <f t="shared" si="28"/>
        <v/>
      </c>
      <c r="J216" s="535"/>
    </row>
    <row r="217" spans="2:12" ht="15">
      <c r="B217" s="722"/>
      <c r="C217" s="695"/>
      <c r="D217" s="671"/>
      <c r="E217" s="671"/>
      <c r="F217" s="671"/>
      <c r="G217" s="672"/>
      <c r="H217" s="871" t="str">
        <f t="shared" si="28"/>
        <v/>
      </c>
      <c r="J217" s="535"/>
    </row>
    <row r="218" spans="2:12" ht="17.100000000000001" customHeight="1">
      <c r="B218" s="662">
        <v>740000</v>
      </c>
      <c r="C218" s="666" t="s">
        <v>337</v>
      </c>
      <c r="D218" s="664">
        <f>D219+D229</f>
        <v>31030</v>
      </c>
      <c r="E218" s="664">
        <f>E219+E229</f>
        <v>31030</v>
      </c>
      <c r="F218" s="664">
        <f>F219+F229</f>
        <v>31016</v>
      </c>
      <c r="G218" s="665">
        <f>G219+G229</f>
        <v>0</v>
      </c>
      <c r="H218" s="865">
        <f t="shared" si="28"/>
        <v>0</v>
      </c>
      <c r="J218" s="535"/>
    </row>
    <row r="219" spans="2:12" ht="25.5">
      <c r="B219" s="717">
        <v>741000</v>
      </c>
      <c r="C219" s="666" t="s">
        <v>338</v>
      </c>
      <c r="D219" s="667">
        <f t="shared" ref="D219:G220" si="60">D220</f>
        <v>31030</v>
      </c>
      <c r="E219" s="667">
        <f t="shared" si="60"/>
        <v>31030</v>
      </c>
      <c r="F219" s="667">
        <f t="shared" si="60"/>
        <v>31016</v>
      </c>
      <c r="G219" s="668">
        <f t="shared" si="60"/>
        <v>0</v>
      </c>
      <c r="H219" s="866">
        <f t="shared" ref="H219:H257" si="61">IF(E219=0,"",G219/E219*100)</f>
        <v>0</v>
      </c>
      <c r="J219" s="535"/>
    </row>
    <row r="220" spans="2:12" ht="25.5">
      <c r="B220" s="697">
        <v>741100</v>
      </c>
      <c r="C220" s="702" t="s">
        <v>339</v>
      </c>
      <c r="D220" s="699">
        <f t="shared" si="60"/>
        <v>31030</v>
      </c>
      <c r="E220" s="699">
        <f t="shared" si="60"/>
        <v>31030</v>
      </c>
      <c r="F220" s="699">
        <f t="shared" si="60"/>
        <v>31016</v>
      </c>
      <c r="G220" s="700">
        <f t="shared" si="60"/>
        <v>0</v>
      </c>
      <c r="H220" s="872">
        <f t="shared" si="61"/>
        <v>0</v>
      </c>
      <c r="J220" s="535"/>
    </row>
    <row r="221" spans="2:12" ht="15" customHeight="1">
      <c r="B221" s="673">
        <v>741111</v>
      </c>
      <c r="C221" s="674" t="s">
        <v>340</v>
      </c>
      <c r="D221" s="675">
        <f>SUM(D222:D228)</f>
        <v>31030</v>
      </c>
      <c r="E221" s="675">
        <f>SUM(E222:E228)</f>
        <v>31030</v>
      </c>
      <c r="F221" s="675">
        <f>SUM(F222:F228)</f>
        <v>31016</v>
      </c>
      <c r="G221" s="676">
        <f>SUM(G222:G228)</f>
        <v>0</v>
      </c>
      <c r="H221" s="871">
        <f t="shared" si="61"/>
        <v>0</v>
      </c>
      <c r="J221" s="535"/>
    </row>
    <row r="222" spans="2:12" s="468" customFormat="1" ht="24.75" customHeight="1">
      <c r="B222" s="685"/>
      <c r="C222" s="701" t="s">
        <v>779</v>
      </c>
      <c r="D222" s="687">
        <v>0</v>
      </c>
      <c r="E222" s="687">
        <v>0</v>
      </c>
      <c r="F222" s="687">
        <v>0</v>
      </c>
      <c r="G222" s="688">
        <v>0</v>
      </c>
      <c r="H222" s="873" t="str">
        <f t="shared" si="61"/>
        <v/>
      </c>
      <c r="I222" s="469"/>
      <c r="J222" s="537"/>
      <c r="K222" s="469"/>
      <c r="L222" s="469"/>
    </row>
    <row r="223" spans="2:12" s="468" customFormat="1" ht="24.75" customHeight="1">
      <c r="B223" s="685"/>
      <c r="C223" s="701" t="s">
        <v>759</v>
      </c>
      <c r="D223" s="687">
        <v>0</v>
      </c>
      <c r="E223" s="687">
        <v>0</v>
      </c>
      <c r="F223" s="687">
        <v>0</v>
      </c>
      <c r="G223" s="688">
        <v>0</v>
      </c>
      <c r="H223" s="873" t="str">
        <f t="shared" si="61"/>
        <v/>
      </c>
      <c r="I223" s="469"/>
      <c r="J223" s="537"/>
      <c r="K223" s="469"/>
      <c r="L223" s="469"/>
    </row>
    <row r="224" spans="2:12" s="468" customFormat="1" ht="15" customHeight="1">
      <c r="B224" s="685"/>
      <c r="C224" s="701" t="s">
        <v>760</v>
      </c>
      <c r="D224" s="687">
        <v>7060</v>
      </c>
      <c r="E224" s="687">
        <v>7060</v>
      </c>
      <c r="F224" s="687">
        <v>7055</v>
      </c>
      <c r="G224" s="688"/>
      <c r="H224" s="873">
        <f t="shared" si="61"/>
        <v>0</v>
      </c>
      <c r="I224" s="469"/>
      <c r="J224" s="537"/>
      <c r="K224" s="469"/>
      <c r="L224" s="469"/>
    </row>
    <row r="225" spans="2:12" s="468" customFormat="1" ht="15" customHeight="1">
      <c r="B225" s="685"/>
      <c r="C225" s="701" t="s">
        <v>776</v>
      </c>
      <c r="D225" s="687">
        <v>0</v>
      </c>
      <c r="E225" s="687">
        <v>0</v>
      </c>
      <c r="F225" s="687">
        <v>0</v>
      </c>
      <c r="G225" s="688">
        <v>0</v>
      </c>
      <c r="H225" s="873" t="str">
        <f t="shared" si="61"/>
        <v/>
      </c>
      <c r="I225" s="469"/>
      <c r="J225" s="537"/>
      <c r="K225" s="469"/>
      <c r="L225" s="469"/>
    </row>
    <row r="226" spans="2:12" s="468" customFormat="1" ht="15" customHeight="1">
      <c r="B226" s="685"/>
      <c r="C226" s="701" t="s">
        <v>761</v>
      </c>
      <c r="D226" s="687">
        <v>0</v>
      </c>
      <c r="E226" s="687">
        <v>0</v>
      </c>
      <c r="F226" s="687">
        <v>0</v>
      </c>
      <c r="G226" s="688">
        <v>0</v>
      </c>
      <c r="H226" s="873" t="str">
        <f t="shared" si="61"/>
        <v/>
      </c>
      <c r="I226" s="469"/>
      <c r="J226" s="537"/>
      <c r="K226" s="469"/>
      <c r="L226" s="469"/>
    </row>
    <row r="227" spans="2:12" s="468" customFormat="1" ht="15" customHeight="1">
      <c r="B227" s="685"/>
      <c r="C227" s="701" t="s">
        <v>778</v>
      </c>
      <c r="D227" s="687">
        <v>0</v>
      </c>
      <c r="E227" s="687">
        <v>0</v>
      </c>
      <c r="F227" s="687">
        <v>0</v>
      </c>
      <c r="G227" s="688">
        <v>0</v>
      </c>
      <c r="H227" s="873" t="str">
        <f t="shared" si="61"/>
        <v/>
      </c>
      <c r="I227" s="469"/>
      <c r="J227" s="537"/>
      <c r="K227" s="469"/>
      <c r="L227" s="469"/>
    </row>
    <row r="228" spans="2:12" s="468" customFormat="1" ht="15" customHeight="1">
      <c r="B228" s="685"/>
      <c r="C228" s="701" t="s">
        <v>895</v>
      </c>
      <c r="D228" s="687">
        <v>23970</v>
      </c>
      <c r="E228" s="687">
        <v>23970</v>
      </c>
      <c r="F228" s="687">
        <v>23961</v>
      </c>
      <c r="G228" s="688"/>
      <c r="H228" s="873">
        <f t="shared" ref="H228" si="62">IF(E228=0,"",G228/E228*100)</f>
        <v>0</v>
      </c>
      <c r="I228" s="469"/>
      <c r="J228" s="537"/>
      <c r="K228" s="469"/>
      <c r="L228" s="469"/>
    </row>
    <row r="229" spans="2:12" ht="25.5" customHeight="1">
      <c r="B229" s="717">
        <v>742000</v>
      </c>
      <c r="C229" s="666" t="s">
        <v>341</v>
      </c>
      <c r="D229" s="667">
        <f>D230+D238</f>
        <v>0</v>
      </c>
      <c r="E229" s="667">
        <f>E230+E238</f>
        <v>0</v>
      </c>
      <c r="F229" s="667">
        <f>F230+F238</f>
        <v>0</v>
      </c>
      <c r="G229" s="668">
        <f>G230+G238</f>
        <v>0</v>
      </c>
      <c r="H229" s="866" t="str">
        <f t="shared" si="61"/>
        <v/>
      </c>
      <c r="J229" s="535"/>
    </row>
    <row r="230" spans="2:12" ht="15" customHeight="1">
      <c r="B230" s="697">
        <v>742100</v>
      </c>
      <c r="C230" s="702" t="s">
        <v>342</v>
      </c>
      <c r="D230" s="699">
        <f>D231+D236</f>
        <v>0</v>
      </c>
      <c r="E230" s="699">
        <f>E231+E236</f>
        <v>0</v>
      </c>
      <c r="F230" s="699">
        <f>F231+F236</f>
        <v>0</v>
      </c>
      <c r="G230" s="700">
        <f>G231+G236</f>
        <v>0</v>
      </c>
      <c r="H230" s="872" t="str">
        <f t="shared" si="61"/>
        <v/>
      </c>
      <c r="J230" s="535"/>
    </row>
    <row r="231" spans="2:12" ht="15" customHeight="1">
      <c r="B231" s="673">
        <v>742112</v>
      </c>
      <c r="C231" s="696" t="s">
        <v>343</v>
      </c>
      <c r="D231" s="675">
        <f>SUM(D232:D235)</f>
        <v>0</v>
      </c>
      <c r="E231" s="675">
        <f>SUM(E232:E235)</f>
        <v>0</v>
      </c>
      <c r="F231" s="675">
        <f>SUM(F232:F235)</f>
        <v>0</v>
      </c>
      <c r="G231" s="676">
        <f>SUM(G232:G235)</f>
        <v>0</v>
      </c>
      <c r="H231" s="871" t="str">
        <f t="shared" si="61"/>
        <v/>
      </c>
      <c r="J231" s="535"/>
    </row>
    <row r="232" spans="2:12" s="468" customFormat="1" ht="29.25" customHeight="1">
      <c r="B232" s="697"/>
      <c r="C232" s="703" t="s">
        <v>773</v>
      </c>
      <c r="D232" s="687">
        <v>0</v>
      </c>
      <c r="E232" s="687">
        <v>0</v>
      </c>
      <c r="F232" s="687">
        <v>0</v>
      </c>
      <c r="G232" s="688">
        <v>0</v>
      </c>
      <c r="H232" s="873" t="str">
        <f t="shared" si="61"/>
        <v/>
      </c>
      <c r="I232" s="469"/>
      <c r="J232" s="537"/>
      <c r="K232" s="469"/>
      <c r="L232" s="469"/>
    </row>
    <row r="233" spans="2:12" s="468" customFormat="1" ht="26.25" customHeight="1">
      <c r="B233" s="697"/>
      <c r="C233" s="703" t="s">
        <v>777</v>
      </c>
      <c r="D233" s="687">
        <v>0</v>
      </c>
      <c r="E233" s="687">
        <v>0</v>
      </c>
      <c r="F233" s="687">
        <v>0</v>
      </c>
      <c r="G233" s="688">
        <v>0</v>
      </c>
      <c r="H233" s="873" t="str">
        <f t="shared" si="61"/>
        <v/>
      </c>
      <c r="I233" s="469"/>
      <c r="J233" s="537"/>
      <c r="K233" s="469"/>
      <c r="L233" s="469"/>
    </row>
    <row r="234" spans="2:12" s="468" customFormat="1" ht="24.75" customHeight="1">
      <c r="B234" s="685"/>
      <c r="C234" s="703" t="s">
        <v>860</v>
      </c>
      <c r="D234" s="687">
        <v>0</v>
      </c>
      <c r="E234" s="687">
        <v>0</v>
      </c>
      <c r="F234" s="687">
        <v>0</v>
      </c>
      <c r="G234" s="688">
        <v>0</v>
      </c>
      <c r="H234" s="873" t="str">
        <f t="shared" si="61"/>
        <v/>
      </c>
      <c r="I234" s="469"/>
      <c r="J234" s="537"/>
      <c r="K234" s="469"/>
      <c r="L234" s="469"/>
    </row>
    <row r="235" spans="2:12" s="468" customFormat="1" ht="24.75" customHeight="1">
      <c r="B235" s="685"/>
      <c r="C235" s="703" t="s">
        <v>861</v>
      </c>
      <c r="D235" s="687">
        <v>0</v>
      </c>
      <c r="E235" s="687">
        <v>0</v>
      </c>
      <c r="F235" s="687">
        <v>0</v>
      </c>
      <c r="G235" s="688">
        <v>0</v>
      </c>
      <c r="H235" s="873" t="str">
        <f t="shared" si="61"/>
        <v/>
      </c>
      <c r="I235" s="469"/>
      <c r="J235" s="537"/>
      <c r="K235" s="469"/>
      <c r="L235" s="469"/>
    </row>
    <row r="236" spans="2:12" ht="15" customHeight="1">
      <c r="B236" s="673">
        <v>742116</v>
      </c>
      <c r="C236" s="674" t="s">
        <v>763</v>
      </c>
      <c r="D236" s="677">
        <f>D237</f>
        <v>0</v>
      </c>
      <c r="E236" s="677">
        <f>E237</f>
        <v>0</v>
      </c>
      <c r="F236" s="677">
        <f>F237</f>
        <v>0</v>
      </c>
      <c r="G236" s="678">
        <f>G237</f>
        <v>0</v>
      </c>
      <c r="H236" s="871" t="str">
        <f t="shared" si="61"/>
        <v/>
      </c>
      <c r="J236" s="535"/>
      <c r="K236" s="130"/>
    </row>
    <row r="237" spans="2:12" ht="15.75" customHeight="1">
      <c r="B237" s="673"/>
      <c r="C237" s="703" t="s">
        <v>762</v>
      </c>
      <c r="D237" s="677">
        <v>0</v>
      </c>
      <c r="E237" s="677">
        <v>0</v>
      </c>
      <c r="F237" s="677">
        <v>0</v>
      </c>
      <c r="G237" s="678">
        <v>0</v>
      </c>
      <c r="H237" s="871" t="str">
        <f t="shared" si="61"/>
        <v/>
      </c>
      <c r="J237" s="535"/>
      <c r="K237" s="130"/>
    </row>
    <row r="238" spans="2:12" ht="15" customHeight="1">
      <c r="B238" s="697">
        <v>742200</v>
      </c>
      <c r="C238" s="702" t="s">
        <v>495</v>
      </c>
      <c r="D238" s="699">
        <f t="shared" ref="D238:G239" si="63">D239</f>
        <v>0</v>
      </c>
      <c r="E238" s="699">
        <f t="shared" si="63"/>
        <v>0</v>
      </c>
      <c r="F238" s="699">
        <f t="shared" si="63"/>
        <v>0</v>
      </c>
      <c r="G238" s="700">
        <f t="shared" si="63"/>
        <v>0</v>
      </c>
      <c r="H238" s="872" t="str">
        <f t="shared" si="61"/>
        <v/>
      </c>
      <c r="J238" s="535"/>
    </row>
    <row r="239" spans="2:12" ht="15" customHeight="1">
      <c r="B239" s="673">
        <v>742211</v>
      </c>
      <c r="C239" s="674" t="s">
        <v>495</v>
      </c>
      <c r="D239" s="675">
        <f t="shared" si="63"/>
        <v>0</v>
      </c>
      <c r="E239" s="675">
        <f t="shared" si="63"/>
        <v>0</v>
      </c>
      <c r="F239" s="675">
        <f t="shared" si="63"/>
        <v>0</v>
      </c>
      <c r="G239" s="676">
        <f t="shared" si="63"/>
        <v>0</v>
      </c>
      <c r="H239" s="871" t="str">
        <f t="shared" si="61"/>
        <v/>
      </c>
      <c r="J239" s="535"/>
    </row>
    <row r="240" spans="2:12" ht="15" customHeight="1">
      <c r="B240" s="669"/>
      <c r="C240" s="703" t="s">
        <v>762</v>
      </c>
      <c r="D240" s="677">
        <v>0</v>
      </c>
      <c r="E240" s="677">
        <v>0</v>
      </c>
      <c r="F240" s="677">
        <v>0</v>
      </c>
      <c r="G240" s="678">
        <v>0</v>
      </c>
      <c r="H240" s="871" t="str">
        <f t="shared" si="61"/>
        <v/>
      </c>
      <c r="J240" s="535"/>
    </row>
    <row r="241" spans="2:12">
      <c r="B241" s="669"/>
      <c r="C241" s="703"/>
      <c r="D241" s="677"/>
      <c r="E241" s="677"/>
      <c r="F241" s="677"/>
      <c r="G241" s="678"/>
      <c r="H241" s="871" t="str">
        <f t="shared" si="61"/>
        <v/>
      </c>
      <c r="J241" s="535"/>
    </row>
    <row r="242" spans="2:12" ht="17.100000000000001" customHeight="1">
      <c r="B242" s="662">
        <v>777000</v>
      </c>
      <c r="C242" s="663" t="s">
        <v>296</v>
      </c>
      <c r="D242" s="667">
        <f>SUM(D243:D244)</f>
        <v>390</v>
      </c>
      <c r="E242" s="667">
        <f>SUM(E243:E244)</f>
        <v>390</v>
      </c>
      <c r="F242" s="667">
        <f>SUM(F243:F244)</f>
        <v>757</v>
      </c>
      <c r="G242" s="668">
        <f>SUM(G243:G244)</f>
        <v>0</v>
      </c>
      <c r="H242" s="866">
        <f t="shared" si="61"/>
        <v>0</v>
      </c>
      <c r="J242" s="535"/>
    </row>
    <row r="243" spans="2:12" ht="15" customHeight="1">
      <c r="B243" s="673">
        <v>777778</v>
      </c>
      <c r="C243" s="696" t="s">
        <v>297</v>
      </c>
      <c r="D243" s="675">
        <v>380</v>
      </c>
      <c r="E243" s="675">
        <v>380</v>
      </c>
      <c r="F243" s="675">
        <v>511</v>
      </c>
      <c r="G243" s="676"/>
      <c r="H243" s="871">
        <f t="shared" si="61"/>
        <v>0</v>
      </c>
      <c r="J243" s="535"/>
    </row>
    <row r="244" spans="2:12" ht="15" customHeight="1">
      <c r="B244" s="673">
        <v>777779</v>
      </c>
      <c r="C244" s="674" t="s">
        <v>298</v>
      </c>
      <c r="D244" s="677">
        <v>10</v>
      </c>
      <c r="E244" s="677">
        <v>10</v>
      </c>
      <c r="F244" s="677">
        <v>246</v>
      </c>
      <c r="G244" s="678"/>
      <c r="H244" s="871">
        <f t="shared" si="61"/>
        <v>0</v>
      </c>
      <c r="J244" s="535"/>
    </row>
    <row r="245" spans="2:12" ht="15" customHeight="1">
      <c r="B245" s="723"/>
      <c r="C245" s="705"/>
      <c r="D245" s="677"/>
      <c r="E245" s="677"/>
      <c r="F245" s="677"/>
      <c r="G245" s="678"/>
      <c r="H245" s="871" t="str">
        <f t="shared" si="61"/>
        <v/>
      </c>
      <c r="J245" s="535"/>
    </row>
    <row r="246" spans="2:12" ht="15" customHeight="1">
      <c r="B246" s="933" t="s">
        <v>310</v>
      </c>
      <c r="C246" s="934"/>
      <c r="D246" s="711">
        <f>D176+D178+D218+D242</f>
        <v>57492550</v>
      </c>
      <c r="E246" s="711">
        <f>E176+E178+E218+E242</f>
        <v>57498190</v>
      </c>
      <c r="F246" s="711">
        <f>F176+F178+F218+F242</f>
        <v>32064926</v>
      </c>
      <c r="G246" s="712">
        <f>G176+G178+G218+G242</f>
        <v>9241176</v>
      </c>
      <c r="H246" s="875">
        <f t="shared" si="61"/>
        <v>16.072116357054021</v>
      </c>
      <c r="J246" s="535"/>
    </row>
    <row r="247" spans="2:12" ht="15" customHeight="1">
      <c r="B247" s="713"/>
      <c r="C247" s="714"/>
      <c r="D247" s="711"/>
      <c r="E247" s="711"/>
      <c r="F247" s="711"/>
      <c r="G247" s="712"/>
      <c r="H247" s="871" t="str">
        <f t="shared" si="61"/>
        <v/>
      </c>
      <c r="J247" s="535"/>
    </row>
    <row r="248" spans="2:12" ht="17.100000000000001" customHeight="1">
      <c r="B248" s="662">
        <v>810000</v>
      </c>
      <c r="C248" s="663" t="s">
        <v>299</v>
      </c>
      <c r="D248" s="664">
        <f>D249</f>
        <v>0</v>
      </c>
      <c r="E248" s="664">
        <f>E249</f>
        <v>0</v>
      </c>
      <c r="F248" s="664">
        <f>F249</f>
        <v>0</v>
      </c>
      <c r="G248" s="665">
        <f>G249</f>
        <v>0</v>
      </c>
      <c r="H248" s="866" t="str">
        <f t="shared" si="61"/>
        <v/>
      </c>
      <c r="J248" s="535"/>
    </row>
    <row r="249" spans="2:12" ht="17.100000000000001" customHeight="1">
      <c r="B249" s="662">
        <v>811000</v>
      </c>
      <c r="C249" s="666" t="s">
        <v>301</v>
      </c>
      <c r="D249" s="667">
        <f>SUM(D250:D250)</f>
        <v>0</v>
      </c>
      <c r="E249" s="667">
        <f>SUM(E250:E250)</f>
        <v>0</v>
      </c>
      <c r="F249" s="667">
        <f>SUM(F250:F250)</f>
        <v>0</v>
      </c>
      <c r="G249" s="668">
        <f>SUM(G250:G250)</f>
        <v>0</v>
      </c>
      <c r="H249" s="866" t="str">
        <f t="shared" si="61"/>
        <v/>
      </c>
      <c r="J249" s="535"/>
    </row>
    <row r="250" spans="2:12" ht="15" customHeight="1">
      <c r="B250" s="697">
        <v>811100</v>
      </c>
      <c r="C250" s="707" t="s">
        <v>300</v>
      </c>
      <c r="D250" s="680">
        <f t="shared" ref="D250:G250" si="64">D251</f>
        <v>0</v>
      </c>
      <c r="E250" s="680">
        <f t="shared" si="64"/>
        <v>0</v>
      </c>
      <c r="F250" s="680">
        <f t="shared" si="64"/>
        <v>0</v>
      </c>
      <c r="G250" s="681">
        <f t="shared" si="64"/>
        <v>0</v>
      </c>
      <c r="H250" s="872" t="str">
        <f t="shared" si="61"/>
        <v/>
      </c>
      <c r="J250" s="535"/>
    </row>
    <row r="251" spans="2:12" ht="15" customHeight="1">
      <c r="B251" s="673">
        <v>811114</v>
      </c>
      <c r="C251" s="674" t="s">
        <v>437</v>
      </c>
      <c r="D251" s="675">
        <f t="shared" ref="D251:E251" si="65">SUM(D252:D255)</f>
        <v>0</v>
      </c>
      <c r="E251" s="675">
        <f t="shared" si="65"/>
        <v>0</v>
      </c>
      <c r="F251" s="675">
        <f t="shared" ref="F251" si="66">SUM(F252:F255)</f>
        <v>0</v>
      </c>
      <c r="G251" s="676">
        <v>0</v>
      </c>
      <c r="H251" s="871" t="str">
        <f t="shared" si="61"/>
        <v/>
      </c>
      <c r="J251" s="535"/>
    </row>
    <row r="252" spans="2:12" ht="15" customHeight="1">
      <c r="B252" s="685"/>
      <c r="C252" s="701" t="s">
        <v>764</v>
      </c>
      <c r="D252" s="719">
        <v>0</v>
      </c>
      <c r="E252" s="719">
        <v>0</v>
      </c>
      <c r="F252" s="719">
        <v>0</v>
      </c>
      <c r="G252" s="720">
        <v>0</v>
      </c>
      <c r="H252" s="873" t="str">
        <f t="shared" si="61"/>
        <v/>
      </c>
      <c r="J252" s="535"/>
    </row>
    <row r="253" spans="2:12" ht="15" customHeight="1">
      <c r="B253" s="685"/>
      <c r="C253" s="701" t="s">
        <v>765</v>
      </c>
      <c r="D253" s="719">
        <v>0</v>
      </c>
      <c r="E253" s="719">
        <v>0</v>
      </c>
      <c r="F253" s="719">
        <v>0</v>
      </c>
      <c r="G253" s="720">
        <v>0</v>
      </c>
      <c r="H253" s="873" t="str">
        <f t="shared" si="61"/>
        <v/>
      </c>
      <c r="J253" s="535"/>
    </row>
    <row r="254" spans="2:12" s="489" customFormat="1" ht="15" customHeight="1">
      <c r="B254" s="685"/>
      <c r="C254" s="701" t="s">
        <v>780</v>
      </c>
      <c r="D254" s="719">
        <v>0</v>
      </c>
      <c r="E254" s="719">
        <v>0</v>
      </c>
      <c r="F254" s="719">
        <v>0</v>
      </c>
      <c r="G254" s="720">
        <v>0</v>
      </c>
      <c r="H254" s="873" t="str">
        <f t="shared" ref="H254" si="67">IF(E254=0,"",G254/E254*100)</f>
        <v/>
      </c>
      <c r="I254" s="119"/>
      <c r="J254" s="535"/>
      <c r="K254" s="119"/>
      <c r="L254" s="119"/>
    </row>
    <row r="255" spans="2:12" ht="15" customHeight="1">
      <c r="B255" s="685"/>
      <c r="C255" s="701" t="s">
        <v>766</v>
      </c>
      <c r="D255" s="719">
        <v>0</v>
      </c>
      <c r="E255" s="719">
        <v>0</v>
      </c>
      <c r="F255" s="719">
        <v>0</v>
      </c>
      <c r="G255" s="720">
        <v>0</v>
      </c>
      <c r="H255" s="873" t="str">
        <f t="shared" si="61"/>
        <v/>
      </c>
      <c r="J255" s="535"/>
    </row>
    <row r="256" spans="2:12" ht="15" customHeight="1" thickBot="1">
      <c r="B256" s="724"/>
      <c r="C256" s="725"/>
      <c r="D256" s="725"/>
      <c r="E256" s="725"/>
      <c r="F256" s="725"/>
      <c r="G256" s="726"/>
      <c r="H256" s="876" t="str">
        <f t="shared" si="61"/>
        <v/>
      </c>
      <c r="J256" s="535"/>
    </row>
    <row r="257" spans="2:8" ht="17.100000000000001" customHeight="1" thickBot="1">
      <c r="B257" s="935" t="s">
        <v>344</v>
      </c>
      <c r="C257" s="936"/>
      <c r="D257" s="727">
        <f>D246+D248</f>
        <v>57492550</v>
      </c>
      <c r="E257" s="727">
        <f>E246+E248</f>
        <v>57498190</v>
      </c>
      <c r="F257" s="727">
        <f>F246+F248</f>
        <v>32064926</v>
      </c>
      <c r="G257" s="728">
        <f>G246+G248</f>
        <v>9241176</v>
      </c>
      <c r="H257" s="877">
        <f t="shared" si="61"/>
        <v>16.072116357054021</v>
      </c>
    </row>
    <row r="258" spans="2:8">
      <c r="G258" s="472"/>
    </row>
    <row r="259" spans="2:8">
      <c r="E259" s="57"/>
      <c r="F259" s="57"/>
      <c r="G259" s="471"/>
    </row>
    <row r="260" spans="2:8">
      <c r="D260" s="57"/>
      <c r="E260" s="57"/>
      <c r="F260" s="57"/>
    </row>
  </sheetData>
  <mergeCells count="4">
    <mergeCell ref="B176:C176"/>
    <mergeCell ref="B246:C246"/>
    <mergeCell ref="B257:C257"/>
    <mergeCell ref="B2:H2"/>
  </mergeCells>
  <pageMargins left="0.74" right="0.31496062992125984" top="0.59055118110236227" bottom="0.51181102362204722" header="0.59055118110236227" footer="0.31496062992125984"/>
  <pageSetup paperSize="9" scale="87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28"/>
  <sheetViews>
    <sheetView topLeftCell="C1" zoomScaleNormal="100" workbookViewId="0">
      <selection activeCell="S6" sqref="S6"/>
    </sheetView>
  </sheetViews>
  <sheetFormatPr defaultColWidth="9.140625" defaultRowHeight="12" customHeight="1"/>
  <cols>
    <col min="1" max="1" width="0.5703125" style="9" hidden="1" customWidth="1"/>
    <col min="2" max="2" width="5.7109375" style="9" hidden="1" customWidth="1"/>
    <col min="3" max="3" width="8.7109375" style="18" customWidth="1"/>
    <col min="4" max="4" width="7" style="171" customWidth="1"/>
    <col min="5" max="5" width="52.140625" style="9" customWidth="1"/>
    <col min="6" max="6" width="12.7109375" style="9" customWidth="1"/>
    <col min="7" max="7" width="12.42578125" style="9" customWidth="1"/>
    <col min="8" max="8" width="11.5703125" style="166" customWidth="1"/>
    <col min="9" max="9" width="12.7109375" style="166" customWidth="1"/>
    <col min="10" max="10" width="11" style="166" customWidth="1"/>
    <col min="11" max="11" width="14.7109375" style="9" customWidth="1"/>
    <col min="12" max="12" width="7.42578125" style="68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942" t="s">
        <v>75</v>
      </c>
      <c r="D3" s="942"/>
      <c r="E3" s="942"/>
      <c r="F3" s="67"/>
      <c r="G3" s="67"/>
      <c r="H3" s="732"/>
      <c r="I3" s="245"/>
      <c r="J3" s="245"/>
      <c r="K3" s="940"/>
      <c r="L3" s="941"/>
    </row>
    <row r="4" spans="2:16" s="1" customFormat="1" ht="39.75" customHeight="1">
      <c r="B4" s="3" t="s">
        <v>76</v>
      </c>
      <c r="C4" s="947" t="s">
        <v>469</v>
      </c>
      <c r="D4" s="949" t="s">
        <v>497</v>
      </c>
      <c r="E4" s="951" t="s">
        <v>78</v>
      </c>
      <c r="F4" s="953" t="s">
        <v>915</v>
      </c>
      <c r="G4" s="955" t="s">
        <v>852</v>
      </c>
      <c r="H4" s="959" t="s">
        <v>927</v>
      </c>
      <c r="I4" s="944" t="s">
        <v>928</v>
      </c>
      <c r="J4" s="945"/>
      <c r="K4" s="946"/>
      <c r="L4" s="957" t="s">
        <v>857</v>
      </c>
    </row>
    <row r="5" spans="2:16" s="163" customFormat="1" ht="28.5" customHeight="1">
      <c r="B5" s="248"/>
      <c r="C5" s="948"/>
      <c r="D5" s="950"/>
      <c r="E5" s="952"/>
      <c r="F5" s="954"/>
      <c r="G5" s="956"/>
      <c r="H5" s="960"/>
      <c r="I5" s="778" t="s">
        <v>530</v>
      </c>
      <c r="J5" s="734" t="s">
        <v>531</v>
      </c>
      <c r="K5" s="779" t="s">
        <v>320</v>
      </c>
      <c r="L5" s="958"/>
    </row>
    <row r="6" spans="2:16" s="2" customFormat="1" ht="14.1" customHeight="1">
      <c r="B6" s="4">
        <v>1</v>
      </c>
      <c r="C6" s="335">
        <v>1</v>
      </c>
      <c r="D6" s="193"/>
      <c r="E6" s="200">
        <v>2</v>
      </c>
      <c r="F6" s="336">
        <v>3</v>
      </c>
      <c r="G6" s="336">
        <v>4</v>
      </c>
      <c r="H6" s="510">
        <v>5</v>
      </c>
      <c r="I6" s="335">
        <v>6</v>
      </c>
      <c r="J6" s="200">
        <v>7</v>
      </c>
      <c r="K6" s="780" t="s">
        <v>532</v>
      </c>
      <c r="L6" s="756" t="s">
        <v>853</v>
      </c>
    </row>
    <row r="7" spans="2:16" s="2" customFormat="1" ht="15" customHeight="1">
      <c r="B7" s="4"/>
      <c r="C7" s="264"/>
      <c r="D7" s="265"/>
      <c r="E7" s="266" t="s">
        <v>138</v>
      </c>
      <c r="F7" s="267">
        <f t="shared" ref="F7:K7" si="0">F9+F15+F21+F25+F50+F90+F97+F101+F109</f>
        <v>57492550</v>
      </c>
      <c r="G7" s="757">
        <f t="shared" si="0"/>
        <v>58056385</v>
      </c>
      <c r="H7" s="558">
        <f t="shared" si="0"/>
        <v>37690291</v>
      </c>
      <c r="I7" s="781">
        <f t="shared" si="0"/>
        <v>0</v>
      </c>
      <c r="J7" s="267">
        <f t="shared" si="0"/>
        <v>0</v>
      </c>
      <c r="K7" s="782">
        <f t="shared" si="0"/>
        <v>0</v>
      </c>
      <c r="L7" s="268">
        <f>IF(G7=0,"",K7/G7*100)</f>
        <v>0</v>
      </c>
      <c r="N7" s="101"/>
    </row>
    <row r="8" spans="2:16" s="2" customFormat="1" ht="9" customHeight="1">
      <c r="B8" s="4"/>
      <c r="C8" s="4"/>
      <c r="D8" s="193"/>
      <c r="E8" s="21"/>
      <c r="F8" s="19"/>
      <c r="G8" s="758"/>
      <c r="H8" s="559"/>
      <c r="I8" s="783"/>
      <c r="J8" s="160"/>
      <c r="K8" s="782"/>
      <c r="L8" s="74" t="str">
        <f>IF(F8=0,"",K8/F8*100)</f>
        <v/>
      </c>
      <c r="N8" s="66"/>
    </row>
    <row r="9" spans="2:16" s="2" customFormat="1" ht="15" customHeight="1">
      <c r="B9" s="4"/>
      <c r="C9" s="269">
        <v>600000</v>
      </c>
      <c r="D9" s="270"/>
      <c r="E9" s="266" t="s">
        <v>111</v>
      </c>
      <c r="F9" s="267">
        <f>F10+F11+F12+F13</f>
        <v>910000</v>
      </c>
      <c r="G9" s="757">
        <f t="shared" ref="G9:H9" si="1">G10+G11+G12+G13</f>
        <v>910000</v>
      </c>
      <c r="H9" s="558">
        <f t="shared" si="1"/>
        <v>666296</v>
      </c>
      <c r="I9" s="781">
        <f>I10+I11+I12+I13</f>
        <v>0</v>
      </c>
      <c r="J9" s="267">
        <f>J10+J11+J12+J13</f>
        <v>0</v>
      </c>
      <c r="K9" s="782">
        <f>K10+K11+K12+K13</f>
        <v>0</v>
      </c>
      <c r="L9" s="268">
        <f t="shared" ref="L9:L43" si="2">IF(G9=0,"",K9/G9*100)</f>
        <v>0</v>
      </c>
      <c r="N9" s="101"/>
    </row>
    <row r="10" spans="2:16" s="2" customFormat="1" ht="15" customHeight="1">
      <c r="B10" s="4"/>
      <c r="C10" s="137">
        <v>600000</v>
      </c>
      <c r="D10" s="659"/>
      <c r="E10" s="37" t="s">
        <v>94</v>
      </c>
      <c r="F10" s="39">
        <f>'2'!I9</f>
        <v>850000</v>
      </c>
      <c r="G10" s="759">
        <f>'2'!J9</f>
        <v>850000</v>
      </c>
      <c r="H10" s="560">
        <f>'2'!K9</f>
        <v>619596</v>
      </c>
      <c r="I10" s="784">
        <f>'2'!L9</f>
        <v>0</v>
      </c>
      <c r="J10" s="131">
        <f>'2'!M9</f>
        <v>0</v>
      </c>
      <c r="K10" s="785">
        <f>'2'!N9</f>
        <v>0</v>
      </c>
      <c r="L10" s="74">
        <f t="shared" si="2"/>
        <v>0</v>
      </c>
      <c r="P10" s="66"/>
    </row>
    <row r="11" spans="2:16" s="2" customFormat="1" ht="15" customHeight="1">
      <c r="B11" s="4"/>
      <c r="C11" s="137">
        <v>600000</v>
      </c>
      <c r="D11" s="659"/>
      <c r="E11" s="37" t="s">
        <v>95</v>
      </c>
      <c r="F11" s="39">
        <f>'2'!I10</f>
        <v>30000</v>
      </c>
      <c r="G11" s="759">
        <f>'2'!J10</f>
        <v>30000</v>
      </c>
      <c r="H11" s="560">
        <f>'2'!K10</f>
        <v>23000</v>
      </c>
      <c r="I11" s="786">
        <f>'2'!L10</f>
        <v>0</v>
      </c>
      <c r="J11" s="39">
        <f>'2'!M10</f>
        <v>0</v>
      </c>
      <c r="K11" s="785">
        <f>'2'!N10</f>
        <v>0</v>
      </c>
      <c r="L11" s="74">
        <f t="shared" si="2"/>
        <v>0</v>
      </c>
      <c r="O11" s="66"/>
    </row>
    <row r="12" spans="2:16" s="2" customFormat="1" ht="15" customHeight="1">
      <c r="B12" s="4"/>
      <c r="C12" s="137">
        <v>600000</v>
      </c>
      <c r="D12" s="659"/>
      <c r="E12" s="37" t="s">
        <v>112</v>
      </c>
      <c r="F12" s="39">
        <f>'2'!I11</f>
        <v>15000</v>
      </c>
      <c r="G12" s="759">
        <f>'2'!J11</f>
        <v>15000</v>
      </c>
      <c r="H12" s="560">
        <f>'2'!K11</f>
        <v>12400</v>
      </c>
      <c r="I12" s="786">
        <f>'2'!L11</f>
        <v>0</v>
      </c>
      <c r="J12" s="39">
        <f>'2'!M11</f>
        <v>0</v>
      </c>
      <c r="K12" s="785">
        <f>'2'!N11</f>
        <v>0</v>
      </c>
      <c r="L12" s="74">
        <f t="shared" si="2"/>
        <v>0</v>
      </c>
      <c r="P12" s="66"/>
    </row>
    <row r="13" spans="2:16" s="2" customFormat="1" ht="15" customHeight="1">
      <c r="B13" s="4"/>
      <c r="C13" s="137">
        <v>600000</v>
      </c>
      <c r="D13" s="659"/>
      <c r="E13" s="37" t="s">
        <v>101</v>
      </c>
      <c r="F13" s="39">
        <f>'16'!I9</f>
        <v>15000</v>
      </c>
      <c r="G13" s="759">
        <f>'16'!J9</f>
        <v>15000</v>
      </c>
      <c r="H13" s="560">
        <f>'16'!K9</f>
        <v>11300</v>
      </c>
      <c r="I13" s="786">
        <f>'16'!L9</f>
        <v>0</v>
      </c>
      <c r="J13" s="39">
        <f>'16'!M9</f>
        <v>0</v>
      </c>
      <c r="K13" s="785">
        <f>'16'!N9</f>
        <v>0</v>
      </c>
      <c r="L13" s="74">
        <f t="shared" si="2"/>
        <v>0</v>
      </c>
    </row>
    <row r="14" spans="2:16" s="2" customFormat="1" ht="10.5" customHeight="1">
      <c r="B14" s="4"/>
      <c r="C14" s="137"/>
      <c r="D14" s="659"/>
      <c r="E14" s="37"/>
      <c r="F14" s="63"/>
      <c r="G14" s="760"/>
      <c r="H14" s="561"/>
      <c r="I14" s="787"/>
      <c r="J14" s="177"/>
      <c r="K14" s="782"/>
      <c r="L14" s="74" t="str">
        <f t="shared" si="2"/>
        <v/>
      </c>
    </row>
    <row r="15" spans="2:16" s="1" customFormat="1" ht="15" customHeight="1">
      <c r="B15" s="6"/>
      <c r="C15" s="269">
        <v>611000</v>
      </c>
      <c r="D15" s="660"/>
      <c r="E15" s="271" t="s">
        <v>140</v>
      </c>
      <c r="F15" s="272">
        <f>F16+F17</f>
        <v>26622090</v>
      </c>
      <c r="G15" s="761">
        <f t="shared" ref="G15:H15" si="3">G16+G17</f>
        <v>26622090</v>
      </c>
      <c r="H15" s="562">
        <f t="shared" si="3"/>
        <v>19033174</v>
      </c>
      <c r="I15" s="788">
        <f>I16+I17</f>
        <v>0</v>
      </c>
      <c r="J15" s="272">
        <f>J16+J17</f>
        <v>0</v>
      </c>
      <c r="K15" s="789">
        <f>K16+K17</f>
        <v>0</v>
      </c>
      <c r="L15" s="273">
        <f t="shared" si="2"/>
        <v>0</v>
      </c>
      <c r="N15" s="52"/>
      <c r="O15" s="52"/>
      <c r="P15" s="52"/>
    </row>
    <row r="16" spans="2:16" ht="15" customHeight="1">
      <c r="B16" s="10"/>
      <c r="C16" s="138">
        <v>611100</v>
      </c>
      <c r="D16" s="659"/>
      <c r="E16" s="20" t="s">
        <v>161</v>
      </c>
      <c r="F16" s="30">
        <f>'1'!I9+'2'!I14+'6'!I9+'3'!I9+'4'!I9+'7'!I9+'8'!I9+'9'!I9+'10'!I9+'11'!I9+'12'!I9+'13'!I9+'15'!I9+'16'!I12+'17'!I9+'18'!I9+'19'!I9+'20'!I9+'22'!I9+'23'!I9+'21'!I9+'24'!I9+'25'!I9+'26'!I9+'27'!I9+'28'!I9+'29'!I9+'30'!I9+'31'!I9+'32'!I9+'33'!I9+'34'!I9+'35'!I9+'36'!I9+'37'!I9+'5'!I9+'14'!I9</f>
        <v>22410110</v>
      </c>
      <c r="G16" s="762">
        <f>'1'!J9+'2'!J14+'6'!J9+'3'!J9+'4'!J9+'7'!J9+'8'!J9+'9'!J9+'10'!J9+'11'!J9+'12'!J9+'13'!J9+'15'!J9+'16'!J12+'17'!J9+'18'!J9+'19'!J9+'20'!J9+'22'!J9+'23'!J9+'21'!J9+'24'!J9+'25'!J9+'26'!J9+'27'!J9+'28'!J9+'29'!J9+'30'!J9+'31'!J9+'32'!J9+'33'!J9+'34'!J9+'35'!J9+'36'!J9+'37'!J9+'5'!J9+'14'!J9</f>
        <v>22410110</v>
      </c>
      <c r="H16" s="563">
        <f>'1'!K9+'2'!K14+'6'!K9+'3'!K9+'4'!K9+'7'!K9+'8'!K9+'9'!K9+'10'!K9+'11'!K9+'12'!K9+'13'!K9+'15'!K9+'16'!K12+'17'!K9+'18'!K9+'19'!K9+'20'!K9+'22'!K9+'23'!K9+'21'!K9+'24'!K9+'25'!K9+'26'!K9+'27'!K9+'28'!K9+'29'!K9+'30'!K9+'31'!K9+'32'!K9+'33'!K9+'34'!K9+'35'!K9+'36'!K9+'37'!K9+'5'!K9+'14'!K9</f>
        <v>16099310</v>
      </c>
      <c r="I16" s="790">
        <f>'1'!L9+'2'!L14+'6'!L9+'3'!L9+'4'!L9+'7'!L9+'8'!L9+'9'!L9+'10'!L9+'11'!L9+'12'!L9+'13'!L9+'15'!L9+'16'!L12+'17'!L9+'18'!L9+'19'!L9+'20'!L9+'22'!L9+'23'!L9+'21'!L9+'24'!L9+'25'!L9+'26'!L9+'27'!L9+'28'!L9+'29'!L9+'30'!L9+'31'!L9+'32'!L9+'33'!L9+'34'!L9+'35'!L9+'36'!L9+'37'!L9+'5'!L9+'14'!L9</f>
        <v>0</v>
      </c>
      <c r="J16" s="172">
        <f>'1'!M9+'2'!M14+'6'!M9+'3'!M9+'4'!M9+'7'!M9+'8'!M9+'9'!M9+'10'!M9+'11'!M9+'12'!M9+'13'!M9+'15'!M9+'16'!M12+'17'!M9+'18'!M9+'19'!M9+'20'!M9+'22'!M9+'23'!M9+'21'!M9+'24'!M9+'25'!M9+'26'!M9+'27'!M9+'28'!M9+'29'!M9+'30'!M9+'31'!M9+'32'!M9+'33'!M9+'34'!M9+'35'!M9+'36'!M9+'37'!M9+'5'!M9+'14'!M9</f>
        <v>0</v>
      </c>
      <c r="K16" s="791">
        <f>'1'!N9+'2'!N14+'6'!N9+'3'!N9+'4'!N9+'7'!N9+'8'!N9+'9'!N9+'10'!N9+'11'!N9+'12'!N9+'13'!N9+'15'!N9+'16'!N12+'17'!N9+'18'!N9+'19'!N9+'20'!N9+'22'!N9+'23'!N9+'21'!N9+'24'!N9+'25'!N9+'26'!N9+'27'!N9+'28'!N9+'29'!N9+'30'!N9+'31'!N9+'32'!N9+'33'!N9+'34'!N9+'35'!N9+'36'!N9+'37'!N9+'5'!N9+'14'!N9</f>
        <v>0</v>
      </c>
      <c r="L16" s="74">
        <f t="shared" si="2"/>
        <v>0</v>
      </c>
      <c r="N16" s="51"/>
    </row>
    <row r="17" spans="2:15" ht="15" customHeight="1">
      <c r="B17" s="10"/>
      <c r="C17" s="138">
        <v>611200</v>
      </c>
      <c r="D17" s="659"/>
      <c r="E17" s="20" t="s">
        <v>162</v>
      </c>
      <c r="F17" s="30">
        <f>F18+F19</f>
        <v>4211980</v>
      </c>
      <c r="G17" s="762">
        <f t="shared" ref="G17:H17" si="4">G18+G19</f>
        <v>4211980</v>
      </c>
      <c r="H17" s="563">
        <f t="shared" si="4"/>
        <v>2933864</v>
      </c>
      <c r="I17" s="790">
        <f t="shared" ref="I17" si="5">I18+I19</f>
        <v>0</v>
      </c>
      <c r="J17" s="172">
        <f t="shared" ref="J17:K17" si="6">J18+J19</f>
        <v>0</v>
      </c>
      <c r="K17" s="791">
        <f t="shared" si="6"/>
        <v>0</v>
      </c>
      <c r="L17" s="74">
        <f t="shared" si="2"/>
        <v>0</v>
      </c>
      <c r="N17" s="51"/>
    </row>
    <row r="18" spans="2:15" ht="15" customHeight="1">
      <c r="B18" s="10"/>
      <c r="C18" s="139">
        <v>611200</v>
      </c>
      <c r="D18" s="661"/>
      <c r="E18" s="132" t="s">
        <v>846</v>
      </c>
      <c r="F18" s="133">
        <f>'1'!I10+'2'!I15+'6'!I10+'3'!I10+'4'!I10+'7'!I10+'8'!I10+'9'!I10+'10'!I10+'11'!I10+'12'!I10+'13'!I10+'15'!I10+'16'!I13+'17'!I10+'18'!I10+'19'!I10+'20'!I10+'22'!I10+'23'!I10+'21'!I10+'24'!I10+'25'!I10+'26'!I10+'27'!I10+'28'!I10+'29'!I10+'30'!I10+'31'!I10+'32'!I10+'33'!I10+'34'!I10+'35'!I10+'36'!I10+'37'!I10+'5'!I10+'14'!I10</f>
        <v>4174390</v>
      </c>
      <c r="G18" s="763">
        <f>'1'!J10+'2'!J15+'6'!J10+'3'!J10+'4'!J10+'7'!J10+'8'!J10+'9'!J10+'10'!J10+'11'!J10+'12'!J10+'13'!J10+'15'!J10+'16'!J13+'17'!J10+'18'!J10+'19'!J10+'20'!J10+'22'!J10+'23'!J10+'21'!J10+'24'!J10+'25'!J10+'26'!J10+'27'!J10+'28'!J10+'29'!J10+'30'!J10+'31'!J10+'32'!J10+'33'!J10+'34'!J10+'35'!J10+'36'!J10+'37'!J10+'5'!J10+'14'!J10</f>
        <v>4173690</v>
      </c>
      <c r="H18" s="564">
        <f>'1'!K10+'2'!K15+'6'!K10+'3'!K10+'4'!K10+'7'!K10+'8'!K10+'9'!K10+'10'!K10+'11'!K10+'12'!K10+'13'!K10+'15'!K10+'16'!K13+'17'!K10+'18'!K10+'19'!K10+'20'!K10+'22'!K10+'23'!K10+'21'!K10+'24'!K10+'25'!K10+'26'!K10+'27'!K10+'28'!K10+'29'!K10+'30'!K10+'31'!K10+'32'!K10+'33'!K10+'34'!K10+'35'!K10+'36'!K10+'37'!K10+'5'!K10+'14'!K10</f>
        <v>2897337</v>
      </c>
      <c r="I18" s="792">
        <f>'1'!L10+'2'!L15+'6'!L10+'3'!L10+'4'!L10+'7'!L10+'8'!L10+'9'!L10+'10'!L10+'11'!L10+'12'!L10+'13'!L10+'15'!L10+'16'!L13+'17'!L10+'18'!L10+'19'!L10+'20'!L10+'22'!L10+'23'!L10+'21'!L10+'24'!L10+'25'!L10+'26'!L10+'27'!L10+'28'!L10+'29'!L10+'30'!L10+'31'!L10+'32'!L10+'33'!L10+'34'!L10+'35'!L10+'36'!L10+'37'!L10+'5'!L10+'14'!L10</f>
        <v>0</v>
      </c>
      <c r="J18" s="179">
        <f>'1'!M10+'2'!M15+'6'!M10+'3'!M10+'4'!M10+'7'!M10+'8'!M10+'9'!M10+'10'!M10+'11'!M10+'12'!M10+'13'!M10+'15'!M10+'16'!M13+'17'!M10+'18'!M10+'19'!M10+'20'!M10+'22'!M10+'23'!M10+'21'!M10+'24'!M10+'25'!M10+'26'!M10+'27'!M10+'28'!M10+'29'!M10+'30'!M10+'31'!M10+'32'!M10+'33'!M10+'34'!M10+'35'!M10+'36'!M10+'37'!M10+'5'!M10+'14'!M10</f>
        <v>0</v>
      </c>
      <c r="K18" s="793">
        <f>'1'!N10+'2'!N15+'6'!N10+'3'!N10+'4'!N10+'7'!N10+'8'!N10+'9'!N10+'10'!N10+'11'!N10+'12'!N10+'13'!N10+'15'!N10+'16'!N13+'17'!N10+'18'!N10+'19'!N10+'20'!N10+'22'!N10+'23'!N10+'21'!N10+'24'!N10+'25'!N10+'26'!N10+'27'!N10+'28'!N10+'29'!N10+'30'!N10+'31'!N10+'32'!N10+'33'!N10+'34'!N10+'35'!N10+'36'!N10+'37'!N10+'5'!N10+'14'!N10</f>
        <v>0</v>
      </c>
      <c r="L18" s="134">
        <f t="shared" si="2"/>
        <v>0</v>
      </c>
      <c r="N18" s="51"/>
    </row>
    <row r="19" spans="2:15" ht="15" customHeight="1">
      <c r="B19" s="10"/>
      <c r="C19" s="139">
        <v>611200</v>
      </c>
      <c r="D19" s="661" t="s">
        <v>498</v>
      </c>
      <c r="E19" s="135" t="s">
        <v>902</v>
      </c>
      <c r="F19" s="133">
        <f>'1'!I11+'2'!I16+'6'!I11+'3'!I11+'4'!I11+'7'!I11+'8'!I11+'9'!I11+'10'!I11+'11'!I11+'12'!I11+'13'!I11+'15'!I11+'16'!I14+'17'!I11+'18'!I11+'19'!I11+'20'!I11+'22'!I11+'23'!I11+'21'!I11+'24'!I11+'25'!I11+'26'!I11+'27'!I11+'28'!I11+'29'!I11+'30'!I11+'31'!I11+'32'!I11+'33'!I11+'34'!I11+'35'!I11+'36'!I11+'37'!I11+'5'!I11+'14'!I11</f>
        <v>37590</v>
      </c>
      <c r="G19" s="763">
        <f>'1'!J11+'2'!J16+'6'!J11+'3'!J11+'4'!J11+'7'!J11+'8'!J11+'9'!J11+'10'!J11+'11'!J11+'12'!J11+'13'!J11+'15'!J11+'16'!J14+'17'!J11+'18'!J11+'19'!J11+'20'!J11+'22'!J11+'23'!J11+'21'!J11+'24'!J11+'25'!J11+'26'!J11+'27'!J11+'28'!J11+'29'!J11+'30'!J11+'31'!J11+'32'!J11+'33'!J11+'34'!J11+'35'!J11+'36'!J11+'37'!J11+'5'!J11+'14'!J11</f>
        <v>38290</v>
      </c>
      <c r="H19" s="564">
        <f>'1'!K11+'2'!K16+'6'!K11+'3'!K11+'4'!K11+'7'!K11+'8'!K11+'9'!K11+'10'!K11+'11'!K11+'12'!K11+'13'!K11+'15'!K11+'16'!K14+'17'!K11+'18'!K11+'19'!K11+'20'!K11+'22'!K11+'23'!K11+'21'!K11+'24'!K11+'25'!K11+'26'!K11+'27'!K11+'28'!K11+'29'!K11+'30'!K11+'31'!K11+'32'!K11+'33'!K11+'34'!K11+'35'!K11+'36'!K11+'37'!K11+'5'!K11+'14'!K11</f>
        <v>36527</v>
      </c>
      <c r="I19" s="792">
        <f>'1'!L11+'2'!L16+'6'!L11+'3'!L11+'4'!L11+'7'!L11+'8'!L11+'9'!L11+'10'!L11+'11'!L11+'12'!L11+'13'!L11+'15'!L11+'16'!L14+'17'!L11+'18'!L11+'19'!L11+'20'!L11+'22'!L11+'23'!L11+'21'!L11+'24'!L11+'25'!L11+'26'!L11+'27'!L11+'28'!L11+'29'!L11+'30'!L11+'31'!L11+'32'!L11+'33'!L11+'34'!L11+'35'!L11+'36'!L11+'37'!L11+'5'!L11+'14'!L11</f>
        <v>0</v>
      </c>
      <c r="J19" s="179">
        <f>'1'!M11+'2'!M16+'6'!M11+'3'!M11+'4'!M11+'7'!M11+'8'!M11+'9'!M11+'10'!M11+'11'!M11+'12'!M11+'13'!M11+'15'!M11+'16'!M14+'17'!M11+'18'!M11+'19'!M11+'20'!M11+'22'!M11+'23'!M11+'21'!M11+'24'!M11+'25'!M11+'26'!M11+'27'!M11+'28'!M11+'29'!M11+'30'!M11+'31'!M11+'32'!M11+'33'!M11+'34'!M11+'35'!M11+'36'!M11+'37'!M11+'5'!M11+'14'!M11</f>
        <v>0</v>
      </c>
      <c r="K19" s="793">
        <f>'1'!N11+'2'!N16+'6'!N11+'3'!N11+'4'!N11+'7'!N11+'8'!N11+'9'!N11+'10'!N11+'11'!N11+'12'!N11+'13'!N11+'15'!N11+'16'!N14+'17'!N11+'18'!N11+'19'!N11+'20'!N11+'22'!N11+'23'!N11+'21'!N11+'24'!N11+'25'!N11+'26'!N11+'27'!N11+'28'!N11+'29'!N11+'30'!N11+'31'!N11+'32'!N11+'33'!N11+'34'!N11+'35'!N11+'36'!N11+'37'!N11+'5'!N11+'14'!N11</f>
        <v>0</v>
      </c>
      <c r="L19" s="134">
        <f t="shared" si="2"/>
        <v>0</v>
      </c>
      <c r="N19" s="51"/>
    </row>
    <row r="20" spans="2:15" ht="12.75" customHeight="1">
      <c r="B20" s="10"/>
      <c r="C20" s="138"/>
      <c r="D20" s="659"/>
      <c r="E20" s="11"/>
      <c r="F20" s="46"/>
      <c r="G20" s="764"/>
      <c r="H20" s="565"/>
      <c r="I20" s="794"/>
      <c r="J20" s="162"/>
      <c r="K20" s="791"/>
      <c r="L20" s="74" t="str">
        <f t="shared" si="2"/>
        <v/>
      </c>
      <c r="N20" s="51"/>
    </row>
    <row r="21" spans="2:15" ht="15" customHeight="1">
      <c r="B21" s="10"/>
      <c r="C21" s="269">
        <v>612000</v>
      </c>
      <c r="D21" s="660"/>
      <c r="E21" s="606" t="s">
        <v>139</v>
      </c>
      <c r="F21" s="607">
        <f>SUM(F22:F23)</f>
        <v>2770010</v>
      </c>
      <c r="G21" s="765">
        <f t="shared" ref="G21:K21" si="7">SUM(G22:G23)</f>
        <v>2770010</v>
      </c>
      <c r="H21" s="608">
        <f t="shared" ref="H21" si="8">SUM(H22:H23)</f>
        <v>1956376</v>
      </c>
      <c r="I21" s="795">
        <f t="shared" si="7"/>
        <v>0</v>
      </c>
      <c r="J21" s="607">
        <f t="shared" si="7"/>
        <v>0</v>
      </c>
      <c r="K21" s="796">
        <f t="shared" si="7"/>
        <v>0</v>
      </c>
      <c r="L21" s="609">
        <f t="shared" si="2"/>
        <v>0</v>
      </c>
      <c r="N21" s="51"/>
      <c r="O21" s="51"/>
    </row>
    <row r="22" spans="2:15" s="1" customFormat="1" ht="15" customHeight="1">
      <c r="B22" s="12"/>
      <c r="C22" s="138">
        <v>612100</v>
      </c>
      <c r="D22" s="659"/>
      <c r="E22" s="83" t="s">
        <v>81</v>
      </c>
      <c r="F22" s="610">
        <f>'1'!I14+'2'!I19+'6'!I14+'3'!I14+'4'!I14+'7'!I14+'8'!I14+'9'!I14+'10'!I14+'11'!I14+'12'!I14+'13'!I14+'15'!I14+'16'!I17+'17'!I14+'18'!I14+'19'!I14+'20'!I14+'22'!I14+'23'!I14+'21'!I14+'24'!I14+'25'!I14+'26'!I14+'27'!I14+'28'!I14+'29'!I14+'30'!I14+'31'!I14+'32'!I14+'33'!I14+'34'!I14+'35'!I14+'36'!I14+'37'!I14+'5'!I14+'14'!I14</f>
        <v>2670010</v>
      </c>
      <c r="G22" s="766">
        <f>'1'!J14+'2'!J19+'6'!J14+'3'!J14+'4'!J14+'7'!J14+'8'!J14+'9'!J14+'10'!J14+'11'!J14+'12'!J14+'13'!J14+'15'!J14+'16'!J17+'17'!J14+'18'!J14+'19'!J14+'20'!J14+'22'!J14+'23'!J14+'21'!J14+'24'!J14+'25'!J14+'26'!J14+'27'!J14+'28'!J14+'29'!J14+'30'!J14+'31'!J14+'32'!J14+'33'!J14+'34'!J14+'35'!J14+'36'!J14+'37'!J14+'5'!J14+'14'!J14</f>
        <v>2670010</v>
      </c>
      <c r="H22" s="611">
        <f>'1'!K14+'2'!K19+'6'!K14+'3'!K14+'4'!K14+'7'!K14+'8'!K14+'9'!K14+'10'!K14+'11'!K14+'12'!K14+'13'!K14+'15'!K14+'16'!K17+'17'!K14+'18'!K14+'19'!K14+'20'!K14+'22'!K14+'23'!K14+'21'!K14+'24'!K14+'25'!K14+'26'!K14+'27'!K14+'28'!K14+'29'!K14+'30'!K14+'31'!K14+'32'!K14+'33'!K14+'34'!K14+'35'!K14+'36'!K14+'37'!K14+'5'!K14+'14'!K14</f>
        <v>1910963</v>
      </c>
      <c r="I22" s="797">
        <f>'1'!L14+'2'!L19+'6'!L14+'3'!L14+'4'!L14+'7'!L14+'8'!L14+'9'!L14+'10'!L14+'11'!L14+'12'!L14+'13'!L14+'15'!L14+'16'!L17+'17'!L14+'18'!L14+'19'!L14+'20'!L14+'22'!L14+'23'!L14+'21'!L14+'24'!L14+'25'!L14+'26'!L14+'27'!L14+'28'!L14+'29'!L14+'30'!L14+'31'!L14+'32'!L14+'33'!L14+'34'!L14+'35'!L14+'36'!L14+'37'!L14+'5'!L14+'14'!L14</f>
        <v>0</v>
      </c>
      <c r="J22" s="610">
        <f>'1'!M14+'2'!M19+'6'!M14+'3'!M14+'4'!M14+'7'!M14+'8'!M14+'9'!M14+'10'!M14+'11'!M14+'12'!M14+'13'!M14+'15'!M14+'16'!M17+'17'!M14+'18'!M14+'19'!M14+'20'!M14+'22'!M14+'23'!M14+'21'!M14+'24'!M14+'25'!M14+'26'!M14+'27'!M14+'28'!M14+'29'!M14+'30'!M14+'31'!M14+'32'!M14+'33'!M14+'34'!M14+'35'!M14+'36'!M14+'37'!M14+'5'!M14+'14'!M14</f>
        <v>0</v>
      </c>
      <c r="K22" s="798">
        <f>'1'!N14+'2'!N19+'6'!N14+'3'!N14+'4'!N14+'7'!N14+'8'!N14+'9'!N14+'10'!N14+'11'!N14+'12'!N14+'13'!N14+'15'!N14+'16'!N17+'17'!N14+'18'!N14+'19'!N14+'20'!N14+'22'!N14+'23'!N14+'21'!N14+'24'!N14+'25'!N14+'26'!N14+'27'!N14+'28'!N14+'29'!N14+'30'!N14+'31'!N14+'32'!N14+'33'!N14+'34'!N14+'35'!N14+'36'!N14+'37'!N14+'5'!N14+'14'!N14</f>
        <v>0</v>
      </c>
      <c r="L22" s="612">
        <f t="shared" si="2"/>
        <v>0</v>
      </c>
      <c r="N22" s="52"/>
    </row>
    <row r="23" spans="2:15" s="163" customFormat="1" ht="15" customHeight="1">
      <c r="B23" s="169"/>
      <c r="C23" s="138">
        <v>612100</v>
      </c>
      <c r="D23" s="659" t="s">
        <v>847</v>
      </c>
      <c r="E23" s="613" t="s">
        <v>796</v>
      </c>
      <c r="F23" s="610">
        <f>'8'!I15</f>
        <v>100000</v>
      </c>
      <c r="G23" s="766">
        <f>'8'!J15</f>
        <v>100000</v>
      </c>
      <c r="H23" s="611">
        <f>'8'!K15</f>
        <v>45413</v>
      </c>
      <c r="I23" s="797">
        <f>'8'!L15</f>
        <v>0</v>
      </c>
      <c r="J23" s="610">
        <f>'8'!M15</f>
        <v>0</v>
      </c>
      <c r="K23" s="798">
        <f>'8'!N15</f>
        <v>0</v>
      </c>
      <c r="L23" s="612">
        <f t="shared" ref="L23" si="9">IF(G23=0,"",K23/G23*100)</f>
        <v>0</v>
      </c>
      <c r="N23" s="52"/>
    </row>
    <row r="24" spans="2:15" ht="11.25" customHeight="1">
      <c r="B24" s="10"/>
      <c r="C24" s="138"/>
      <c r="D24" s="659"/>
      <c r="E24" s="614"/>
      <c r="F24" s="610"/>
      <c r="G24" s="766"/>
      <c r="H24" s="611"/>
      <c r="I24" s="797"/>
      <c r="J24" s="610"/>
      <c r="K24" s="798"/>
      <c r="L24" s="612" t="str">
        <f t="shared" si="2"/>
        <v/>
      </c>
    </row>
    <row r="25" spans="2:15" ht="15" customHeight="1">
      <c r="B25" s="10"/>
      <c r="C25" s="269">
        <v>613000</v>
      </c>
      <c r="D25" s="660"/>
      <c r="E25" s="606" t="s">
        <v>141</v>
      </c>
      <c r="F25" s="607">
        <f>F26+F27+F28+F29+F32+F33+F34+F37+F40</f>
        <v>5631530</v>
      </c>
      <c r="G25" s="765">
        <f t="shared" ref="G25:K25" si="10">G26+G27+G28+G29+G32+G33+G34+G37+G40</f>
        <v>5615170</v>
      </c>
      <c r="H25" s="608">
        <f t="shared" ref="H25" si="11">H26+H27+H28+H29+H32+H33+H34+H37+H40</f>
        <v>3214109</v>
      </c>
      <c r="I25" s="795">
        <f t="shared" si="10"/>
        <v>0</v>
      </c>
      <c r="J25" s="607">
        <f t="shared" si="10"/>
        <v>0</v>
      </c>
      <c r="K25" s="796">
        <f t="shared" si="10"/>
        <v>0</v>
      </c>
      <c r="L25" s="609">
        <f t="shared" si="2"/>
        <v>0</v>
      </c>
      <c r="N25" s="68"/>
      <c r="O25" s="51"/>
    </row>
    <row r="26" spans="2:15" s="1" customFormat="1" ht="15" customHeight="1">
      <c r="B26" s="12"/>
      <c r="C26" s="138">
        <v>613100</v>
      </c>
      <c r="D26" s="659"/>
      <c r="E26" s="78" t="s">
        <v>82</v>
      </c>
      <c r="F26" s="610">
        <f>'1'!I17+'2'!I22+'6'!I17+'3'!I17+'4'!I17+'7'!I17+'8'!I18+'9'!I17+'10'!I17+'11'!I17+'12'!I17+'13'!I17+'15'!I17+'16'!I20+'17'!I17+'18'!I17+'19'!I17+'20'!I17+'22'!I17+'23'!I17+'21'!I17+'24'!I17+'25'!I17+'26'!I17+'27'!I17+'28'!I17+'29'!I17+'30'!I17+'31'!I17+'32'!I17+'33'!I17+'34'!I17+'35'!I17+'36'!I17+'37'!I17+'5'!I17+'14'!I17</f>
        <v>133300</v>
      </c>
      <c r="G26" s="766">
        <f>'1'!J17+'2'!J22+'6'!J17+'3'!J17+'4'!J17+'7'!J17+'8'!J18+'9'!J17+'10'!J17+'11'!J17+'12'!J17+'13'!J17+'15'!J17+'16'!J20+'17'!J17+'18'!J17+'19'!J17+'20'!J17+'22'!J17+'23'!J17+'21'!J17+'24'!J17+'25'!J17+'26'!J17+'27'!J17+'28'!J17+'29'!J17+'30'!J17+'31'!J17+'32'!J17+'33'!J17+'34'!J17+'35'!J17+'36'!J17+'37'!J17+'5'!J17+'14'!J17</f>
        <v>133200</v>
      </c>
      <c r="H26" s="611">
        <f>'1'!K17+'2'!K22+'6'!K17+'3'!K17+'4'!K17+'7'!K17+'8'!K18+'9'!K17+'10'!K17+'11'!K17+'12'!K17+'13'!K17+'15'!K17+'16'!K20+'17'!K17+'18'!K17+'19'!K17+'20'!K17+'22'!K17+'23'!K17+'21'!K17+'24'!K17+'25'!K17+'26'!K17+'27'!K17+'28'!K17+'29'!K17+'30'!K17+'31'!K17+'32'!K17+'33'!K17+'34'!K17+'35'!K17+'36'!K17+'37'!K17+'5'!K17+'14'!K17</f>
        <v>75141</v>
      </c>
      <c r="I26" s="797">
        <f>'1'!L17+'2'!L22+'6'!L17+'3'!L17+'4'!L17+'7'!L17+'8'!L18+'9'!L17+'10'!L17+'11'!L17+'12'!L17+'13'!L17+'15'!L17+'16'!L20+'17'!L17+'18'!L17+'19'!L17+'20'!L17+'22'!L17+'23'!L17+'21'!L17+'24'!L17+'25'!L17+'26'!L17+'27'!L17+'28'!L17+'29'!L17+'30'!L17+'31'!L17+'32'!L17+'33'!L17+'34'!L17+'35'!L17+'36'!L17+'37'!L17+'5'!L17+'14'!L17</f>
        <v>0</v>
      </c>
      <c r="J26" s="610">
        <f>'1'!M17+'2'!M22+'6'!M17+'3'!M17+'4'!M17+'7'!M17+'8'!M18+'9'!M17+'10'!M17+'11'!M17+'12'!M17+'13'!M17+'15'!M17+'16'!M20+'17'!M17+'18'!M17+'19'!M17+'20'!M17+'22'!M17+'23'!M17+'21'!M17+'24'!M17+'25'!M17+'26'!M17+'27'!M17+'28'!M17+'29'!M17+'30'!M17+'31'!M17+'32'!M17+'33'!M17+'34'!M17+'35'!M17+'36'!M17+'37'!M17+'5'!M17+'14'!M17</f>
        <v>0</v>
      </c>
      <c r="K26" s="798">
        <f>'1'!N17+'2'!N22+'6'!N17+'3'!N17+'4'!N17+'7'!N17+'8'!N18+'9'!N17+'10'!N17+'11'!N17+'12'!N17+'13'!N17+'15'!N17+'16'!N20+'17'!N17+'18'!N17+'19'!N17+'20'!N17+'22'!N17+'23'!N17+'21'!N17+'24'!N17+'25'!N17+'26'!N17+'27'!N17+'28'!N17+'29'!N17+'30'!N17+'31'!N17+'32'!N17+'33'!N17+'34'!N17+'35'!N17+'36'!N17+'37'!N17+'5'!N17+'14'!N17</f>
        <v>0</v>
      </c>
      <c r="L26" s="612">
        <f t="shared" si="2"/>
        <v>0</v>
      </c>
      <c r="N26" s="52"/>
    </row>
    <row r="27" spans="2:15" ht="15" customHeight="1">
      <c r="B27" s="10"/>
      <c r="C27" s="138">
        <v>613200</v>
      </c>
      <c r="D27" s="659"/>
      <c r="E27" s="78" t="s">
        <v>83</v>
      </c>
      <c r="F27" s="610">
        <f>'1'!I18+'2'!I23+'6'!I18+'3'!I18+'4'!I18+'7'!I18+'8'!I19+'9'!I18+'10'!I18+'11'!I18+'12'!I18+'13'!I18+'15'!I18+'16'!I21+'17'!I18+'18'!I18+'19'!I18+'20'!I18+'22'!I18+'23'!I18+'21'!I18+'24'!I18+'25'!I18+'26'!I18+'27'!I18+'28'!I18+'29'!I18+'30'!I18+'31'!I18+'32'!I18+'33'!I18+'34'!I18+'35'!I18+'36'!I18+'37'!I18+'5'!I18+'14'!I18</f>
        <v>884300</v>
      </c>
      <c r="G27" s="766">
        <f>'1'!J18+'2'!J23+'6'!J18+'3'!J18+'4'!J18+'7'!J18+'8'!J19+'9'!J18+'10'!J18+'11'!J18+'12'!J18+'13'!J18+'15'!J18+'16'!J21+'17'!J18+'18'!J18+'19'!J18+'20'!J18+'22'!J18+'23'!J18+'21'!J18+'24'!J18+'25'!J18+'26'!J18+'27'!J18+'28'!J18+'29'!J18+'30'!J18+'31'!J18+'32'!J18+'33'!J18+'34'!J18+'35'!J18+'36'!J18+'37'!J18+'5'!J18+'14'!J18</f>
        <v>884300</v>
      </c>
      <c r="H27" s="611">
        <f>'1'!K18+'2'!K23+'6'!K18+'3'!K18+'4'!K18+'7'!K18+'8'!K19+'9'!K18+'10'!K18+'11'!K18+'12'!K18+'13'!K18+'15'!K18+'16'!K21+'17'!K18+'18'!K18+'19'!K18+'20'!K18+'22'!K18+'23'!K18+'21'!K18+'24'!K18+'25'!K18+'26'!K18+'27'!K18+'28'!K18+'29'!K18+'30'!K18+'31'!K18+'32'!K18+'33'!K18+'34'!K18+'35'!K18+'36'!K18+'37'!K18+'5'!K18+'14'!K18</f>
        <v>480641</v>
      </c>
      <c r="I27" s="797">
        <f>'1'!L18+'2'!L23+'6'!L18+'3'!L18+'4'!L18+'7'!L18+'8'!L19+'9'!L18+'10'!L18+'11'!L18+'12'!L18+'13'!L18+'15'!L18+'16'!L21+'17'!L18+'18'!L18+'19'!L18+'20'!L18+'22'!L18+'23'!L18+'21'!L18+'24'!L18+'25'!L18+'26'!L18+'27'!L18+'28'!L18+'29'!L18+'30'!L18+'31'!L18+'32'!L18+'33'!L18+'34'!L18+'35'!L18+'36'!L18+'37'!L18+'5'!L18+'14'!L18</f>
        <v>0</v>
      </c>
      <c r="J27" s="610">
        <f>'1'!M18+'2'!M23+'6'!M18+'3'!M18+'4'!M18+'7'!M18+'8'!M19+'9'!M18+'10'!M18+'11'!M18+'12'!M18+'13'!M18+'15'!M18+'16'!M21+'17'!M18+'18'!M18+'19'!M18+'20'!M18+'22'!M18+'23'!M18+'21'!M18+'24'!M18+'25'!M18+'26'!M18+'27'!M18+'28'!M18+'29'!M18+'30'!M18+'31'!M18+'32'!M18+'33'!M18+'34'!M18+'35'!M18+'36'!M18+'37'!M18+'5'!M18+'14'!M18</f>
        <v>0</v>
      </c>
      <c r="K27" s="798">
        <f>'1'!N18+'2'!N23+'6'!N18+'3'!N18+'4'!N18+'7'!N18+'8'!N19+'9'!N18+'10'!N18+'11'!N18+'12'!N18+'13'!N18+'15'!N18+'16'!N21+'17'!N18+'18'!N18+'19'!N18+'20'!N18+'22'!N18+'23'!N18+'21'!N18+'24'!N18+'25'!N18+'26'!N18+'27'!N18+'28'!N18+'29'!N18+'30'!N18+'31'!N18+'32'!N18+'33'!N18+'34'!N18+'35'!N18+'36'!N18+'37'!N18+'5'!N18+'14'!N18</f>
        <v>0</v>
      </c>
      <c r="L27" s="612">
        <f t="shared" si="2"/>
        <v>0</v>
      </c>
      <c r="N27" s="52"/>
    </row>
    <row r="28" spans="2:15" ht="15" customHeight="1">
      <c r="B28" s="10"/>
      <c r="C28" s="138">
        <v>613300</v>
      </c>
      <c r="D28" s="194"/>
      <c r="E28" s="614" t="s">
        <v>163</v>
      </c>
      <c r="F28" s="610">
        <f>'1'!I19+'2'!I24+'6'!I19+'3'!I19+'4'!I19+'7'!I19+'8'!I20+'9'!I19+'10'!I19+'11'!I19+'12'!I19+'13'!I19+'15'!I19+'16'!I22+'17'!I19+'18'!I19+'19'!I19+'20'!I19+'22'!I19+'23'!I19+'21'!I19+'24'!I19+'25'!I19+'26'!I19+'27'!I19+'28'!I19+'29'!I19+'30'!I19+'31'!I19+'32'!I19+'33'!I19+'34'!I19+'35'!I19+'36'!I19+'37'!I19+'5'!I19+'14'!I19</f>
        <v>397050</v>
      </c>
      <c r="G28" s="766">
        <f>'1'!J19+'2'!J24+'6'!J19+'3'!J19+'4'!J19+'7'!J19+'8'!J20+'9'!J19+'10'!J19+'11'!J19+'12'!J19+'13'!J19+'15'!J19+'16'!J22+'17'!J19+'18'!J19+'19'!J19+'20'!J19+'22'!J19+'23'!J19+'21'!J19+'24'!J19+'25'!J19+'26'!J19+'27'!J19+'28'!J19+'29'!J19+'30'!J19+'31'!J19+'32'!J19+'33'!J19+'34'!J19+'35'!J19+'36'!J19+'37'!J19+'5'!J19+'14'!J19</f>
        <v>404050</v>
      </c>
      <c r="H28" s="611">
        <f>'1'!K19+'2'!K24+'6'!K19+'3'!K19+'4'!K19+'7'!K19+'8'!K20+'9'!K19+'10'!K19+'11'!K19+'12'!K19+'13'!K19+'15'!K19+'16'!K22+'17'!K19+'18'!K19+'19'!K19+'20'!K19+'22'!K19+'23'!K19+'21'!K19+'24'!K19+'25'!K19+'26'!K19+'27'!K19+'28'!K19+'29'!K19+'30'!K19+'31'!K19+'32'!K19+'33'!K19+'34'!K19+'35'!K19+'36'!K19+'37'!K19+'5'!K19+'14'!K19</f>
        <v>271793</v>
      </c>
      <c r="I28" s="797">
        <f>'1'!L19+'2'!L24+'6'!L19+'3'!L19+'4'!L19+'7'!L19+'8'!L20+'9'!L19+'10'!L19+'11'!L19+'12'!L19+'13'!L19+'15'!L19+'16'!L22+'17'!L19+'18'!L19+'19'!L19+'20'!L19+'22'!L19+'23'!L19+'21'!L19+'24'!L19+'25'!L19+'26'!L19+'27'!L19+'28'!L19+'29'!L19+'30'!L19+'31'!L19+'32'!L19+'33'!L19+'34'!L19+'35'!L19+'36'!L19+'37'!L19+'5'!L19+'14'!L19</f>
        <v>0</v>
      </c>
      <c r="J28" s="610">
        <f>'1'!M19+'2'!M24+'6'!M19+'3'!M19+'4'!M19+'7'!M19+'8'!M20+'9'!M19+'10'!M19+'11'!M19+'12'!M19+'13'!M19+'15'!M19+'16'!M22+'17'!M19+'18'!M19+'19'!M19+'20'!M19+'22'!M19+'23'!M19+'21'!M19+'24'!M19+'25'!M19+'26'!M19+'27'!M19+'28'!M19+'29'!M19+'30'!M19+'31'!M19+'32'!M19+'33'!M19+'34'!M19+'35'!M19+'36'!M19+'37'!M19+'5'!M19+'14'!M19</f>
        <v>0</v>
      </c>
      <c r="K28" s="798">
        <f>'1'!N19+'2'!N24+'6'!N19+'3'!N19+'4'!N19+'7'!N19+'8'!N20+'9'!N19+'10'!N19+'11'!N19+'12'!N19+'13'!N19+'15'!N19+'16'!N22+'17'!N19+'18'!N19+'19'!N19+'20'!N19+'22'!N19+'23'!N19+'21'!N19+'24'!N19+'25'!N19+'26'!N19+'27'!N19+'28'!N19+'29'!N19+'30'!N19+'31'!N19+'32'!N19+'33'!N19+'34'!N19+'35'!N19+'36'!N19+'37'!N19+'5'!N19+'14'!N19</f>
        <v>0</v>
      </c>
      <c r="L28" s="612">
        <f t="shared" si="2"/>
        <v>0</v>
      </c>
      <c r="N28" s="52"/>
    </row>
    <row r="29" spans="2:15" s="166" customFormat="1" ht="15" customHeight="1">
      <c r="B29" s="167"/>
      <c r="C29" s="138">
        <v>613400</v>
      </c>
      <c r="D29" s="194"/>
      <c r="E29" s="614" t="s">
        <v>142</v>
      </c>
      <c r="F29" s="610">
        <f>F30+F31</f>
        <v>777500</v>
      </c>
      <c r="G29" s="766">
        <f t="shared" ref="G29:K29" si="12">G30+G31</f>
        <v>765140</v>
      </c>
      <c r="H29" s="611">
        <f t="shared" ref="H29" si="13">H30+H31</f>
        <v>386575</v>
      </c>
      <c r="I29" s="797">
        <f t="shared" si="12"/>
        <v>0</v>
      </c>
      <c r="J29" s="610">
        <f t="shared" si="12"/>
        <v>0</v>
      </c>
      <c r="K29" s="798">
        <f t="shared" si="12"/>
        <v>0</v>
      </c>
      <c r="L29" s="612">
        <f t="shared" si="2"/>
        <v>0</v>
      </c>
      <c r="N29" s="52"/>
    </row>
    <row r="30" spans="2:15" ht="14.25" customHeight="1">
      <c r="B30" s="10"/>
      <c r="C30" s="139">
        <v>613400</v>
      </c>
      <c r="D30" s="566"/>
      <c r="E30" s="615" t="s">
        <v>844</v>
      </c>
      <c r="F30" s="572">
        <f>'1'!I20+'2'!I25+'6'!I20+'3'!I20+'4'!I20+'7'!I20+'8'!I21+'9'!I20+'10'!I20+'11'!I20+'12'!I20+'13'!I20+'15'!I20+'16'!I23+'17'!I20+'18'!I20+'19'!I20+'20'!I20+'22'!I20+'23'!I20+'21'!I20+'24'!I20+'25'!I20+'26'!I20+'27'!I20+'28'!I20+'29'!I20+'30'!I20+'31'!I20+'32'!I20+'33'!I20+'34'!I20+'35'!I20+'36'!I20+'37'!I20+'5'!I20+'14'!I20</f>
        <v>589500</v>
      </c>
      <c r="G30" s="767">
        <f>'1'!J20+'2'!J25+'6'!J20+'3'!J20+'4'!J20+'7'!J20+'8'!J21+'9'!J20+'10'!J20+'11'!J20+'12'!J20+'13'!J20+'15'!J20+'16'!J23+'17'!J20+'18'!J20+'19'!J20+'20'!J20+'22'!J20+'23'!J20+'21'!J20+'24'!J20+'25'!J20+'26'!J20+'27'!J20+'28'!J20+'29'!J20+'30'!J20+'31'!J20+'32'!J20+'33'!J20+'34'!J20+'35'!J20+'36'!J20+'37'!J20+'5'!J20+'14'!J20</f>
        <v>577140</v>
      </c>
      <c r="H30" s="573">
        <f>'1'!K20+'2'!K25+'6'!K20+'3'!K20+'4'!K20+'7'!K20+'8'!K21+'9'!K20+'10'!K20+'11'!K20+'12'!K20+'13'!K20+'15'!K20+'16'!K23+'17'!K20+'18'!K20+'19'!K20+'20'!K20+'22'!K20+'23'!K20+'21'!K20+'24'!K20+'25'!K20+'26'!K20+'27'!K20+'28'!K20+'29'!K20+'30'!K20+'31'!K20+'32'!K20+'33'!K20+'34'!K20+'35'!K20+'36'!K20+'37'!K20+'5'!K20+'14'!K20</f>
        <v>386575</v>
      </c>
      <c r="I30" s="799">
        <f>'1'!L20+'2'!L25+'6'!L20+'3'!L20+'4'!L20+'7'!L20+'8'!L21+'9'!L20+'10'!L20+'11'!L20+'12'!L20+'13'!L20+'15'!L20+'16'!L23+'17'!L20+'18'!L20+'19'!L20+'20'!L20+'22'!L20+'23'!L20+'21'!L20+'24'!L20+'25'!L20+'26'!L20+'27'!L20+'28'!L20+'29'!L20+'30'!L20+'31'!L20+'32'!L20+'33'!L20+'34'!L20+'35'!L20+'36'!L20+'37'!L20+'5'!L20+'14'!L20</f>
        <v>0</v>
      </c>
      <c r="J30" s="572">
        <f>'1'!M20+'2'!M25+'6'!M20+'3'!M20+'4'!M20+'7'!M20+'8'!M21+'9'!M20+'10'!M20+'11'!M20+'12'!M20+'13'!M20+'15'!M20+'16'!M23+'17'!M20+'18'!M20+'19'!M20+'20'!M20+'22'!M20+'23'!M20+'21'!M20+'24'!M20+'25'!M20+'26'!M20+'27'!M20+'28'!M20+'29'!M20+'30'!M20+'31'!M20+'32'!M20+'33'!M20+'34'!M20+'35'!M20+'36'!M20+'37'!M20+'5'!M20+'14'!M20</f>
        <v>0</v>
      </c>
      <c r="K30" s="800">
        <f>'1'!N20+'2'!N25+'6'!N20+'3'!N20+'4'!N20+'7'!N20+'8'!N21+'9'!N20+'10'!N20+'11'!N20+'12'!N20+'13'!N20+'15'!N20+'16'!N23+'17'!N20+'18'!N20+'19'!N20+'20'!N20+'22'!N20+'23'!N20+'21'!N20+'24'!N20+'25'!N20+'26'!N20+'27'!N20+'28'!N20+'29'!N20+'30'!N20+'31'!N20+'32'!N20+'33'!N20+'34'!N20+'35'!N20+'36'!N20+'37'!N20+'5'!N20+'14'!N20</f>
        <v>0</v>
      </c>
      <c r="L30" s="574">
        <f t="shared" si="2"/>
        <v>0</v>
      </c>
      <c r="N30" s="52"/>
    </row>
    <row r="31" spans="2:15" s="166" customFormat="1" ht="25.5" customHeight="1">
      <c r="B31" s="167"/>
      <c r="C31" s="567">
        <v>613400</v>
      </c>
      <c r="D31" s="571" t="s">
        <v>848</v>
      </c>
      <c r="E31" s="616" t="s">
        <v>845</v>
      </c>
      <c r="F31" s="572">
        <f>'20'!I21</f>
        <v>188000</v>
      </c>
      <c r="G31" s="767">
        <f>'20'!J21</f>
        <v>188000</v>
      </c>
      <c r="H31" s="573">
        <f>'20'!K21</f>
        <v>0</v>
      </c>
      <c r="I31" s="799">
        <f>'20'!L21</f>
        <v>0</v>
      </c>
      <c r="J31" s="572">
        <f>'20'!M21</f>
        <v>0</v>
      </c>
      <c r="K31" s="800">
        <f>'20'!N21</f>
        <v>0</v>
      </c>
      <c r="L31" s="574">
        <f t="shared" ref="L31" si="14">IF(G31=0,"",K31/G31*100)</f>
        <v>0</v>
      </c>
      <c r="N31" s="52"/>
    </row>
    <row r="32" spans="2:15" ht="15" customHeight="1">
      <c r="B32" s="10"/>
      <c r="C32" s="138">
        <v>613500</v>
      </c>
      <c r="D32" s="194"/>
      <c r="E32" s="617" t="s">
        <v>84</v>
      </c>
      <c r="F32" s="618">
        <f>'1'!I21+'2'!I26+'6'!I21+'3'!I21+'4'!I21+'7'!I21+'8'!I22+'9'!I21+'10'!I21+'11'!I21+'12'!I21+'13'!I21+'15'!I21+'16'!I24+'17'!I21+'18'!I21+'19'!I21+'20'!I22+'22'!I21+'23'!I21+'21'!I21+'24'!I21+'25'!I21+'26'!I21+'27'!I21+'28'!I21+'29'!I21+'30'!I21+'31'!I21+'32'!I21+'33'!I21+'34'!I21+'35'!I21+'36'!I21+'37'!I21+'5'!I21+'14'!I21</f>
        <v>278900</v>
      </c>
      <c r="G32" s="768">
        <f>'1'!J21+'2'!J26+'6'!J21+'3'!J21+'4'!J21+'7'!J21+'8'!J22+'9'!J21+'10'!J21+'11'!J21+'12'!J21+'13'!J21+'15'!J21+'16'!J24+'17'!J21+'18'!J21+'19'!J21+'20'!J22+'22'!J21+'23'!J21+'21'!J21+'24'!J21+'25'!J21+'26'!J21+'27'!J21+'28'!J21+'29'!J21+'30'!J21+'31'!J21+'32'!J21+'33'!J21+'34'!J21+'35'!J21+'36'!J21+'37'!J21+'5'!J21+'14'!J21</f>
        <v>285400</v>
      </c>
      <c r="H32" s="619">
        <f>'1'!K21+'2'!K26+'6'!K21+'3'!K21+'4'!K21+'7'!K21+'8'!K22+'9'!K21+'10'!K21+'11'!K21+'12'!K21+'13'!K21+'15'!K21+'16'!K24+'17'!K21+'18'!K21+'19'!K21+'20'!K22+'22'!K21+'23'!K21+'21'!K21+'24'!K21+'25'!K21+'26'!K21+'27'!K21+'28'!K21+'29'!K21+'30'!K21+'31'!K21+'32'!K21+'33'!K21+'34'!K21+'35'!K21+'36'!K21+'37'!K21+'5'!K21+'14'!K21</f>
        <v>196672</v>
      </c>
      <c r="I32" s="801">
        <f>'1'!L21+'2'!L26+'6'!L21+'3'!L21+'4'!L21+'7'!L21+'8'!L22+'9'!L21+'10'!L21+'11'!L21+'12'!L21+'13'!L21+'15'!L21+'16'!L24+'17'!L21+'18'!L21+'19'!L21+'20'!L22+'22'!L21+'23'!L21+'21'!L21+'24'!L21+'25'!L21+'26'!L21+'27'!L21+'28'!L21+'29'!L21+'30'!L21+'31'!L21+'32'!L21+'33'!L21+'34'!L21+'35'!L21+'36'!L21+'37'!L21+'5'!L21+'14'!L21</f>
        <v>0</v>
      </c>
      <c r="J32" s="618">
        <f>'1'!M21+'2'!M26+'6'!M21+'3'!M21+'4'!M21+'7'!M21+'8'!M22+'9'!M21+'10'!M21+'11'!M21+'12'!M21+'13'!M21+'15'!M21+'16'!M24+'17'!M21+'18'!M21+'19'!M21+'20'!M22+'22'!M21+'23'!M21+'21'!M21+'24'!M21+'25'!M21+'26'!M21+'27'!M21+'28'!M21+'29'!M21+'30'!M21+'31'!M21+'32'!M21+'33'!M21+'34'!M21+'35'!M21+'36'!M21+'37'!M21+'5'!M21+'14'!M21</f>
        <v>0</v>
      </c>
      <c r="K32" s="798">
        <f>'1'!N21+'2'!N26+'6'!N21+'3'!N21+'4'!N21+'7'!N21+'8'!N22+'9'!N21+'10'!N21+'11'!N21+'12'!N21+'13'!N21+'15'!N21+'16'!N24+'17'!N21+'18'!N21+'19'!N21+'20'!N22+'22'!N21+'23'!N21+'21'!N21+'24'!N21+'25'!N21+'26'!N21+'27'!N21+'28'!N21+'29'!N21+'30'!N21+'31'!N21+'32'!N21+'33'!N21+'34'!N21+'35'!N21+'36'!N21+'37'!N21+'5'!N21+'14'!N21</f>
        <v>0</v>
      </c>
      <c r="L32" s="612">
        <f t="shared" si="2"/>
        <v>0</v>
      </c>
      <c r="N32" s="52"/>
    </row>
    <row r="33" spans="2:14" ht="15" customHeight="1">
      <c r="B33" s="10"/>
      <c r="C33" s="138">
        <v>613600</v>
      </c>
      <c r="D33" s="194"/>
      <c r="E33" s="620" t="s">
        <v>164</v>
      </c>
      <c r="F33" s="618">
        <f>'1'!I22+'2'!I27+'6'!I22+'3'!I22+'4'!I22+'7'!I22+'8'!I23+'9'!I22+'10'!I22+'11'!I22+'12'!I22+'13'!I22+'15'!I22+'16'!I25+'17'!I22+'18'!I22+'19'!I22+'20'!I23+'22'!I22+'23'!I22+'21'!I22+'24'!I22+'25'!I22+'26'!I22+'27'!I22+'28'!I22+'29'!I22+'30'!I22+'31'!I22+'32'!I22+'33'!I22+'34'!I22+'35'!I22+'36'!I22+'37'!I22+'5'!I22+'14'!I22</f>
        <v>34000</v>
      </c>
      <c r="G33" s="768">
        <f>'1'!J22+'2'!J27+'6'!J22+'3'!J22+'4'!J22+'7'!J22+'8'!J23+'9'!J22+'10'!J22+'11'!J22+'12'!J22+'13'!J22+'15'!J22+'16'!J25+'17'!J22+'18'!J22+'19'!J22+'20'!J23+'22'!J22+'23'!J22+'21'!J22+'24'!J22+'25'!J22+'26'!J22+'27'!J22+'28'!J22+'29'!J22+'30'!J22+'31'!J22+'32'!J22+'33'!J22+'34'!J22+'35'!J22+'36'!J22+'37'!J22+'5'!J22+'14'!J22</f>
        <v>34000</v>
      </c>
      <c r="H33" s="619">
        <f>'1'!K22+'2'!K27+'6'!K22+'3'!K22+'4'!K22+'7'!K22+'8'!K23+'9'!K22+'10'!K22+'11'!K22+'12'!K22+'13'!K22+'15'!K22+'16'!K25+'17'!K22+'18'!K22+'19'!K22+'20'!K23+'22'!K22+'23'!K22+'21'!K22+'24'!K22+'25'!K22+'26'!K22+'27'!K22+'28'!K22+'29'!K22+'30'!K22+'31'!K22+'32'!K22+'33'!K22+'34'!K22+'35'!K22+'36'!K22+'37'!K22+'5'!K22+'14'!K22</f>
        <v>24003</v>
      </c>
      <c r="I33" s="801">
        <f>'1'!L22+'2'!L27+'6'!L22+'3'!L22+'4'!L22+'7'!L22+'8'!L23+'9'!L22+'10'!L22+'11'!L22+'12'!L22+'13'!L22+'15'!L22+'16'!L25+'17'!L22+'18'!L22+'19'!L22+'20'!L23+'22'!L22+'23'!L22+'21'!L22+'24'!L22+'25'!L22+'26'!L22+'27'!L22+'28'!L22+'29'!L22+'30'!L22+'31'!L22+'32'!L22+'33'!L22+'34'!L22+'35'!L22+'36'!L22+'37'!L22+'5'!L22+'14'!L22</f>
        <v>0</v>
      </c>
      <c r="J33" s="618">
        <f>'1'!M22+'2'!M27+'6'!M22+'3'!M22+'4'!M22+'7'!M22+'8'!M23+'9'!M22+'10'!M22+'11'!M22+'12'!M22+'13'!M22+'15'!M22+'16'!M25+'17'!M22+'18'!M22+'19'!M22+'20'!M23+'22'!M22+'23'!M22+'21'!M22+'24'!M22+'25'!M22+'26'!M22+'27'!M22+'28'!M22+'29'!M22+'30'!M22+'31'!M22+'32'!M22+'33'!M22+'34'!M22+'35'!M22+'36'!M22+'37'!M22+'5'!M22+'14'!M22</f>
        <v>0</v>
      </c>
      <c r="K33" s="798">
        <f>'1'!N22+'2'!N27+'6'!N22+'3'!N22+'4'!N22+'7'!N22+'8'!N23+'9'!N22+'10'!N22+'11'!N22+'12'!N22+'13'!N22+'15'!N22+'16'!N25+'17'!N22+'18'!N22+'19'!N22+'20'!N23+'22'!N22+'23'!N22+'21'!N22+'24'!N22+'25'!N22+'26'!N22+'27'!N22+'28'!N22+'29'!N22+'30'!N22+'31'!N22+'32'!N22+'33'!N22+'34'!N22+'35'!N22+'36'!N22+'37'!N22+'5'!N22+'14'!N22</f>
        <v>0</v>
      </c>
      <c r="L33" s="612">
        <f t="shared" si="2"/>
        <v>0</v>
      </c>
      <c r="N33" s="52"/>
    </row>
    <row r="34" spans="2:14" ht="15" customHeight="1">
      <c r="B34" s="10"/>
      <c r="C34" s="138">
        <v>613700</v>
      </c>
      <c r="D34" s="194"/>
      <c r="E34" s="617" t="s">
        <v>85</v>
      </c>
      <c r="F34" s="618">
        <f>F35+F36</f>
        <v>830150</v>
      </c>
      <c r="G34" s="768">
        <f t="shared" ref="G34:K34" si="15">G35+G36</f>
        <v>817850</v>
      </c>
      <c r="H34" s="619">
        <f t="shared" ref="H34" si="16">H35+H36</f>
        <v>415110</v>
      </c>
      <c r="I34" s="801">
        <f t="shared" si="15"/>
        <v>0</v>
      </c>
      <c r="J34" s="618">
        <f t="shared" si="15"/>
        <v>0</v>
      </c>
      <c r="K34" s="798">
        <f t="shared" si="15"/>
        <v>0</v>
      </c>
      <c r="L34" s="612">
        <f t="shared" si="2"/>
        <v>0</v>
      </c>
      <c r="N34" s="52"/>
    </row>
    <row r="35" spans="2:14" ht="15" customHeight="1">
      <c r="B35" s="10"/>
      <c r="C35" s="139">
        <v>613700</v>
      </c>
      <c r="D35" s="195"/>
      <c r="E35" s="621" t="s">
        <v>444</v>
      </c>
      <c r="F35" s="622">
        <f>'1'!I23+'2'!I28+'6'!I23+'3'!I23+'4'!I23+'7'!I23+'8'!I24+'9'!I23+'10'!I23+'11'!I23+'12'!I23+'13'!I23+'15'!I23+'16'!I26+'17'!I23+'18'!I23+'19'!I23+'20'!I24+'22'!I23+'23'!I23+'21'!I23+'24'!I23+'25'!I23+'26'!I23+'27'!I23+'28'!I23+'29'!I23+'30'!I23+'31'!I23+'32'!I23+'33'!I23+'34'!I23+'35'!I23+'36'!I23+'37'!I23+'5'!I23+'14'!I23</f>
        <v>410150</v>
      </c>
      <c r="G35" s="769">
        <f>'1'!J23+'2'!J28+'6'!J23+'3'!J23+'4'!J23+'7'!J23+'8'!J24+'9'!J23+'10'!J23+'11'!J23+'12'!J23+'13'!J23+'15'!J23+'16'!J26+'17'!J23+'18'!J23+'19'!J23+'20'!J24+'22'!J23+'23'!J23+'21'!J23+'24'!J23+'25'!J23+'26'!J23+'27'!J23+'28'!J23+'29'!J23+'30'!J23+'31'!J23+'32'!J23+'33'!J23+'34'!J23+'35'!J23+'36'!J23+'37'!J23+'5'!J23+'14'!J23</f>
        <v>397850</v>
      </c>
      <c r="H35" s="623">
        <f>'1'!K23+'2'!K28+'6'!K23+'3'!K23+'4'!K23+'7'!K23+'8'!K24+'9'!K23+'10'!K23+'11'!K23+'12'!K23+'13'!K23+'15'!K23+'16'!K26+'17'!K23+'18'!K23+'19'!K23+'20'!K24+'22'!K23+'23'!K23+'21'!K23+'24'!K23+'25'!K23+'26'!K23+'27'!K23+'28'!K23+'29'!K23+'30'!K23+'31'!K23+'32'!K23+'33'!K23+'34'!K23+'35'!K23+'36'!K23+'37'!K23+'5'!K23+'14'!K23</f>
        <v>212781</v>
      </c>
      <c r="I35" s="802">
        <f>'1'!L23+'2'!L28+'6'!L23+'3'!L23+'4'!L23+'7'!L23+'8'!L24+'9'!L23+'10'!L23+'11'!L23+'12'!L23+'13'!L23+'15'!L23+'16'!L26+'17'!L23+'18'!L23+'19'!L23+'20'!L24+'22'!L23+'23'!L23+'21'!L23+'24'!L23+'25'!L23+'26'!L23+'27'!L23+'28'!L23+'29'!L23+'30'!L23+'31'!L23+'32'!L23+'33'!L23+'34'!L23+'35'!L23+'36'!L23+'37'!L23+'5'!L23+'14'!L23</f>
        <v>0</v>
      </c>
      <c r="J35" s="622">
        <f>'1'!M23+'2'!M28+'6'!M23+'3'!M23+'4'!M23+'7'!M23+'8'!M24+'9'!M23+'10'!M23+'11'!M23+'12'!M23+'13'!M23+'15'!M23+'16'!M26+'17'!M23+'18'!M23+'19'!M23+'20'!M24+'22'!M23+'23'!M23+'21'!M23+'24'!M23+'25'!M23+'26'!M23+'27'!M23+'28'!M23+'29'!M23+'30'!M23+'31'!M23+'32'!M23+'33'!M23+'34'!M23+'35'!M23+'36'!M23+'37'!M23+'5'!M23+'14'!M23</f>
        <v>0</v>
      </c>
      <c r="K35" s="803">
        <f>'1'!N23+'2'!N28+'6'!N23+'3'!N23+'4'!N23+'7'!N23+'8'!N24+'9'!N23+'10'!N23+'11'!N23+'12'!N23+'13'!N23+'15'!N23+'16'!N26+'17'!N23+'18'!N23+'19'!N23+'20'!N24+'22'!N23+'23'!N23+'21'!N23+'24'!N23+'25'!N23+'26'!N23+'27'!N23+'28'!N23+'29'!N23+'30'!N23+'31'!N23+'32'!N23+'33'!N23+'34'!N23+'35'!N23+'36'!N23+'37'!N23+'5'!N23+'14'!N23</f>
        <v>0</v>
      </c>
      <c r="L35" s="574">
        <f t="shared" si="2"/>
        <v>0</v>
      </c>
      <c r="N35" s="52"/>
    </row>
    <row r="36" spans="2:14" ht="15" customHeight="1">
      <c r="B36" s="10"/>
      <c r="C36" s="139">
        <v>613700</v>
      </c>
      <c r="D36" s="195" t="s">
        <v>514</v>
      </c>
      <c r="E36" s="621" t="s">
        <v>445</v>
      </c>
      <c r="F36" s="622">
        <f>'18'!I24</f>
        <v>420000</v>
      </c>
      <c r="G36" s="769">
        <f>'18'!J24</f>
        <v>420000</v>
      </c>
      <c r="H36" s="623">
        <f>'18'!K24</f>
        <v>202329</v>
      </c>
      <c r="I36" s="802">
        <f>'18'!L24</f>
        <v>0</v>
      </c>
      <c r="J36" s="622">
        <f>'18'!M24</f>
        <v>0</v>
      </c>
      <c r="K36" s="803">
        <f>'18'!N24</f>
        <v>0</v>
      </c>
      <c r="L36" s="574">
        <f t="shared" si="2"/>
        <v>0</v>
      </c>
      <c r="N36" s="52"/>
    </row>
    <row r="37" spans="2:14" ht="15" customHeight="1">
      <c r="B37" s="10"/>
      <c r="C37" s="138">
        <v>613800</v>
      </c>
      <c r="D37" s="194"/>
      <c r="E37" s="620" t="s">
        <v>143</v>
      </c>
      <c r="F37" s="618">
        <f>F38+F39</f>
        <v>91190</v>
      </c>
      <c r="G37" s="768">
        <f t="shared" ref="G37:K37" si="17">G38+G39</f>
        <v>89190</v>
      </c>
      <c r="H37" s="619">
        <f t="shared" ref="H37" si="18">H38+H39</f>
        <v>45648</v>
      </c>
      <c r="I37" s="801">
        <f t="shared" si="17"/>
        <v>0</v>
      </c>
      <c r="J37" s="618">
        <f t="shared" si="17"/>
        <v>0</v>
      </c>
      <c r="K37" s="798">
        <f t="shared" si="17"/>
        <v>0</v>
      </c>
      <c r="L37" s="612">
        <f t="shared" si="2"/>
        <v>0</v>
      </c>
      <c r="N37" s="52"/>
    </row>
    <row r="38" spans="2:14" ht="15" customHeight="1">
      <c r="B38" s="10"/>
      <c r="C38" s="139">
        <v>613800</v>
      </c>
      <c r="D38" s="195"/>
      <c r="E38" s="621" t="s">
        <v>446</v>
      </c>
      <c r="F38" s="622">
        <f>'1'!I24+'2'!I29+'6'!I24+'3'!I24+'4'!I24+'7'!I24+'8'!I25+'9'!I24+'10'!I24+'11'!I24+'12'!I24+'13'!I24+'15'!I24+'16'!I27+'17'!I24+'18'!I25+'19'!I24+'20'!I25+'22'!I24+'23'!I24+'21'!I24+'24'!I24+'25'!I24+'26'!I24+'27'!I24+'28'!I24+'29'!I24+'30'!I24+'31'!I24+'32'!I24+'33'!I24+'34'!I24+'35'!I24+'36'!I24+'37'!I24+'5'!I24+'14'!I24</f>
        <v>91190</v>
      </c>
      <c r="G38" s="769">
        <f>'1'!J24+'2'!J29+'6'!J24+'3'!J24+'4'!J24+'7'!J24+'8'!J25+'9'!J24+'10'!J24+'11'!J24+'12'!J24+'13'!J24+'15'!J24+'16'!J27+'17'!J24+'18'!J25+'19'!J24+'20'!J25+'22'!J24+'23'!J24+'21'!J24+'24'!J24+'25'!J24+'26'!J24+'27'!J24+'28'!J24+'29'!J24+'30'!J24+'31'!J24+'32'!J24+'33'!J24+'34'!J24+'35'!J24+'36'!J24+'37'!J24+'5'!J24+'14'!J24</f>
        <v>89190</v>
      </c>
      <c r="H38" s="623">
        <f>'1'!K24+'2'!K29+'6'!K24+'3'!K24+'4'!K24+'7'!K24+'8'!K25+'9'!K24+'10'!K24+'11'!K24+'12'!K24+'13'!K24+'15'!K24+'16'!K27+'17'!K24+'18'!K25+'19'!K24+'20'!K25+'22'!K24+'23'!K24+'21'!K24+'24'!K24+'25'!K24+'26'!K24+'27'!K24+'28'!K24+'29'!K24+'30'!K24+'31'!K24+'32'!K24+'33'!K24+'34'!K24+'35'!K24+'36'!K24+'37'!K24+'5'!K24+'14'!K24</f>
        <v>45648</v>
      </c>
      <c r="I38" s="802">
        <f>'1'!L24+'2'!L29+'6'!L24+'3'!L24+'4'!L24+'7'!L24+'8'!L25+'9'!L24+'10'!L24+'11'!L24+'12'!L24+'13'!L24+'15'!L24+'16'!L27+'17'!L24+'18'!L25+'19'!L24+'20'!L25+'22'!L24+'23'!L24+'21'!L24+'24'!L24+'25'!L24+'26'!L24+'27'!L24+'28'!L24+'29'!L24+'30'!L24+'31'!L24+'32'!L24+'33'!L24+'34'!L24+'35'!L24+'36'!L24+'37'!L24+'5'!L24+'14'!L24</f>
        <v>0</v>
      </c>
      <c r="J38" s="622">
        <f>'1'!M24+'2'!M29+'6'!M24+'3'!M24+'4'!M24+'7'!M24+'8'!M25+'9'!M24+'10'!M24+'11'!M24+'12'!M24+'13'!M24+'15'!M24+'16'!M27+'17'!M24+'18'!M25+'19'!M24+'20'!M25+'22'!M24+'23'!M24+'21'!M24+'24'!M24+'25'!M24+'26'!M24+'27'!M24+'28'!M24+'29'!M24+'30'!M24+'31'!M24+'32'!M24+'33'!M24+'34'!M24+'35'!M24+'36'!M24+'37'!M24+'5'!M24+'14'!M24</f>
        <v>0</v>
      </c>
      <c r="K38" s="803">
        <f>'1'!N24+'2'!N29+'6'!N24+'3'!N24+'4'!N24+'7'!N24+'8'!N25+'9'!N24+'10'!N24+'11'!N24+'12'!N24+'13'!N24+'15'!N24+'16'!N27+'17'!N24+'18'!N25+'19'!N24+'20'!N25+'22'!N24+'23'!N24+'21'!N24+'24'!N24+'25'!N24+'26'!N24+'27'!N24+'28'!N24+'29'!N24+'30'!N24+'31'!N24+'32'!N24+'33'!N24+'34'!N24+'35'!N24+'36'!N24+'37'!N24+'5'!N24+'14'!N24</f>
        <v>0</v>
      </c>
      <c r="L38" s="574">
        <f t="shared" si="2"/>
        <v>0</v>
      </c>
      <c r="N38" s="52"/>
    </row>
    <row r="39" spans="2:14" ht="15" customHeight="1">
      <c r="B39" s="10"/>
      <c r="C39" s="139">
        <v>613800</v>
      </c>
      <c r="D39" s="195"/>
      <c r="E39" s="615" t="s">
        <v>447</v>
      </c>
      <c r="F39" s="572">
        <f>'20'!I26</f>
        <v>0</v>
      </c>
      <c r="G39" s="767">
        <f>'20'!J26</f>
        <v>0</v>
      </c>
      <c r="H39" s="573">
        <f>'20'!K26</f>
        <v>0</v>
      </c>
      <c r="I39" s="799">
        <f>'20'!L26</f>
        <v>0</v>
      </c>
      <c r="J39" s="572">
        <f>'20'!M26</f>
        <v>0</v>
      </c>
      <c r="K39" s="803">
        <f>'20'!N26</f>
        <v>0</v>
      </c>
      <c r="L39" s="574" t="str">
        <f t="shared" si="2"/>
        <v/>
      </c>
      <c r="N39" s="52"/>
    </row>
    <row r="40" spans="2:14" ht="15" customHeight="1">
      <c r="B40" s="10"/>
      <c r="C40" s="140">
        <v>613900</v>
      </c>
      <c r="D40" s="196"/>
      <c r="E40" s="620" t="s">
        <v>144</v>
      </c>
      <c r="F40" s="624">
        <f t="shared" ref="F40:K40" si="19">SUM(F41:F48)</f>
        <v>2205140</v>
      </c>
      <c r="G40" s="770">
        <f t="shared" si="19"/>
        <v>2202040</v>
      </c>
      <c r="H40" s="625">
        <f t="shared" ref="H40" si="20">SUM(H41:H48)</f>
        <v>1318526</v>
      </c>
      <c r="I40" s="804">
        <f t="shared" si="19"/>
        <v>0</v>
      </c>
      <c r="J40" s="624">
        <f t="shared" si="19"/>
        <v>0</v>
      </c>
      <c r="K40" s="805">
        <f t="shared" si="19"/>
        <v>0</v>
      </c>
      <c r="L40" s="612">
        <f t="shared" si="2"/>
        <v>0</v>
      </c>
      <c r="N40" s="52"/>
    </row>
    <row r="41" spans="2:14" ht="15" customHeight="1">
      <c r="B41" s="10"/>
      <c r="C41" s="141">
        <v>613900</v>
      </c>
      <c r="D41" s="197"/>
      <c r="E41" s="621" t="s">
        <v>448</v>
      </c>
      <c r="F41" s="626">
        <f>'1'!I25+'2'!I30+'6'!I25+'3'!I25+'4'!I25+'7'!I25+'8'!I26+'9'!I25+'10'!I25+'11'!I25+'12'!I25+'13'!I25+'15'!I25+'16'!I28+'17'!I25+'18'!I26+'19'!I25+'20'!I27+'22'!I25+'23'!I25+'21'!I25+'24'!I25+'25'!I25+'26'!I25+'27'!I25+'28'!I25+'29'!I25+'30'!I25+'31'!I25+'32'!I25+'33'!I25+'34'!I25+'35'!I25+'36'!I25+'37'!I25+'5'!I25+'14'!I25</f>
        <v>1634000</v>
      </c>
      <c r="G41" s="771">
        <f>'1'!J25+'2'!J30+'6'!J25+'3'!J25+'4'!J25+'7'!J25+'8'!J26+'9'!J25+'10'!J25+'11'!J25+'12'!J25+'13'!J25+'15'!J25+'16'!J28+'17'!J25+'18'!J26+'19'!J25+'20'!J27+'22'!J25+'23'!J25+'21'!J25+'24'!J25+'25'!J25+'26'!J25+'27'!J25+'28'!J25+'29'!J25+'30'!J25+'31'!J25+'32'!J25+'33'!J25+'34'!J25+'35'!J25+'36'!J25+'37'!J25+'5'!J25+'14'!J25</f>
        <v>1642900</v>
      </c>
      <c r="H41" s="627">
        <f>'1'!K25+'2'!K30+'6'!K25+'3'!K25+'4'!K25+'7'!K25+'8'!K26+'9'!K25+'10'!K25+'11'!K25+'12'!K25+'13'!K25+'15'!K25+'16'!K28+'17'!K25+'18'!K26+'19'!K25+'20'!K27+'22'!K25+'23'!K25+'21'!K25+'24'!K25+'25'!K25+'26'!K25+'27'!K25+'28'!K25+'29'!K25+'30'!K25+'31'!K25+'32'!K25+'33'!K25+'34'!K25+'35'!K25+'36'!K25+'37'!K25+'5'!K25+'14'!K25</f>
        <v>1087252</v>
      </c>
      <c r="I41" s="806">
        <f>'1'!L25+'2'!L30+'6'!L25+'3'!L25+'4'!L25+'7'!L25+'8'!L26+'9'!L25+'10'!L25+'11'!L25+'12'!L25+'13'!L25+'15'!L25+'16'!L28+'17'!L25+'18'!L26+'19'!L25+'20'!L27+'22'!L25+'23'!L25+'21'!L25+'24'!L25+'25'!L25+'26'!L25+'27'!L25+'28'!L25+'29'!L25+'30'!L25+'31'!L25+'32'!L25+'33'!L25+'34'!L25+'35'!L25+'36'!L25+'37'!L25+'5'!L25+'14'!L25</f>
        <v>0</v>
      </c>
      <c r="J41" s="626">
        <f>'1'!M25+'2'!M30+'6'!M25+'3'!M25+'4'!M25+'7'!M25+'8'!M26+'9'!M25+'10'!M25+'11'!M25+'12'!M25+'13'!M25+'15'!M25+'16'!M28+'17'!M25+'18'!M26+'19'!M25+'20'!M27+'22'!M25+'23'!M25+'21'!M25+'24'!M25+'25'!M25+'26'!M25+'27'!M25+'28'!M25+'29'!M25+'30'!M25+'31'!M25+'32'!M25+'33'!M25+'34'!M25+'35'!M25+'36'!M25+'37'!M25+'5'!M25+'14'!M25</f>
        <v>0</v>
      </c>
      <c r="K41" s="807">
        <f>'1'!N25+'2'!N30+'6'!N25+'3'!N25+'4'!N25+'7'!N25+'8'!N26+'9'!N25+'10'!N25+'11'!N25+'12'!N25+'13'!N25+'15'!N25+'16'!N28+'17'!N25+'18'!N26+'19'!N25+'20'!N27+'22'!N25+'23'!N25+'21'!N25+'24'!N25+'25'!N25+'26'!N25+'27'!N25+'28'!N25+'29'!N25+'30'!N25+'31'!N25+'32'!N25+'33'!N25+'34'!N25+'35'!N25+'36'!N25+'37'!N25+'5'!N25+'14'!N25</f>
        <v>0</v>
      </c>
      <c r="L41" s="574">
        <f t="shared" si="2"/>
        <v>0</v>
      </c>
      <c r="N41" s="52"/>
    </row>
    <row r="42" spans="2:14" s="166" customFormat="1" ht="15" customHeight="1">
      <c r="B42" s="167"/>
      <c r="C42" s="139">
        <v>613900</v>
      </c>
      <c r="D42" s="197" t="s">
        <v>728</v>
      </c>
      <c r="E42" s="621" t="s">
        <v>727</v>
      </c>
      <c r="F42" s="572">
        <f>'9'!I26</f>
        <v>44500</v>
      </c>
      <c r="G42" s="767">
        <f>'9'!J26</f>
        <v>44500</v>
      </c>
      <c r="H42" s="573">
        <f>'9'!K26</f>
        <v>32915</v>
      </c>
      <c r="I42" s="799">
        <f>'9'!L26</f>
        <v>0</v>
      </c>
      <c r="J42" s="572">
        <f>'9'!M26</f>
        <v>0</v>
      </c>
      <c r="K42" s="803">
        <f>'9'!N26</f>
        <v>0</v>
      </c>
      <c r="L42" s="574">
        <f t="shared" si="2"/>
        <v>0</v>
      </c>
      <c r="N42" s="52"/>
    </row>
    <row r="43" spans="2:14" s="454" customFormat="1" ht="15" customHeight="1">
      <c r="B43" s="455"/>
      <c r="C43" s="466">
        <v>613900</v>
      </c>
      <c r="D43" s="467" t="s">
        <v>738</v>
      </c>
      <c r="E43" s="628" t="s">
        <v>744</v>
      </c>
      <c r="F43" s="629">
        <f>'9'!I27</f>
        <v>85000</v>
      </c>
      <c r="G43" s="772">
        <f>'9'!J27</f>
        <v>85000</v>
      </c>
      <c r="H43" s="630">
        <f>'9'!K27</f>
        <v>51855</v>
      </c>
      <c r="I43" s="808">
        <f>'9'!L27</f>
        <v>0</v>
      </c>
      <c r="J43" s="629">
        <f>'9'!M27</f>
        <v>0</v>
      </c>
      <c r="K43" s="809">
        <f>'9'!N27</f>
        <v>0</v>
      </c>
      <c r="L43" s="631">
        <f t="shared" si="2"/>
        <v>0</v>
      </c>
      <c r="N43" s="52"/>
    </row>
    <row r="44" spans="2:14" ht="15" customHeight="1">
      <c r="B44" s="10"/>
      <c r="C44" s="139">
        <v>613900</v>
      </c>
      <c r="D44" s="195" t="s">
        <v>508</v>
      </c>
      <c r="E44" s="615" t="s">
        <v>449</v>
      </c>
      <c r="F44" s="572">
        <f>'16'!I29</f>
        <v>234540</v>
      </c>
      <c r="G44" s="767">
        <f>'16'!J29</f>
        <v>222540</v>
      </c>
      <c r="H44" s="573">
        <f>'16'!K29</f>
        <v>64312</v>
      </c>
      <c r="I44" s="799">
        <f>'16'!L29</f>
        <v>0</v>
      </c>
      <c r="J44" s="572">
        <f>'16'!M29</f>
        <v>0</v>
      </c>
      <c r="K44" s="803">
        <f>'16'!N29</f>
        <v>0</v>
      </c>
      <c r="L44" s="574">
        <f t="shared" ref="L44:L72" si="21">IF(G44=0,"",K44/G44*100)</f>
        <v>0</v>
      </c>
      <c r="N44" s="52"/>
    </row>
    <row r="45" spans="2:14" ht="15" customHeight="1">
      <c r="B45" s="10"/>
      <c r="C45" s="139">
        <v>613900</v>
      </c>
      <c r="D45" s="195" t="s">
        <v>520</v>
      </c>
      <c r="E45" s="615" t="s">
        <v>450</v>
      </c>
      <c r="F45" s="572">
        <f>'20'!I28</f>
        <v>55000</v>
      </c>
      <c r="G45" s="767">
        <f>'20'!J28</f>
        <v>55000</v>
      </c>
      <c r="H45" s="573">
        <f>'20'!K28</f>
        <v>34292</v>
      </c>
      <c r="I45" s="799">
        <f>'20'!L28</f>
        <v>0</v>
      </c>
      <c r="J45" s="572">
        <f>'20'!M28</f>
        <v>0</v>
      </c>
      <c r="K45" s="803">
        <f>'20'!N28</f>
        <v>0</v>
      </c>
      <c r="L45" s="574">
        <f t="shared" si="21"/>
        <v>0</v>
      </c>
      <c r="N45" s="52"/>
    </row>
    <row r="46" spans="2:14" s="166" customFormat="1" ht="15" customHeight="1">
      <c r="B46" s="167"/>
      <c r="C46" s="139">
        <v>613900</v>
      </c>
      <c r="D46" s="195" t="s">
        <v>498</v>
      </c>
      <c r="E46" s="621" t="s">
        <v>903</v>
      </c>
      <c r="F46" s="572">
        <f>'2'!I31</f>
        <v>35000</v>
      </c>
      <c r="G46" s="767">
        <f>'2'!J31</f>
        <v>39000</v>
      </c>
      <c r="H46" s="573">
        <f>'2'!K31</f>
        <v>35900</v>
      </c>
      <c r="I46" s="799">
        <f>'2'!L31</f>
        <v>0</v>
      </c>
      <c r="J46" s="572">
        <f>'2'!M31</f>
        <v>0</v>
      </c>
      <c r="K46" s="803">
        <f>'2'!N31</f>
        <v>0</v>
      </c>
      <c r="L46" s="574">
        <f t="shared" si="21"/>
        <v>0</v>
      </c>
      <c r="N46" s="52"/>
    </row>
    <row r="47" spans="2:14" ht="15" customHeight="1">
      <c r="B47" s="10"/>
      <c r="C47" s="139">
        <v>613900</v>
      </c>
      <c r="D47" s="195" t="s">
        <v>767</v>
      </c>
      <c r="E47" s="621" t="s">
        <v>748</v>
      </c>
      <c r="F47" s="572">
        <f>'2'!I32</f>
        <v>87000</v>
      </c>
      <c r="G47" s="767">
        <f>'2'!J32</f>
        <v>83000</v>
      </c>
      <c r="H47" s="573">
        <f>'2'!K32</f>
        <v>12000</v>
      </c>
      <c r="I47" s="799">
        <f>'2'!L32</f>
        <v>0</v>
      </c>
      <c r="J47" s="572">
        <f>'2'!M32</f>
        <v>0</v>
      </c>
      <c r="K47" s="803">
        <f>'2'!N32</f>
        <v>0</v>
      </c>
      <c r="L47" s="574">
        <f t="shared" si="21"/>
        <v>0</v>
      </c>
      <c r="N47" s="52"/>
    </row>
    <row r="48" spans="2:14" ht="15" customHeight="1">
      <c r="B48" s="10"/>
      <c r="C48" s="139">
        <v>613900</v>
      </c>
      <c r="D48" s="195" t="s">
        <v>506</v>
      </c>
      <c r="E48" s="615" t="s">
        <v>451</v>
      </c>
      <c r="F48" s="572">
        <f>'15'!I27</f>
        <v>30100</v>
      </c>
      <c r="G48" s="767">
        <f>'15'!J27</f>
        <v>30100</v>
      </c>
      <c r="H48" s="573">
        <f>'15'!K27</f>
        <v>0</v>
      </c>
      <c r="I48" s="799">
        <f>'15'!L27</f>
        <v>0</v>
      </c>
      <c r="J48" s="572">
        <f>'15'!M27</f>
        <v>0</v>
      </c>
      <c r="K48" s="803">
        <f>'15'!N27</f>
        <v>0</v>
      </c>
      <c r="L48" s="574">
        <f t="shared" si="21"/>
        <v>0</v>
      </c>
      <c r="N48" s="52"/>
    </row>
    <row r="49" spans="2:14" ht="11.25" customHeight="1">
      <c r="B49" s="10"/>
      <c r="C49" s="138"/>
      <c r="D49" s="194"/>
      <c r="E49" s="78"/>
      <c r="F49" s="632"/>
      <c r="G49" s="773"/>
      <c r="H49" s="633"/>
      <c r="I49" s="810"/>
      <c r="J49" s="632"/>
      <c r="K49" s="798"/>
      <c r="L49" s="612" t="str">
        <f t="shared" si="21"/>
        <v/>
      </c>
    </row>
    <row r="50" spans="2:14" ht="15" customHeight="1">
      <c r="B50" s="10"/>
      <c r="C50" s="269">
        <v>614000</v>
      </c>
      <c r="D50" s="270"/>
      <c r="E50" s="606" t="s">
        <v>165</v>
      </c>
      <c r="F50" s="607">
        <f t="shared" ref="F50:K50" si="22">F51+F60+F69+F81+F86</f>
        <v>15960000</v>
      </c>
      <c r="G50" s="765">
        <f t="shared" si="22"/>
        <v>16150000</v>
      </c>
      <c r="H50" s="608">
        <f t="shared" si="22"/>
        <v>10190786</v>
      </c>
      <c r="I50" s="795">
        <f t="shared" si="22"/>
        <v>0</v>
      </c>
      <c r="J50" s="607">
        <f t="shared" si="22"/>
        <v>0</v>
      </c>
      <c r="K50" s="796">
        <f t="shared" si="22"/>
        <v>0</v>
      </c>
      <c r="L50" s="609">
        <f t="shared" si="21"/>
        <v>0</v>
      </c>
      <c r="N50" s="68"/>
    </row>
    <row r="51" spans="2:14" s="45" customFormat="1" ht="15" customHeight="1">
      <c r="B51" s="142"/>
      <c r="C51" s="577">
        <v>614100</v>
      </c>
      <c r="D51" s="578"/>
      <c r="E51" s="614" t="s">
        <v>464</v>
      </c>
      <c r="F51" s="634">
        <f t="shared" ref="F51:K51" si="23">SUM(F52:F59)</f>
        <v>4065000</v>
      </c>
      <c r="G51" s="774">
        <f t="shared" si="23"/>
        <v>4065000</v>
      </c>
      <c r="H51" s="635">
        <f t="shared" ref="H51" si="24">SUM(H52:H59)</f>
        <v>2738072</v>
      </c>
      <c r="I51" s="811">
        <f t="shared" si="23"/>
        <v>0</v>
      </c>
      <c r="J51" s="634">
        <f t="shared" si="23"/>
        <v>0</v>
      </c>
      <c r="K51" s="798">
        <f t="shared" si="23"/>
        <v>0</v>
      </c>
      <c r="L51" s="612">
        <f t="shared" si="21"/>
        <v>0</v>
      </c>
      <c r="N51" s="53"/>
    </row>
    <row r="52" spans="2:14" s="54" customFormat="1" ht="15" customHeight="1">
      <c r="B52" s="55"/>
      <c r="C52" s="567">
        <v>614100</v>
      </c>
      <c r="D52" s="579" t="s">
        <v>499</v>
      </c>
      <c r="E52" s="621" t="s">
        <v>452</v>
      </c>
      <c r="F52" s="622">
        <f>'2'!I35</f>
        <v>300000</v>
      </c>
      <c r="G52" s="769">
        <f>'2'!J35</f>
        <v>300000</v>
      </c>
      <c r="H52" s="623">
        <f>'2'!K35</f>
        <v>225000</v>
      </c>
      <c r="I52" s="802">
        <f>'2'!L35</f>
        <v>0</v>
      </c>
      <c r="J52" s="622">
        <f>'2'!M35</f>
        <v>0</v>
      </c>
      <c r="K52" s="803">
        <f>'2'!N35</f>
        <v>0</v>
      </c>
      <c r="L52" s="574">
        <f t="shared" si="21"/>
        <v>0</v>
      </c>
      <c r="N52" s="53"/>
    </row>
    <row r="53" spans="2:14" s="163" customFormat="1" ht="15" customHeight="1">
      <c r="B53" s="169"/>
      <c r="C53" s="567">
        <v>614100</v>
      </c>
      <c r="D53" s="580" t="s">
        <v>615</v>
      </c>
      <c r="E53" s="636" t="s">
        <v>454</v>
      </c>
      <c r="F53" s="572">
        <f>'15'!I30</f>
        <v>50000</v>
      </c>
      <c r="G53" s="767">
        <f>'15'!J30</f>
        <v>50000</v>
      </c>
      <c r="H53" s="573">
        <f>'15'!K30</f>
        <v>0</v>
      </c>
      <c r="I53" s="799">
        <f>'15'!L30</f>
        <v>0</v>
      </c>
      <c r="J53" s="572">
        <f>'15'!M30</f>
        <v>0</v>
      </c>
      <c r="K53" s="803">
        <f>'15'!N30</f>
        <v>0</v>
      </c>
      <c r="L53" s="574">
        <f t="shared" si="21"/>
        <v>0</v>
      </c>
      <c r="N53" s="53"/>
    </row>
    <row r="54" spans="2:14" s="1" customFormat="1" ht="15" customHeight="1">
      <c r="B54" s="12"/>
      <c r="C54" s="567">
        <v>614100</v>
      </c>
      <c r="D54" s="579" t="s">
        <v>509</v>
      </c>
      <c r="E54" s="637" t="s">
        <v>812</v>
      </c>
      <c r="F54" s="572">
        <f>'16'!I33</f>
        <v>1300000</v>
      </c>
      <c r="G54" s="767">
        <f>'16'!J33</f>
        <v>1300000</v>
      </c>
      <c r="H54" s="573">
        <f>'16'!K33</f>
        <v>1300000</v>
      </c>
      <c r="I54" s="799">
        <f>'16'!L33</f>
        <v>0</v>
      </c>
      <c r="J54" s="572">
        <f>'16'!M33</f>
        <v>0</v>
      </c>
      <c r="K54" s="803">
        <f>'16'!N33</f>
        <v>0</v>
      </c>
      <c r="L54" s="574">
        <f t="shared" si="21"/>
        <v>0</v>
      </c>
      <c r="N54" s="53"/>
    </row>
    <row r="55" spans="2:14" s="1" customFormat="1" ht="15" customHeight="1">
      <c r="B55" s="12"/>
      <c r="C55" s="575">
        <v>614100</v>
      </c>
      <c r="D55" s="581"/>
      <c r="E55" s="621" t="s">
        <v>818</v>
      </c>
      <c r="F55" s="572">
        <f>'17'!I29</f>
        <v>1500000</v>
      </c>
      <c r="G55" s="767">
        <f>'17'!J29</f>
        <v>1500000</v>
      </c>
      <c r="H55" s="573">
        <f>'17'!K29</f>
        <v>915000</v>
      </c>
      <c r="I55" s="799">
        <f>'17'!L29</f>
        <v>0</v>
      </c>
      <c r="J55" s="572">
        <f>'17'!M29</f>
        <v>0</v>
      </c>
      <c r="K55" s="803">
        <f>'17'!N29</f>
        <v>0</v>
      </c>
      <c r="L55" s="574">
        <f t="shared" si="21"/>
        <v>0</v>
      </c>
      <c r="N55" s="53"/>
    </row>
    <row r="56" spans="2:14" s="1" customFormat="1" ht="15" customHeight="1">
      <c r="B56" s="12"/>
      <c r="C56" s="567">
        <v>614100</v>
      </c>
      <c r="D56" s="582" t="s">
        <v>515</v>
      </c>
      <c r="E56" s="636" t="s">
        <v>453</v>
      </c>
      <c r="F56" s="572">
        <f>'18'!I30</f>
        <v>280000</v>
      </c>
      <c r="G56" s="767">
        <f>'18'!J30</f>
        <v>280000</v>
      </c>
      <c r="H56" s="573">
        <f>'18'!K30</f>
        <v>4000</v>
      </c>
      <c r="I56" s="799">
        <f>'18'!L30</f>
        <v>0</v>
      </c>
      <c r="J56" s="572">
        <f>'18'!M30</f>
        <v>0</v>
      </c>
      <c r="K56" s="803">
        <f>'18'!N30</f>
        <v>0</v>
      </c>
      <c r="L56" s="574">
        <f t="shared" si="21"/>
        <v>0</v>
      </c>
      <c r="N56" s="53"/>
    </row>
    <row r="57" spans="2:14" s="1" customFormat="1" ht="15" customHeight="1">
      <c r="B57" s="12"/>
      <c r="C57" s="567">
        <v>614100</v>
      </c>
      <c r="D57" s="579" t="s">
        <v>517</v>
      </c>
      <c r="E57" s="621" t="s">
        <v>824</v>
      </c>
      <c r="F57" s="572">
        <f>'19'!I29</f>
        <v>100000</v>
      </c>
      <c r="G57" s="767">
        <f>'19'!J29</f>
        <v>100000</v>
      </c>
      <c r="H57" s="573">
        <f>'19'!K29</f>
        <v>19155</v>
      </c>
      <c r="I57" s="799">
        <f>'19'!L29</f>
        <v>0</v>
      </c>
      <c r="J57" s="572">
        <f>'19'!M29</f>
        <v>0</v>
      </c>
      <c r="K57" s="803">
        <f>'19'!N29</f>
        <v>0</v>
      </c>
      <c r="L57" s="574">
        <f t="shared" si="21"/>
        <v>0</v>
      </c>
      <c r="N57" s="53"/>
    </row>
    <row r="58" spans="2:14" s="1" customFormat="1" ht="18.75" customHeight="1">
      <c r="B58" s="12"/>
      <c r="C58" s="575">
        <v>614100</v>
      </c>
      <c r="D58" s="581" t="s">
        <v>521</v>
      </c>
      <c r="E58" s="553" t="s">
        <v>802</v>
      </c>
      <c r="F58" s="572">
        <f>'20'!I32</f>
        <v>165000</v>
      </c>
      <c r="G58" s="767">
        <f>'20'!J32</f>
        <v>165000</v>
      </c>
      <c r="H58" s="573">
        <f>'20'!K32</f>
        <v>98681</v>
      </c>
      <c r="I58" s="799">
        <f>'20'!L32</f>
        <v>0</v>
      </c>
      <c r="J58" s="572">
        <f>'20'!M32</f>
        <v>0</v>
      </c>
      <c r="K58" s="803">
        <f>'20'!N32</f>
        <v>0</v>
      </c>
      <c r="L58" s="574">
        <f t="shared" si="21"/>
        <v>0</v>
      </c>
      <c r="N58" s="53"/>
    </row>
    <row r="59" spans="2:14" s="1" customFormat="1" ht="15" customHeight="1">
      <c r="B59" s="12"/>
      <c r="C59" s="583" t="s">
        <v>100</v>
      </c>
      <c r="D59" s="576" t="s">
        <v>522</v>
      </c>
      <c r="E59" s="637" t="s">
        <v>819</v>
      </c>
      <c r="F59" s="622">
        <f>'20'!I33</f>
        <v>370000</v>
      </c>
      <c r="G59" s="769">
        <f>'20'!J33</f>
        <v>370000</v>
      </c>
      <c r="H59" s="623">
        <f>'20'!K33</f>
        <v>176236</v>
      </c>
      <c r="I59" s="802">
        <f>'20'!L33</f>
        <v>0</v>
      </c>
      <c r="J59" s="622">
        <f>'20'!M33</f>
        <v>0</v>
      </c>
      <c r="K59" s="803">
        <f>'20'!N33</f>
        <v>0</v>
      </c>
      <c r="L59" s="574">
        <f t="shared" si="21"/>
        <v>0</v>
      </c>
      <c r="N59" s="53"/>
    </row>
    <row r="60" spans="2:14" s="45" customFormat="1" ht="15" customHeight="1">
      <c r="B60" s="142"/>
      <c r="C60" s="584" t="s">
        <v>98</v>
      </c>
      <c r="D60" s="585"/>
      <c r="E60" s="638" t="s">
        <v>465</v>
      </c>
      <c r="F60" s="634">
        <f>SUM(F61:F68)</f>
        <v>6355000</v>
      </c>
      <c r="G60" s="774">
        <f t="shared" ref="G60:K60" si="25">SUM(G61:G68)</f>
        <v>6355000</v>
      </c>
      <c r="H60" s="635">
        <f t="shared" ref="H60" si="26">SUM(H61:H68)</f>
        <v>4144290</v>
      </c>
      <c r="I60" s="811">
        <f t="shared" si="25"/>
        <v>0</v>
      </c>
      <c r="J60" s="634">
        <f t="shared" si="25"/>
        <v>0</v>
      </c>
      <c r="K60" s="798">
        <f t="shared" si="25"/>
        <v>0</v>
      </c>
      <c r="L60" s="612">
        <f t="shared" si="21"/>
        <v>0</v>
      </c>
      <c r="N60" s="53"/>
    </row>
    <row r="61" spans="2:14" s="1" customFormat="1" ht="15" customHeight="1">
      <c r="B61" s="12"/>
      <c r="C61" s="583" t="s">
        <v>98</v>
      </c>
      <c r="D61" s="576" t="s">
        <v>500</v>
      </c>
      <c r="E61" s="639" t="s">
        <v>455</v>
      </c>
      <c r="F61" s="622">
        <f>'2'!I36</f>
        <v>290000</v>
      </c>
      <c r="G61" s="769">
        <f>'2'!J36</f>
        <v>290000</v>
      </c>
      <c r="H61" s="623">
        <f>'2'!K36</f>
        <v>289800</v>
      </c>
      <c r="I61" s="802">
        <f>'2'!L36</f>
        <v>0</v>
      </c>
      <c r="J61" s="622">
        <f>'2'!M36</f>
        <v>0</v>
      </c>
      <c r="K61" s="803">
        <f>'2'!N36</f>
        <v>0</v>
      </c>
      <c r="L61" s="574">
        <f t="shared" si="21"/>
        <v>0</v>
      </c>
      <c r="N61" s="53"/>
    </row>
    <row r="62" spans="2:14" s="163" customFormat="1" ht="27" customHeight="1">
      <c r="B62" s="169"/>
      <c r="C62" s="575">
        <v>614200</v>
      </c>
      <c r="D62" s="576" t="s">
        <v>622</v>
      </c>
      <c r="E62" s="640" t="s">
        <v>731</v>
      </c>
      <c r="F62" s="572">
        <f>'6'!I29</f>
        <v>150000</v>
      </c>
      <c r="G62" s="767">
        <f>'6'!J29</f>
        <v>150000</v>
      </c>
      <c r="H62" s="573">
        <f>'6'!K29</f>
        <v>88605</v>
      </c>
      <c r="I62" s="799">
        <f>'6'!L29</f>
        <v>0</v>
      </c>
      <c r="J62" s="572">
        <f>'6'!M29</f>
        <v>0</v>
      </c>
      <c r="K62" s="803">
        <f>'6'!N29</f>
        <v>0</v>
      </c>
      <c r="L62" s="574">
        <f t="shared" si="21"/>
        <v>0</v>
      </c>
      <c r="N62" s="53"/>
    </row>
    <row r="63" spans="2:14" s="163" customFormat="1" ht="15" customHeight="1">
      <c r="B63" s="169"/>
      <c r="C63" s="575" t="s">
        <v>98</v>
      </c>
      <c r="D63" s="576" t="s">
        <v>605</v>
      </c>
      <c r="E63" s="621" t="s">
        <v>815</v>
      </c>
      <c r="F63" s="572">
        <f>'17'!I30</f>
        <v>65000</v>
      </c>
      <c r="G63" s="767">
        <f>'17'!J30</f>
        <v>65000</v>
      </c>
      <c r="H63" s="573">
        <f>'17'!K30</f>
        <v>56300</v>
      </c>
      <c r="I63" s="799">
        <f>'17'!L30</f>
        <v>0</v>
      </c>
      <c r="J63" s="572">
        <f>'17'!M30</f>
        <v>0</v>
      </c>
      <c r="K63" s="803">
        <f>'17'!N30</f>
        <v>0</v>
      </c>
      <c r="L63" s="574">
        <f t="shared" si="21"/>
        <v>0</v>
      </c>
      <c r="N63" s="53"/>
    </row>
    <row r="64" spans="2:14" s="163" customFormat="1" ht="15" customHeight="1">
      <c r="B64" s="169"/>
      <c r="C64" s="575" t="s">
        <v>98</v>
      </c>
      <c r="D64" s="576" t="s">
        <v>606</v>
      </c>
      <c r="E64" s="621" t="s">
        <v>816</v>
      </c>
      <c r="F64" s="572">
        <f>'17'!I31</f>
        <v>3770000</v>
      </c>
      <c r="G64" s="767">
        <f>'17'!J31</f>
        <v>3770000</v>
      </c>
      <c r="H64" s="573">
        <f>'17'!K31</f>
        <v>2282502</v>
      </c>
      <c r="I64" s="799">
        <f>'17'!L31</f>
        <v>0</v>
      </c>
      <c r="J64" s="572">
        <f>'17'!M31</f>
        <v>0</v>
      </c>
      <c r="K64" s="803">
        <f>'17'!N31</f>
        <v>0</v>
      </c>
      <c r="L64" s="574">
        <f t="shared" si="21"/>
        <v>0</v>
      </c>
      <c r="N64" s="53"/>
    </row>
    <row r="65" spans="2:14" s="1" customFormat="1" ht="15" customHeight="1">
      <c r="B65" s="12"/>
      <c r="C65" s="575" t="s">
        <v>98</v>
      </c>
      <c r="D65" s="581" t="s">
        <v>523</v>
      </c>
      <c r="E65" s="637" t="s">
        <v>456</v>
      </c>
      <c r="F65" s="572">
        <f>'20'!I34</f>
        <v>150000</v>
      </c>
      <c r="G65" s="767">
        <f>'20'!J34</f>
        <v>150000</v>
      </c>
      <c r="H65" s="573">
        <f>'20'!K34</f>
        <v>119200</v>
      </c>
      <c r="I65" s="799">
        <f>'20'!L34</f>
        <v>0</v>
      </c>
      <c r="J65" s="572">
        <f>'20'!M34</f>
        <v>0</v>
      </c>
      <c r="K65" s="803">
        <f>'20'!N34</f>
        <v>0</v>
      </c>
      <c r="L65" s="574">
        <f t="shared" si="21"/>
        <v>0</v>
      </c>
      <c r="N65" s="53"/>
    </row>
    <row r="66" spans="2:14" s="1" customFormat="1" ht="24.75" customHeight="1">
      <c r="B66" s="12"/>
      <c r="C66" s="575" t="s">
        <v>98</v>
      </c>
      <c r="D66" s="581" t="s">
        <v>524</v>
      </c>
      <c r="E66" s="640" t="s">
        <v>457</v>
      </c>
      <c r="F66" s="572">
        <f>'20'!I35</f>
        <v>20000</v>
      </c>
      <c r="G66" s="767">
        <f>'20'!J35</f>
        <v>20000</v>
      </c>
      <c r="H66" s="573">
        <f>'20'!K35</f>
        <v>10000</v>
      </c>
      <c r="I66" s="799">
        <f>'20'!L35</f>
        <v>0</v>
      </c>
      <c r="J66" s="572">
        <f>'20'!M35</f>
        <v>0</v>
      </c>
      <c r="K66" s="803">
        <f>'20'!N35</f>
        <v>0</v>
      </c>
      <c r="L66" s="574">
        <f t="shared" si="21"/>
        <v>0</v>
      </c>
      <c r="N66" s="53"/>
    </row>
    <row r="67" spans="2:14" s="1" customFormat="1" ht="15" customHeight="1">
      <c r="B67" s="12"/>
      <c r="C67" s="575">
        <v>614200</v>
      </c>
      <c r="D67" s="581" t="s">
        <v>527</v>
      </c>
      <c r="E67" s="637" t="s">
        <v>828</v>
      </c>
      <c r="F67" s="572">
        <f>'31'!I29</f>
        <v>1800000</v>
      </c>
      <c r="G67" s="767">
        <f>'31'!J28</f>
        <v>1800000</v>
      </c>
      <c r="H67" s="573">
        <f>'31'!K28</f>
        <v>1282264</v>
      </c>
      <c r="I67" s="799">
        <f>'31'!L28</f>
        <v>0</v>
      </c>
      <c r="J67" s="572">
        <f>'31'!M28</f>
        <v>0</v>
      </c>
      <c r="K67" s="803">
        <f>'31'!N28</f>
        <v>0</v>
      </c>
      <c r="L67" s="574">
        <f t="shared" si="21"/>
        <v>0</v>
      </c>
      <c r="N67" s="53"/>
    </row>
    <row r="68" spans="2:14" s="1" customFormat="1" ht="15" customHeight="1">
      <c r="B68" s="12"/>
      <c r="C68" s="575" t="s">
        <v>98</v>
      </c>
      <c r="D68" s="581" t="s">
        <v>528</v>
      </c>
      <c r="E68" s="621" t="s">
        <v>458</v>
      </c>
      <c r="F68" s="572">
        <f>'33'!I29</f>
        <v>110000</v>
      </c>
      <c r="G68" s="767">
        <f>'33'!J29</f>
        <v>110000</v>
      </c>
      <c r="H68" s="573">
        <f>'33'!K29</f>
        <v>15619</v>
      </c>
      <c r="I68" s="799">
        <f>'33'!L29</f>
        <v>0</v>
      </c>
      <c r="J68" s="572">
        <f>'33'!M29</f>
        <v>0</v>
      </c>
      <c r="K68" s="803">
        <f>'33'!N29</f>
        <v>0</v>
      </c>
      <c r="L68" s="574">
        <f t="shared" si="21"/>
        <v>0</v>
      </c>
      <c r="N68" s="53"/>
    </row>
    <row r="69" spans="2:14" s="45" customFormat="1" ht="15" customHeight="1">
      <c r="B69" s="142"/>
      <c r="C69" s="586" t="s">
        <v>99</v>
      </c>
      <c r="D69" s="587"/>
      <c r="E69" s="641" t="s">
        <v>466</v>
      </c>
      <c r="F69" s="642">
        <f>SUM(F70:F80)</f>
        <v>1600000</v>
      </c>
      <c r="G69" s="775">
        <f t="shared" ref="G69:K69" si="27">SUM(G70:G80)</f>
        <v>1600000</v>
      </c>
      <c r="H69" s="643">
        <f t="shared" ref="H69" si="28">SUM(H70:H80)</f>
        <v>1338092</v>
      </c>
      <c r="I69" s="812">
        <f t="shared" si="27"/>
        <v>0</v>
      </c>
      <c r="J69" s="642">
        <f t="shared" si="27"/>
        <v>0</v>
      </c>
      <c r="K69" s="798">
        <f t="shared" si="27"/>
        <v>0</v>
      </c>
      <c r="L69" s="612">
        <f t="shared" si="21"/>
        <v>0</v>
      </c>
      <c r="N69" s="53"/>
    </row>
    <row r="70" spans="2:14" s="1" customFormat="1" ht="15" customHeight="1">
      <c r="B70" s="12"/>
      <c r="C70" s="575" t="s">
        <v>99</v>
      </c>
      <c r="D70" s="581" t="s">
        <v>775</v>
      </c>
      <c r="E70" s="637" t="s">
        <v>809</v>
      </c>
      <c r="F70" s="572">
        <f>'2'!I41</f>
        <v>140000</v>
      </c>
      <c r="G70" s="767">
        <f>'2'!J41</f>
        <v>140000</v>
      </c>
      <c r="H70" s="573">
        <f>'2'!K41</f>
        <v>93340</v>
      </c>
      <c r="I70" s="799">
        <f>'2'!L41</f>
        <v>0</v>
      </c>
      <c r="J70" s="572">
        <f>'2'!M41</f>
        <v>0</v>
      </c>
      <c r="K70" s="803">
        <f>'2'!N41</f>
        <v>0</v>
      </c>
      <c r="L70" s="574">
        <f t="shared" si="21"/>
        <v>0</v>
      </c>
      <c r="N70" s="53"/>
    </row>
    <row r="71" spans="2:14" s="1" customFormat="1" ht="15" customHeight="1">
      <c r="B71" s="12"/>
      <c r="C71" s="575" t="s">
        <v>99</v>
      </c>
      <c r="D71" s="581" t="s">
        <v>501</v>
      </c>
      <c r="E71" s="621" t="s">
        <v>810</v>
      </c>
      <c r="F71" s="572">
        <f>'2'!I37</f>
        <v>70000</v>
      </c>
      <c r="G71" s="767">
        <f>'2'!J37</f>
        <v>70000</v>
      </c>
      <c r="H71" s="573">
        <f>'2'!K37</f>
        <v>70000</v>
      </c>
      <c r="I71" s="799">
        <f>'2'!L37</f>
        <v>0</v>
      </c>
      <c r="J71" s="572">
        <f>'2'!M37</f>
        <v>0</v>
      </c>
      <c r="K71" s="803">
        <f>'2'!N37</f>
        <v>0</v>
      </c>
      <c r="L71" s="574">
        <f t="shared" si="21"/>
        <v>0</v>
      </c>
      <c r="N71" s="53"/>
    </row>
    <row r="72" spans="2:14" ht="15" customHeight="1">
      <c r="B72" s="10"/>
      <c r="C72" s="575" t="s">
        <v>99</v>
      </c>
      <c r="D72" s="581" t="s">
        <v>502</v>
      </c>
      <c r="E72" s="621" t="s">
        <v>459</v>
      </c>
      <c r="F72" s="622">
        <f>'2'!I38</f>
        <v>30000</v>
      </c>
      <c r="G72" s="769">
        <f>'2'!J38</f>
        <v>30000</v>
      </c>
      <c r="H72" s="623">
        <f>'2'!K38</f>
        <v>25000</v>
      </c>
      <c r="I72" s="802">
        <f>'2'!L38</f>
        <v>0</v>
      </c>
      <c r="J72" s="622">
        <f>'2'!M38</f>
        <v>0</v>
      </c>
      <c r="K72" s="803">
        <f>'2'!N38</f>
        <v>0</v>
      </c>
      <c r="L72" s="574">
        <f t="shared" si="21"/>
        <v>0</v>
      </c>
      <c r="N72" s="53"/>
    </row>
    <row r="73" spans="2:14" s="1" customFormat="1" ht="15" customHeight="1">
      <c r="B73" s="22"/>
      <c r="C73" s="583" t="s">
        <v>99</v>
      </c>
      <c r="D73" s="576" t="s">
        <v>503</v>
      </c>
      <c r="E73" s="621" t="s">
        <v>460</v>
      </c>
      <c r="F73" s="622">
        <f>'2'!I39</f>
        <v>35000</v>
      </c>
      <c r="G73" s="769">
        <f>'2'!J39</f>
        <v>35000</v>
      </c>
      <c r="H73" s="623">
        <f>'2'!K39</f>
        <v>26252</v>
      </c>
      <c r="I73" s="802">
        <f>'2'!L39</f>
        <v>0</v>
      </c>
      <c r="J73" s="622">
        <f>'2'!M39</f>
        <v>0</v>
      </c>
      <c r="K73" s="803">
        <f>'2'!N39</f>
        <v>0</v>
      </c>
      <c r="L73" s="574">
        <f t="shared" ref="L73:L106" si="29">IF(G73=0,"",K73/G73*100)</f>
        <v>0</v>
      </c>
      <c r="N73" s="53"/>
    </row>
    <row r="74" spans="2:14" s="1" customFormat="1" ht="15" customHeight="1">
      <c r="B74" s="22"/>
      <c r="C74" s="583" t="s">
        <v>99</v>
      </c>
      <c r="D74" s="576" t="s">
        <v>504</v>
      </c>
      <c r="E74" s="621" t="s">
        <v>485</v>
      </c>
      <c r="F74" s="622">
        <f>'2'!I40</f>
        <v>15000</v>
      </c>
      <c r="G74" s="769">
        <f>'2'!J40</f>
        <v>15000</v>
      </c>
      <c r="H74" s="623">
        <f>'2'!K40</f>
        <v>0</v>
      </c>
      <c r="I74" s="802">
        <f>'2'!L40</f>
        <v>0</v>
      </c>
      <c r="J74" s="622">
        <f>'2'!M40</f>
        <v>0</v>
      </c>
      <c r="K74" s="803">
        <f>'2'!N40</f>
        <v>0</v>
      </c>
      <c r="L74" s="574">
        <f t="shared" si="29"/>
        <v>0</v>
      </c>
      <c r="N74" s="53"/>
    </row>
    <row r="75" spans="2:14" s="474" customFormat="1" ht="15" customHeight="1">
      <c r="B75" s="475"/>
      <c r="C75" s="588" t="s">
        <v>99</v>
      </c>
      <c r="D75" s="589" t="s">
        <v>774</v>
      </c>
      <c r="E75" s="621" t="s">
        <v>771</v>
      </c>
      <c r="F75" s="622">
        <f>'17'!I32</f>
        <v>100000</v>
      </c>
      <c r="G75" s="769">
        <f>'17'!J32</f>
        <v>100000</v>
      </c>
      <c r="H75" s="623">
        <f>'17'!K32</f>
        <v>78500</v>
      </c>
      <c r="I75" s="802">
        <f>'17'!L32</f>
        <v>0</v>
      </c>
      <c r="J75" s="622">
        <f>'17'!M32</f>
        <v>0</v>
      </c>
      <c r="K75" s="800">
        <f>'17'!N32</f>
        <v>0</v>
      </c>
      <c r="L75" s="574">
        <f t="shared" si="29"/>
        <v>0</v>
      </c>
      <c r="N75" s="53"/>
    </row>
    <row r="76" spans="2:14" ht="15" customHeight="1" thickBot="1">
      <c r="B76" s="16"/>
      <c r="C76" s="583" t="s">
        <v>99</v>
      </c>
      <c r="D76" s="576" t="s">
        <v>525</v>
      </c>
      <c r="E76" s="637" t="s">
        <v>803</v>
      </c>
      <c r="F76" s="622">
        <f>'20'!I36</f>
        <v>370000</v>
      </c>
      <c r="G76" s="769">
        <f>'20'!J36</f>
        <v>370000</v>
      </c>
      <c r="H76" s="623">
        <f>'20'!K36</f>
        <v>277500</v>
      </c>
      <c r="I76" s="802">
        <f>'20'!L36</f>
        <v>0</v>
      </c>
      <c r="J76" s="622">
        <f>'20'!M36</f>
        <v>0</v>
      </c>
      <c r="K76" s="803">
        <f>'20'!N36</f>
        <v>0</v>
      </c>
      <c r="L76" s="574">
        <f t="shared" si="29"/>
        <v>0</v>
      </c>
      <c r="N76" s="53"/>
    </row>
    <row r="77" spans="2:14" ht="15" customHeight="1">
      <c r="C77" s="583" t="s">
        <v>99</v>
      </c>
      <c r="D77" s="576" t="s">
        <v>526</v>
      </c>
      <c r="E77" s="637" t="s">
        <v>804</v>
      </c>
      <c r="F77" s="622">
        <f>'20'!I37</f>
        <v>340000</v>
      </c>
      <c r="G77" s="769">
        <f>'20'!J37</f>
        <v>340000</v>
      </c>
      <c r="H77" s="623">
        <f>'20'!K37</f>
        <v>340000</v>
      </c>
      <c r="I77" s="802">
        <f>'20'!L37</f>
        <v>0</v>
      </c>
      <c r="J77" s="622">
        <f>'20'!M37</f>
        <v>0</v>
      </c>
      <c r="K77" s="803">
        <f>'20'!N37</f>
        <v>0</v>
      </c>
      <c r="L77" s="574">
        <f t="shared" si="29"/>
        <v>0</v>
      </c>
      <c r="N77" s="53"/>
    </row>
    <row r="78" spans="2:14" ht="15" customHeight="1">
      <c r="C78" s="583" t="s">
        <v>99</v>
      </c>
      <c r="D78" s="576" t="s">
        <v>529</v>
      </c>
      <c r="E78" s="637" t="s">
        <v>472</v>
      </c>
      <c r="F78" s="622">
        <f>'33'!I30</f>
        <v>0</v>
      </c>
      <c r="G78" s="769">
        <f>'33'!J30</f>
        <v>0</v>
      </c>
      <c r="H78" s="623">
        <f>'33'!K30</f>
        <v>0</v>
      </c>
      <c r="I78" s="802">
        <f>'33'!L30</f>
        <v>0</v>
      </c>
      <c r="J78" s="622">
        <f>'33'!M30</f>
        <v>0</v>
      </c>
      <c r="K78" s="803">
        <f>'33'!N30</f>
        <v>0</v>
      </c>
      <c r="L78" s="574" t="str">
        <f t="shared" si="29"/>
        <v/>
      </c>
      <c r="N78" s="53"/>
    </row>
    <row r="79" spans="2:14" s="166" customFormat="1" ht="15" customHeight="1">
      <c r="C79" s="583" t="s">
        <v>99</v>
      </c>
      <c r="D79" s="576" t="s">
        <v>613</v>
      </c>
      <c r="E79" s="637" t="s">
        <v>805</v>
      </c>
      <c r="F79" s="622">
        <f>'20'!I38</f>
        <v>350000</v>
      </c>
      <c r="G79" s="769">
        <f>'20'!J38</f>
        <v>350000</v>
      </c>
      <c r="H79" s="623">
        <f>'20'!K38</f>
        <v>328100</v>
      </c>
      <c r="I79" s="802">
        <f>'20'!L38</f>
        <v>0</v>
      </c>
      <c r="J79" s="622">
        <f>'20'!M38</f>
        <v>0</v>
      </c>
      <c r="K79" s="803">
        <f>'20'!N38</f>
        <v>0</v>
      </c>
      <c r="L79" s="574">
        <f t="shared" si="29"/>
        <v>0</v>
      </c>
      <c r="N79" s="53"/>
    </row>
    <row r="80" spans="2:14" s="166" customFormat="1" ht="15" customHeight="1">
      <c r="C80" s="583" t="s">
        <v>99</v>
      </c>
      <c r="D80" s="576" t="s">
        <v>614</v>
      </c>
      <c r="E80" s="637" t="s">
        <v>806</v>
      </c>
      <c r="F80" s="622">
        <f>'20'!I39</f>
        <v>150000</v>
      </c>
      <c r="G80" s="769">
        <f>'20'!J39</f>
        <v>150000</v>
      </c>
      <c r="H80" s="623">
        <f>'20'!K39</f>
        <v>99400</v>
      </c>
      <c r="I80" s="802">
        <f>'20'!L39</f>
        <v>0</v>
      </c>
      <c r="J80" s="622">
        <f>'20'!M39</f>
        <v>0</v>
      </c>
      <c r="K80" s="803">
        <f>'20'!N39</f>
        <v>0</v>
      </c>
      <c r="L80" s="574">
        <f t="shared" si="29"/>
        <v>0</v>
      </c>
      <c r="N80" s="53"/>
    </row>
    <row r="81" spans="3:14" s="45" customFormat="1" ht="15" customHeight="1">
      <c r="C81" s="584" t="s">
        <v>169</v>
      </c>
      <c r="D81" s="585"/>
      <c r="E81" s="641" t="s">
        <v>467</v>
      </c>
      <c r="F81" s="634">
        <f>SUM(F82:F85)</f>
        <v>3750000</v>
      </c>
      <c r="G81" s="774">
        <f t="shared" ref="G81:K81" si="30">SUM(G82:G85)</f>
        <v>3940000</v>
      </c>
      <c r="H81" s="635">
        <f t="shared" ref="H81" si="31">SUM(H82:H85)</f>
        <v>1917966</v>
      </c>
      <c r="I81" s="811">
        <f t="shared" si="30"/>
        <v>0</v>
      </c>
      <c r="J81" s="634">
        <f t="shared" si="30"/>
        <v>0</v>
      </c>
      <c r="K81" s="798">
        <f t="shared" si="30"/>
        <v>0</v>
      </c>
      <c r="L81" s="612">
        <f t="shared" si="29"/>
        <v>0</v>
      </c>
      <c r="N81" s="53"/>
    </row>
    <row r="82" spans="3:14" ht="15" customHeight="1">
      <c r="C82" s="583" t="s">
        <v>169</v>
      </c>
      <c r="D82" s="576" t="s">
        <v>507</v>
      </c>
      <c r="E82" s="637" t="s">
        <v>489</v>
      </c>
      <c r="F82" s="622">
        <f>'15'!I31</f>
        <v>1200000</v>
      </c>
      <c r="G82" s="769">
        <f>'15'!J31</f>
        <v>1200000</v>
      </c>
      <c r="H82" s="623">
        <f>'15'!K31</f>
        <v>295259</v>
      </c>
      <c r="I82" s="802">
        <f>'15'!L31</f>
        <v>0</v>
      </c>
      <c r="J82" s="622">
        <f>'15'!M31</f>
        <v>0</v>
      </c>
      <c r="K82" s="803">
        <f>'15'!N31</f>
        <v>0</v>
      </c>
      <c r="L82" s="574">
        <f t="shared" si="29"/>
        <v>0</v>
      </c>
      <c r="N82" s="53"/>
    </row>
    <row r="83" spans="3:14" ht="15" customHeight="1">
      <c r="C83" s="575" t="s">
        <v>169</v>
      </c>
      <c r="D83" s="581" t="s">
        <v>516</v>
      </c>
      <c r="E83" s="637" t="s">
        <v>825</v>
      </c>
      <c r="F83" s="572">
        <f>'19'!I30</f>
        <v>2050000</v>
      </c>
      <c r="G83" s="767">
        <f>'19'!J30</f>
        <v>2050000</v>
      </c>
      <c r="H83" s="573">
        <f>'19'!K30</f>
        <v>1460362</v>
      </c>
      <c r="I83" s="799">
        <f>'19'!L30</f>
        <v>0</v>
      </c>
      <c r="J83" s="572">
        <f>'19'!M30</f>
        <v>0</v>
      </c>
      <c r="K83" s="803">
        <f>'19'!N30</f>
        <v>0</v>
      </c>
      <c r="L83" s="574">
        <f t="shared" si="29"/>
        <v>0</v>
      </c>
      <c r="N83" s="53"/>
    </row>
    <row r="84" spans="3:14" ht="15" customHeight="1">
      <c r="C84" s="575" t="s">
        <v>169</v>
      </c>
      <c r="D84" s="581" t="s">
        <v>518</v>
      </c>
      <c r="E84" s="637" t="s">
        <v>826</v>
      </c>
      <c r="F84" s="572">
        <f>'19'!I31</f>
        <v>300000</v>
      </c>
      <c r="G84" s="767">
        <f>'19'!J31</f>
        <v>490000</v>
      </c>
      <c r="H84" s="573">
        <f>'19'!K31</f>
        <v>9845</v>
      </c>
      <c r="I84" s="799">
        <f>'19'!L31</f>
        <v>0</v>
      </c>
      <c r="J84" s="572">
        <f>'19'!M31</f>
        <v>0</v>
      </c>
      <c r="K84" s="803">
        <f>'19'!N31</f>
        <v>0</v>
      </c>
      <c r="L84" s="574">
        <f t="shared" si="29"/>
        <v>0</v>
      </c>
      <c r="N84" s="53"/>
    </row>
    <row r="85" spans="3:14" ht="15" customHeight="1">
      <c r="C85" s="575" t="s">
        <v>169</v>
      </c>
      <c r="D85" s="581" t="s">
        <v>519</v>
      </c>
      <c r="E85" s="644" t="s">
        <v>461</v>
      </c>
      <c r="F85" s="572">
        <f>'19'!I32</f>
        <v>200000</v>
      </c>
      <c r="G85" s="767">
        <f>'19'!J32</f>
        <v>200000</v>
      </c>
      <c r="H85" s="573">
        <f>'19'!K32</f>
        <v>152500</v>
      </c>
      <c r="I85" s="799">
        <f>'19'!L32</f>
        <v>0</v>
      </c>
      <c r="J85" s="572">
        <f>'19'!M32</f>
        <v>0</v>
      </c>
      <c r="K85" s="803">
        <f>'19'!N32</f>
        <v>0</v>
      </c>
      <c r="L85" s="574">
        <f t="shared" si="29"/>
        <v>0</v>
      </c>
      <c r="N85" s="53"/>
    </row>
    <row r="86" spans="3:14" s="45" customFormat="1" ht="15" customHeight="1">
      <c r="C86" s="586">
        <v>614800</v>
      </c>
      <c r="D86" s="587"/>
      <c r="E86" s="645" t="s">
        <v>468</v>
      </c>
      <c r="F86" s="642">
        <f>SUM(F87:F88)</f>
        <v>190000</v>
      </c>
      <c r="G86" s="775">
        <f t="shared" ref="G86:K86" si="32">SUM(G87:G88)</f>
        <v>190000</v>
      </c>
      <c r="H86" s="643">
        <f t="shared" ref="H86" si="33">SUM(H87:H88)</f>
        <v>52366</v>
      </c>
      <c r="I86" s="812">
        <f t="shared" si="32"/>
        <v>0</v>
      </c>
      <c r="J86" s="642">
        <f t="shared" si="32"/>
        <v>0</v>
      </c>
      <c r="K86" s="798">
        <f t="shared" si="32"/>
        <v>0</v>
      </c>
      <c r="L86" s="612">
        <f t="shared" si="29"/>
        <v>0</v>
      </c>
      <c r="N86" s="53"/>
    </row>
    <row r="87" spans="3:14" ht="15" customHeight="1">
      <c r="C87" s="575">
        <v>614800</v>
      </c>
      <c r="D87" s="581" t="s">
        <v>510</v>
      </c>
      <c r="E87" s="644" t="s">
        <v>462</v>
      </c>
      <c r="F87" s="572">
        <f>'16'!I34</f>
        <v>170000</v>
      </c>
      <c r="G87" s="767">
        <f>'16'!J34</f>
        <v>170000</v>
      </c>
      <c r="H87" s="573">
        <f>'16'!K34</f>
        <v>50403</v>
      </c>
      <c r="I87" s="799">
        <f>'16'!L34</f>
        <v>0</v>
      </c>
      <c r="J87" s="572">
        <f>'16'!M34</f>
        <v>0</v>
      </c>
      <c r="K87" s="803">
        <f>'16'!N34</f>
        <v>0</v>
      </c>
      <c r="L87" s="574">
        <f t="shared" si="29"/>
        <v>0</v>
      </c>
      <c r="N87" s="53"/>
    </row>
    <row r="88" spans="3:14" ht="27" customHeight="1">
      <c r="C88" s="575">
        <v>614800</v>
      </c>
      <c r="D88" s="581" t="s">
        <v>511</v>
      </c>
      <c r="E88" s="646" t="s">
        <v>463</v>
      </c>
      <c r="F88" s="572">
        <f>'16'!I35</f>
        <v>20000</v>
      </c>
      <c r="G88" s="767">
        <f>'16'!J35</f>
        <v>20000</v>
      </c>
      <c r="H88" s="573">
        <f>'16'!K35</f>
        <v>1963</v>
      </c>
      <c r="I88" s="799">
        <f>'16'!L35</f>
        <v>0</v>
      </c>
      <c r="J88" s="572">
        <f>'16'!M35</f>
        <v>0</v>
      </c>
      <c r="K88" s="803">
        <f>'16'!N35</f>
        <v>0</v>
      </c>
      <c r="L88" s="574">
        <f t="shared" si="29"/>
        <v>0</v>
      </c>
      <c r="N88" s="53"/>
    </row>
    <row r="89" spans="3:14" ht="13.5" customHeight="1">
      <c r="C89" s="590"/>
      <c r="D89" s="591"/>
      <c r="E89" s="647"/>
      <c r="F89" s="648"/>
      <c r="G89" s="776"/>
      <c r="H89" s="649"/>
      <c r="I89" s="813"/>
      <c r="J89" s="648"/>
      <c r="K89" s="796"/>
      <c r="L89" s="612" t="str">
        <f t="shared" si="29"/>
        <v/>
      </c>
    </row>
    <row r="90" spans="3:14" ht="15" customHeight="1">
      <c r="C90" s="592">
        <v>615000</v>
      </c>
      <c r="D90" s="593"/>
      <c r="E90" s="650" t="s">
        <v>87</v>
      </c>
      <c r="F90" s="607">
        <f>SUM(F91:F95)</f>
        <v>1950000</v>
      </c>
      <c r="G90" s="765">
        <f t="shared" ref="G90:K90" si="34">SUM(G91:G95)</f>
        <v>1880000</v>
      </c>
      <c r="H90" s="608">
        <f t="shared" ref="H90" si="35">SUM(H91:H95)</f>
        <v>950000</v>
      </c>
      <c r="I90" s="795">
        <f t="shared" si="34"/>
        <v>0</v>
      </c>
      <c r="J90" s="607">
        <f t="shared" si="34"/>
        <v>0</v>
      </c>
      <c r="K90" s="796">
        <f t="shared" si="34"/>
        <v>0</v>
      </c>
      <c r="L90" s="609">
        <f t="shared" si="29"/>
        <v>0</v>
      </c>
    </row>
    <row r="91" spans="3:14" ht="15" customHeight="1">
      <c r="C91" s="594" t="s">
        <v>170</v>
      </c>
      <c r="D91" s="587"/>
      <c r="E91" s="651" t="s">
        <v>843</v>
      </c>
      <c r="F91" s="610">
        <f>'2'!I44</f>
        <v>300000</v>
      </c>
      <c r="G91" s="766">
        <f>'2'!J44</f>
        <v>230000</v>
      </c>
      <c r="H91" s="611">
        <f>'2'!K44</f>
        <v>0</v>
      </c>
      <c r="I91" s="797">
        <f>'2'!L44</f>
        <v>0</v>
      </c>
      <c r="J91" s="610">
        <f>'2'!M44</f>
        <v>0</v>
      </c>
      <c r="K91" s="798">
        <f>'2'!N44</f>
        <v>0</v>
      </c>
      <c r="L91" s="612">
        <f t="shared" si="29"/>
        <v>0</v>
      </c>
    </row>
    <row r="92" spans="3:14" s="166" customFormat="1" ht="29.25" customHeight="1">
      <c r="C92" s="595" t="s">
        <v>170</v>
      </c>
      <c r="D92" s="585" t="s">
        <v>905</v>
      </c>
      <c r="E92" s="896" t="str">
        <f>'15'!H34</f>
        <v xml:space="preserve"> Kapitalni grant jedinicama lokalne samouprave za razvoj
 poduzetničke infrastrukture</v>
      </c>
      <c r="F92" s="610">
        <f>'15'!I34</f>
        <v>400000</v>
      </c>
      <c r="G92" s="766">
        <f>'15'!J34</f>
        <v>400000</v>
      </c>
      <c r="H92" s="611">
        <f>'15'!K34</f>
        <v>400000</v>
      </c>
      <c r="I92" s="797">
        <f>'15'!L34</f>
        <v>0</v>
      </c>
      <c r="J92" s="610">
        <f>'15'!M34</f>
        <v>0</v>
      </c>
      <c r="K92" s="798">
        <f>'15'!N34</f>
        <v>0</v>
      </c>
      <c r="L92" s="612">
        <f t="shared" ref="L92" si="36">IF(G92=0,"",K92/G92*100)</f>
        <v>0</v>
      </c>
    </row>
    <row r="93" spans="3:14" s="166" customFormat="1" ht="15" customHeight="1">
      <c r="C93" s="595" t="s">
        <v>170</v>
      </c>
      <c r="D93" s="585" t="s">
        <v>729</v>
      </c>
      <c r="E93" s="652" t="s">
        <v>676</v>
      </c>
      <c r="F93" s="610">
        <f>'19'!I35</f>
        <v>400000</v>
      </c>
      <c r="G93" s="766">
        <f>'19'!J35</f>
        <v>400000</v>
      </c>
      <c r="H93" s="611">
        <f>'19'!K35</f>
        <v>400000</v>
      </c>
      <c r="I93" s="797">
        <f>'19'!L35</f>
        <v>0</v>
      </c>
      <c r="J93" s="610">
        <f>'19'!M35</f>
        <v>0</v>
      </c>
      <c r="K93" s="798">
        <f>'19'!N35</f>
        <v>0</v>
      </c>
      <c r="L93" s="612">
        <f t="shared" si="29"/>
        <v>0</v>
      </c>
    </row>
    <row r="94" spans="3:14" s="166" customFormat="1" ht="15" customHeight="1">
      <c r="C94" s="595" t="s">
        <v>170</v>
      </c>
      <c r="D94" s="585" t="s">
        <v>730</v>
      </c>
      <c r="E94" s="652" t="s">
        <v>672</v>
      </c>
      <c r="F94" s="610">
        <f>'19'!I36</f>
        <v>150000</v>
      </c>
      <c r="G94" s="766">
        <f>'19'!J36</f>
        <v>150000</v>
      </c>
      <c r="H94" s="611">
        <f>'19'!K36</f>
        <v>150000</v>
      </c>
      <c r="I94" s="797">
        <f>'19'!L36</f>
        <v>0</v>
      </c>
      <c r="J94" s="610">
        <f>'19'!M36</f>
        <v>0</v>
      </c>
      <c r="K94" s="798">
        <f>'19'!N36</f>
        <v>0</v>
      </c>
      <c r="L94" s="612">
        <f t="shared" si="29"/>
        <v>0</v>
      </c>
    </row>
    <row r="95" spans="3:14" s="166" customFormat="1" ht="15" customHeight="1">
      <c r="C95" s="595" t="s">
        <v>617</v>
      </c>
      <c r="D95" s="585" t="s">
        <v>616</v>
      </c>
      <c r="E95" s="652" t="s">
        <v>671</v>
      </c>
      <c r="F95" s="610">
        <f>'15'!I35</f>
        <v>700000</v>
      </c>
      <c r="G95" s="766">
        <f>'15'!J35</f>
        <v>700000</v>
      </c>
      <c r="H95" s="611">
        <f>'15'!K35</f>
        <v>0</v>
      </c>
      <c r="I95" s="797">
        <f>'15'!L35</f>
        <v>0</v>
      </c>
      <c r="J95" s="610">
        <f>'15'!M35</f>
        <v>0</v>
      </c>
      <c r="K95" s="798">
        <f>'15'!N35</f>
        <v>0</v>
      </c>
      <c r="L95" s="612">
        <f t="shared" si="29"/>
        <v>0</v>
      </c>
    </row>
    <row r="96" spans="3:14" ht="12.75" customHeight="1">
      <c r="C96" s="596"/>
      <c r="D96" s="597"/>
      <c r="E96" s="653"/>
      <c r="F96" s="610"/>
      <c r="G96" s="766"/>
      <c r="H96" s="611"/>
      <c r="I96" s="797"/>
      <c r="J96" s="610"/>
      <c r="K96" s="798"/>
      <c r="L96" s="612" t="str">
        <f t="shared" si="29"/>
        <v/>
      </c>
    </row>
    <row r="97" spans="3:12" ht="15" customHeight="1">
      <c r="C97" s="598" t="s">
        <v>97</v>
      </c>
      <c r="D97" s="599"/>
      <c r="E97" s="650" t="s">
        <v>166</v>
      </c>
      <c r="F97" s="607">
        <f t="shared" ref="F97:K97" si="37">SUM(F98:F99)</f>
        <v>30430</v>
      </c>
      <c r="G97" s="765">
        <f t="shared" si="37"/>
        <v>30430</v>
      </c>
      <c r="H97" s="608">
        <f t="shared" ref="H97" si="38">SUM(H98:H99)</f>
        <v>26318</v>
      </c>
      <c r="I97" s="795">
        <f t="shared" si="37"/>
        <v>0</v>
      </c>
      <c r="J97" s="607">
        <f t="shared" si="37"/>
        <v>0</v>
      </c>
      <c r="K97" s="796">
        <f t="shared" si="37"/>
        <v>0</v>
      </c>
      <c r="L97" s="609">
        <f t="shared" si="29"/>
        <v>0</v>
      </c>
    </row>
    <row r="98" spans="3:12" ht="15" customHeight="1">
      <c r="C98" s="600">
        <v>616200</v>
      </c>
      <c r="D98" s="578" t="s">
        <v>512</v>
      </c>
      <c r="E98" s="651" t="s">
        <v>740</v>
      </c>
      <c r="F98" s="610">
        <f>'16'!I38</f>
        <v>17900</v>
      </c>
      <c r="G98" s="766">
        <f>'16'!J38</f>
        <v>17900</v>
      </c>
      <c r="H98" s="611">
        <f>'16'!K38</f>
        <v>16384</v>
      </c>
      <c r="I98" s="797">
        <f>'16'!L38</f>
        <v>0</v>
      </c>
      <c r="J98" s="610">
        <f>'16'!M38</f>
        <v>0</v>
      </c>
      <c r="K98" s="798">
        <f>'16'!N38</f>
        <v>0</v>
      </c>
      <c r="L98" s="612">
        <f t="shared" si="29"/>
        <v>0</v>
      </c>
    </row>
    <row r="99" spans="3:12" ht="15" customHeight="1">
      <c r="C99" s="600">
        <v>616200</v>
      </c>
      <c r="D99" s="578" t="s">
        <v>513</v>
      </c>
      <c r="E99" s="651" t="s">
        <v>741</v>
      </c>
      <c r="F99" s="610">
        <f>'16'!I39</f>
        <v>12530</v>
      </c>
      <c r="G99" s="766">
        <f>'16'!J39</f>
        <v>12530</v>
      </c>
      <c r="H99" s="611">
        <f>'16'!K39</f>
        <v>9934</v>
      </c>
      <c r="I99" s="797">
        <f>'16'!L39</f>
        <v>0</v>
      </c>
      <c r="J99" s="610">
        <f>'16'!M39</f>
        <v>0</v>
      </c>
      <c r="K99" s="798">
        <f>'16'!N39</f>
        <v>0</v>
      </c>
      <c r="L99" s="612">
        <f t="shared" si="29"/>
        <v>0</v>
      </c>
    </row>
    <row r="100" spans="3:12" ht="12" customHeight="1">
      <c r="C100" s="600"/>
      <c r="D100" s="578"/>
      <c r="E100" s="651"/>
      <c r="F100" s="610"/>
      <c r="G100" s="766"/>
      <c r="H100" s="611"/>
      <c r="I100" s="797"/>
      <c r="J100" s="610"/>
      <c r="K100" s="798"/>
      <c r="L100" s="612" t="str">
        <f t="shared" si="29"/>
        <v/>
      </c>
    </row>
    <row r="101" spans="3:12" ht="15" customHeight="1">
      <c r="C101" s="601">
        <v>821000</v>
      </c>
      <c r="D101" s="602"/>
      <c r="E101" s="606" t="s">
        <v>88</v>
      </c>
      <c r="F101" s="607">
        <f t="shared" ref="F101:K101" si="39">SUM(F102:F107)</f>
        <v>3099600</v>
      </c>
      <c r="G101" s="765">
        <f t="shared" si="39"/>
        <v>3559795</v>
      </c>
      <c r="H101" s="608">
        <f t="shared" ref="H101" si="40">SUM(H102:H107)</f>
        <v>1137324</v>
      </c>
      <c r="I101" s="795">
        <f t="shared" si="39"/>
        <v>0</v>
      </c>
      <c r="J101" s="607">
        <f t="shared" si="39"/>
        <v>0</v>
      </c>
      <c r="K101" s="796">
        <f t="shared" si="39"/>
        <v>0</v>
      </c>
      <c r="L101" s="609">
        <f t="shared" si="29"/>
        <v>0</v>
      </c>
    </row>
    <row r="102" spans="3:12" ht="15" customHeight="1">
      <c r="C102" s="603">
        <v>821200</v>
      </c>
      <c r="D102" s="604"/>
      <c r="E102" s="617" t="s">
        <v>89</v>
      </c>
      <c r="F102" s="618">
        <f>'1'!I29+'2'!I47+'6'!I32+'3'!I29+'4'!I29+'5'!I29+'7'!I29+'8'!I30+'9'!I31+'10'!I30+'11'!I29+'12'!I29+'13'!I29+'15'!I38+'16'!I42+'17'!I35+'18'!I33+'19'!I39+'20'!I42+'21'!I29+'22'!I29+'23'!I29+'24'!I29+'25'!I29+'26'!I29+'27'!I29+'28'!I29+'29'!I29+'30'!I29+'31'!I32+'32'!I29+'33'!I33+'34'!I29+'35'!I29+'36'!I29+'37'!I29+'14'!I29</f>
        <v>499000</v>
      </c>
      <c r="G102" s="768">
        <f>'1'!J29+'2'!J47+'6'!J32+'3'!J29+'4'!J29+'5'!J29+'7'!J29+'8'!J30+'9'!J31+'10'!J30+'11'!J29+'12'!J29+'13'!J29+'15'!J38+'16'!J42+'17'!J35+'18'!J33+'19'!J39+'20'!J42+'21'!J29+'22'!J29+'23'!J29+'24'!J29+'25'!J29+'26'!J29+'27'!J29+'28'!J29+'29'!J29+'30'!J29+'31'!J32+'32'!J29+'33'!J33+'34'!J29+'35'!J29+'36'!J29+'37'!J29+'14'!J29</f>
        <v>1016215</v>
      </c>
      <c r="H102" s="619">
        <f>'1'!K29+'2'!K47+'6'!K32+'3'!K29+'4'!K29+'5'!K29+'7'!K29+'8'!K30+'9'!K31+'10'!K30+'11'!K29+'12'!K29+'13'!K29+'15'!K38+'16'!K42+'17'!K35+'18'!K33+'19'!K39+'20'!K42+'21'!K29+'22'!K29+'23'!K29+'24'!K29+'25'!K29+'26'!K29+'27'!K29+'28'!K29+'29'!K29+'30'!K29+'31'!K32+'32'!K29+'33'!K33+'34'!K29+'35'!K29+'36'!K29+'37'!K29+'14'!K29</f>
        <v>77810</v>
      </c>
      <c r="I102" s="801">
        <f>'1'!L29+'2'!L47+'6'!L32+'3'!L29+'4'!L29+'5'!L29+'7'!L29+'8'!L30+'9'!L31+'10'!L30+'11'!L29+'12'!L29+'13'!L29+'15'!L38+'16'!L42+'17'!L35+'18'!L33+'19'!L39+'20'!L42+'21'!L29+'22'!L29+'23'!L29+'24'!L29+'25'!L29+'26'!L29+'27'!L29+'28'!L29+'29'!L29+'30'!L29+'31'!L32+'32'!L29+'33'!L33+'34'!L29+'35'!L29+'36'!L29+'37'!L29+'14'!L29</f>
        <v>0</v>
      </c>
      <c r="J102" s="618">
        <f>'1'!M29+'2'!M47+'6'!M32+'3'!M29+'4'!M29+'5'!M29+'7'!M29+'8'!M30+'9'!M31+'10'!M30+'11'!M29+'12'!M29+'13'!M29+'15'!M38+'16'!M42+'17'!M35+'18'!M33+'19'!M39+'20'!M42+'21'!M29+'22'!M29+'23'!M29+'24'!M29+'25'!M29+'26'!M29+'27'!M29+'28'!M29+'29'!M29+'30'!M29+'31'!M32+'32'!M29+'33'!M33+'34'!M29+'35'!M29+'36'!M29+'37'!M29+'14'!M29</f>
        <v>0</v>
      </c>
      <c r="K102" s="798">
        <f>'1'!N29+'2'!N47+'6'!N32+'3'!N29+'4'!N29+'5'!N29+'7'!N29+'8'!N30+'9'!N31+'10'!N30+'11'!N29+'12'!N29+'13'!N29+'15'!N38+'16'!N42+'17'!N35+'18'!N33+'19'!N39+'20'!N42+'21'!N29+'22'!N29+'23'!N29+'24'!N29+'25'!N29+'26'!N29+'27'!N29+'28'!N29+'29'!N29+'30'!N29+'31'!N32+'32'!N29+'33'!N33+'34'!N29+'35'!N29+'36'!N29+'37'!N29+'14'!N29</f>
        <v>0</v>
      </c>
      <c r="L102" s="612">
        <f t="shared" si="29"/>
        <v>0</v>
      </c>
    </row>
    <row r="103" spans="3:12" ht="15" customHeight="1">
      <c r="C103" s="603">
        <v>821300</v>
      </c>
      <c r="D103" s="604"/>
      <c r="E103" s="617" t="s">
        <v>90</v>
      </c>
      <c r="F103" s="618">
        <f>'1'!I30+'2'!I48+'6'!I33+'3'!I30+'4'!I30+'5'!I30+'7'!I30+'8'!I31+'9'!I32+'10'!I31+'11'!I30+'12'!I30+'13'!I30+'15'!I39+'16'!I43+'17'!I36+'18'!I34+'19'!I40+'20'!I43+'21'!I30+'22'!I30+'23'!I30+'24'!I30+'25'!I30+'26'!I30+'27'!I30+'28'!I30+'29'!I30+'30'!I30+'31'!I33+'32'!I30+'33'!I34+'34'!I30+'35'!I30+'36'!I30+'37'!I30+'14'!I30</f>
        <v>575600</v>
      </c>
      <c r="G103" s="768">
        <f>'1'!J30+'2'!J48+'6'!J33+'3'!J30+'4'!J30+'5'!J30+'7'!J30+'8'!J31+'9'!J32+'10'!J31+'11'!J30+'12'!J30+'13'!J30+'15'!J39+'16'!J43+'17'!J36+'18'!J34+'19'!J40+'20'!J43+'21'!J30+'22'!J30+'23'!J30+'24'!J30+'25'!J30+'26'!J30+'27'!J30+'28'!J30+'29'!J30+'30'!J30+'31'!J33+'32'!J30+'33'!J34+'34'!J30+'35'!J30+'36'!J30+'37'!J30+'14'!J30</f>
        <v>558580</v>
      </c>
      <c r="H103" s="619">
        <f>'1'!K30+'2'!K48+'6'!K33+'3'!K30+'4'!K30+'5'!K30+'7'!K30+'8'!K31+'9'!K32+'10'!K31+'11'!K30+'12'!K30+'13'!K30+'15'!K39+'16'!K43+'17'!K36+'18'!K34+'19'!K40+'20'!K43+'21'!K30+'22'!K30+'23'!K30+'24'!K30+'25'!K30+'26'!K30+'27'!K30+'28'!K30+'29'!K30+'30'!K30+'31'!K33+'32'!K30+'33'!K34+'34'!K30+'35'!K30+'36'!K30+'37'!K30+'14'!K30</f>
        <v>315822</v>
      </c>
      <c r="I103" s="801">
        <f>'1'!L30+'2'!L48+'6'!L33+'3'!L30+'4'!L30+'5'!L30+'7'!L30+'8'!L31+'9'!L32+'10'!L31+'11'!L30+'12'!L30+'13'!L30+'15'!L39+'16'!L43+'17'!L36+'18'!L34+'19'!L40+'20'!L43+'21'!L30+'22'!L30+'23'!L30+'24'!L30+'25'!L30+'26'!L30+'27'!L30+'28'!L30+'29'!L30+'30'!L30+'31'!L33+'32'!L30+'33'!L34+'34'!L30+'35'!L30+'36'!L30+'37'!L30+'14'!L30</f>
        <v>0</v>
      </c>
      <c r="J103" s="618">
        <f>'1'!M30+'2'!M48+'6'!M33+'3'!M30+'4'!M30+'5'!M30+'7'!M30+'8'!M31+'9'!M32+'10'!M31+'11'!M30+'12'!M30+'13'!M30+'15'!M39+'16'!M43+'17'!M36+'18'!M34+'19'!M40+'20'!M43+'21'!M30+'22'!M30+'23'!M30+'24'!M30+'25'!M30+'26'!M30+'27'!M30+'28'!M30+'29'!M30+'30'!M30+'31'!M33+'32'!M30+'33'!M34+'34'!M30+'35'!M30+'36'!M30+'37'!M30+'14'!M30</f>
        <v>0</v>
      </c>
      <c r="K103" s="798">
        <f>'1'!N30+'2'!N48+'6'!N33+'3'!N30+'4'!N30+'5'!N30+'7'!N30+'8'!N31+'9'!N32+'10'!N31+'11'!N30+'12'!N30+'13'!N30+'15'!N39+'16'!N43+'17'!N36+'18'!N34+'19'!N40+'20'!N43+'21'!N30+'22'!N30+'23'!N30+'24'!N30+'25'!N30+'26'!N30+'27'!N30+'28'!N30+'29'!N30+'30'!N30+'31'!N33+'32'!N30+'33'!N34+'34'!N30+'35'!N30+'36'!N30+'37'!N30+'14'!N30</f>
        <v>0</v>
      </c>
      <c r="L103" s="612">
        <f t="shared" si="29"/>
        <v>0</v>
      </c>
    </row>
    <row r="104" spans="3:12" s="166" customFormat="1" ht="15" customHeight="1">
      <c r="C104" s="603">
        <v>821300</v>
      </c>
      <c r="D104" s="604" t="s">
        <v>849</v>
      </c>
      <c r="E104" s="654" t="s">
        <v>835</v>
      </c>
      <c r="F104" s="618">
        <f>'33'!I35</f>
        <v>40000</v>
      </c>
      <c r="G104" s="768">
        <f>'33'!J35</f>
        <v>0</v>
      </c>
      <c r="H104" s="619">
        <f>'33'!K35</f>
        <v>0</v>
      </c>
      <c r="I104" s="801">
        <f>'33'!L35</f>
        <v>0</v>
      </c>
      <c r="J104" s="618">
        <f>'33'!M35</f>
        <v>0</v>
      </c>
      <c r="K104" s="798">
        <f>'33'!N35</f>
        <v>0</v>
      </c>
      <c r="L104" s="612" t="str">
        <f t="shared" ref="L104" si="41">IF(G104=0,"",K104/G104*100)</f>
        <v/>
      </c>
    </row>
    <row r="105" spans="3:12" ht="15" customHeight="1">
      <c r="C105" s="603">
        <v>821500</v>
      </c>
      <c r="D105" s="604"/>
      <c r="E105" s="655" t="s">
        <v>427</v>
      </c>
      <c r="F105" s="618">
        <f>'2'!I49+'1'!I31</f>
        <v>5000</v>
      </c>
      <c r="G105" s="768">
        <f>'2'!J49+'1'!J31</f>
        <v>5000</v>
      </c>
      <c r="H105" s="619">
        <f>'2'!K49+'1'!K31</f>
        <v>0</v>
      </c>
      <c r="I105" s="801">
        <f>'2'!L49+'1'!L31</f>
        <v>0</v>
      </c>
      <c r="J105" s="618">
        <f>'2'!M49+'1'!M31</f>
        <v>0</v>
      </c>
      <c r="K105" s="798">
        <f>'2'!N49+'1'!N31</f>
        <v>0</v>
      </c>
      <c r="L105" s="612">
        <f t="shared" si="29"/>
        <v>0</v>
      </c>
    </row>
    <row r="106" spans="3:12" s="166" customFormat="1" ht="15" customHeight="1">
      <c r="C106" s="603">
        <v>821500</v>
      </c>
      <c r="D106" s="604" t="s">
        <v>620</v>
      </c>
      <c r="E106" s="654" t="s">
        <v>619</v>
      </c>
      <c r="F106" s="618">
        <f>'18'!I35</f>
        <v>1430000</v>
      </c>
      <c r="G106" s="768">
        <f>'18'!J35</f>
        <v>1430000</v>
      </c>
      <c r="H106" s="619">
        <f>'18'!K35</f>
        <v>695369</v>
      </c>
      <c r="I106" s="801">
        <f>'18'!L35</f>
        <v>0</v>
      </c>
      <c r="J106" s="618">
        <f>'18'!M35</f>
        <v>0</v>
      </c>
      <c r="K106" s="798">
        <f>'18'!N35</f>
        <v>0</v>
      </c>
      <c r="L106" s="612">
        <f t="shared" si="29"/>
        <v>0</v>
      </c>
    </row>
    <row r="107" spans="3:12" s="166" customFormat="1" ht="15" customHeight="1">
      <c r="C107" s="603">
        <v>821600</v>
      </c>
      <c r="D107" s="604" t="s">
        <v>621</v>
      </c>
      <c r="E107" s="654" t="s">
        <v>618</v>
      </c>
      <c r="F107" s="618">
        <f>'18'!I36</f>
        <v>550000</v>
      </c>
      <c r="G107" s="768">
        <f>'18'!J36</f>
        <v>550000</v>
      </c>
      <c r="H107" s="619">
        <f>'18'!K36</f>
        <v>48323</v>
      </c>
      <c r="I107" s="801">
        <f>'18'!L36</f>
        <v>0</v>
      </c>
      <c r="J107" s="618">
        <f>'18'!M36</f>
        <v>0</v>
      </c>
      <c r="K107" s="798">
        <f>'18'!N36</f>
        <v>0</v>
      </c>
      <c r="L107" s="612">
        <f t="shared" ref="L107:L112" si="42">IF(G107=0,"",K107/G107*100)</f>
        <v>0</v>
      </c>
    </row>
    <row r="108" spans="3:12" ht="11.25" customHeight="1">
      <c r="C108" s="600"/>
      <c r="D108" s="578"/>
      <c r="E108" s="78"/>
      <c r="F108" s="656"/>
      <c r="G108" s="777"/>
      <c r="H108" s="657"/>
      <c r="I108" s="814"/>
      <c r="J108" s="656"/>
      <c r="K108" s="798"/>
      <c r="L108" s="612" t="str">
        <f t="shared" si="42"/>
        <v/>
      </c>
    </row>
    <row r="109" spans="3:12" ht="15" customHeight="1">
      <c r="C109" s="601">
        <v>823000</v>
      </c>
      <c r="D109" s="602"/>
      <c r="E109" s="606" t="s">
        <v>167</v>
      </c>
      <c r="F109" s="607">
        <f t="shared" ref="F109:K109" si="43">SUM(F110:F111)</f>
        <v>518890</v>
      </c>
      <c r="G109" s="765">
        <f t="shared" si="43"/>
        <v>518890</v>
      </c>
      <c r="H109" s="608">
        <f t="shared" ref="H109" si="44">SUM(H110:H111)</f>
        <v>515908</v>
      </c>
      <c r="I109" s="795">
        <f t="shared" si="43"/>
        <v>0</v>
      </c>
      <c r="J109" s="607">
        <f t="shared" si="43"/>
        <v>0</v>
      </c>
      <c r="K109" s="796">
        <f t="shared" si="43"/>
        <v>0</v>
      </c>
      <c r="L109" s="609">
        <f t="shared" si="42"/>
        <v>0</v>
      </c>
    </row>
    <row r="110" spans="3:12" ht="15" customHeight="1">
      <c r="C110" s="600">
        <v>823200</v>
      </c>
      <c r="D110" s="578" t="s">
        <v>512</v>
      </c>
      <c r="E110" s="658" t="s">
        <v>745</v>
      </c>
      <c r="F110" s="610">
        <f>'16'!I46</f>
        <v>88600</v>
      </c>
      <c r="G110" s="766">
        <f>'16'!J46</f>
        <v>88600</v>
      </c>
      <c r="H110" s="611">
        <f>'16'!K46</f>
        <v>85625</v>
      </c>
      <c r="I110" s="797">
        <f>'16'!L46</f>
        <v>0</v>
      </c>
      <c r="J110" s="610">
        <f>'16'!M46</f>
        <v>0</v>
      </c>
      <c r="K110" s="798">
        <f>'16'!N46</f>
        <v>0</v>
      </c>
      <c r="L110" s="612">
        <f t="shared" si="42"/>
        <v>0</v>
      </c>
    </row>
    <row r="111" spans="3:12" ht="15" customHeight="1">
      <c r="C111" s="600">
        <v>823200</v>
      </c>
      <c r="D111" s="578" t="s">
        <v>513</v>
      </c>
      <c r="E111" s="658" t="s">
        <v>746</v>
      </c>
      <c r="F111" s="610">
        <f>'16'!I47</f>
        <v>430290</v>
      </c>
      <c r="G111" s="766">
        <f>'16'!J47</f>
        <v>430290</v>
      </c>
      <c r="H111" s="611">
        <f>'16'!K47</f>
        <v>430283</v>
      </c>
      <c r="I111" s="797">
        <f>'16'!L47</f>
        <v>0</v>
      </c>
      <c r="J111" s="610">
        <f>'16'!M47</f>
        <v>0</v>
      </c>
      <c r="K111" s="798">
        <f>'16'!N47</f>
        <v>0</v>
      </c>
      <c r="L111" s="612">
        <f t="shared" si="42"/>
        <v>0</v>
      </c>
    </row>
    <row r="112" spans="3:12" ht="8.25" customHeight="1">
      <c r="C112" s="600"/>
      <c r="D112" s="578"/>
      <c r="E112" s="11"/>
      <c r="F112" s="29"/>
      <c r="G112" s="379"/>
      <c r="H112" s="405"/>
      <c r="I112" s="376"/>
      <c r="J112" s="161"/>
      <c r="K112" s="791"/>
      <c r="L112" s="74" t="str">
        <f t="shared" si="42"/>
        <v/>
      </c>
    </row>
    <row r="113" spans="3:14" ht="15" customHeight="1">
      <c r="C113" s="605"/>
      <c r="D113" s="591"/>
      <c r="E113" s="8" t="s">
        <v>91</v>
      </c>
      <c r="F113" s="177" t="s">
        <v>909</v>
      </c>
      <c r="G113" s="760" t="s">
        <v>909</v>
      </c>
      <c r="H113" s="561" t="s">
        <v>952</v>
      </c>
      <c r="I113" s="787"/>
      <c r="J113" s="177"/>
      <c r="K113" s="782"/>
      <c r="L113" s="74"/>
    </row>
    <row r="114" spans="3:14" ht="15" customHeight="1">
      <c r="C114" s="4"/>
      <c r="D114" s="193"/>
      <c r="E114" s="8" t="s">
        <v>842</v>
      </c>
      <c r="F114" s="15">
        <f>'1'!I34+'2'!I52+'4 (S)'!I36+'6'!I36+'3'!I33+'4'!I33+'5'!I33+'7'!I33+'8'!I34+'9'!I35+'10'!I34+'11'!I33+'12'!I33+'13'!I33+'15'!I42+'16'!I50+'17'!I39+'18'!I39+'19'!I43+'20'!I46+'21'!I33+'22'!I33+'23'!I33+'24'!I33+'25'!I33+'26'!I33+'27'!I33+'28'!I33+'29'!I33+'30'!I33+'31'!I36+'32'!I33+'33'!I38+'34'!I33+'35'!I33+'36'!I33+'37'!I33+'14'!I33</f>
        <v>57492550</v>
      </c>
      <c r="G114" s="374">
        <f>'1'!J34+'2'!J52+'4 (S)'!J36+'6'!J36+'3'!J33+'4'!J33+'5'!J33+'7'!J33+'8'!J34+'9'!J35+'10'!J34+'11'!J33+'12'!J33+'13'!J33+'15'!J42+'16'!J50+'17'!J39+'18'!J39+'19'!J43+'20'!J46+'21'!J33+'22'!J33+'23'!J33+'24'!J33+'25'!J33+'26'!J33+'27'!J33+'28'!J33+'29'!J33+'30'!J33+'31'!J36+'32'!J33+'33'!J38+'34'!J33+'35'!J33+'36'!J33+'37'!J33+'14'!J33</f>
        <v>58056385</v>
      </c>
      <c r="H114" s="363">
        <f>'1'!K34+'2'!K52+'4 (S)'!K36+'6'!K36+'3'!K33+'4'!K33+'5'!K33+'7'!K33+'8'!K34+'9'!K35+'10'!K34+'11'!K33+'12'!K33+'13'!K33+'15'!K42+'16'!K50+'17'!K39+'18'!K39+'19'!K43+'20'!K46+'21'!K33+'22'!K33+'23'!K33+'24'!K33+'25'!K33+'26'!K33+'27'!K33+'28'!K33+'29'!K33+'30'!K33+'31'!K36+'32'!K33+'33'!K38+'34'!K33+'35'!K33+'36'!K33+'37'!K33+'14'!K33</f>
        <v>37690291</v>
      </c>
      <c r="I114" s="377">
        <f>'1'!L34+'2'!L52+'4 (S)'!K36+'6'!L36+'3'!L33+'4'!L33+'5'!L33+'7'!L33+'8'!L34+'9'!L35+'10'!L34+'11'!L33+'12'!L33+'13'!L33+'15'!L42+'16'!L50+'17'!L39+'18'!L39+'19'!L43+'20'!L46+'21'!L33+'22'!L33+'23'!L33+'24'!L33+'25'!L33+'26'!L33+'27'!L33+'28'!L33+'29'!L33+'30'!L33+'31'!L36+'32'!L33+'33'!L38+'34'!L33+'35'!L33+'36'!L33+'37'!L33+'14'!L33</f>
        <v>0</v>
      </c>
      <c r="J114" s="170">
        <f>'1'!M34+'2'!M52+'4 (S)'!L36+'6'!M36+'3'!M33+'4'!M33+'5'!M33+'7'!M33+'8'!M34+'9'!M35+'10'!M34+'11'!M33+'12'!M33+'13'!M33+'15'!M42+'16'!M50+'17'!M39+'18'!M39+'19'!M43+'20'!M46+'21'!M33+'22'!M33+'23'!M33+'24'!M33+'25'!M33+'26'!M33+'27'!M33+'28'!M33+'29'!M33+'30'!M33+'31'!M36+'32'!M33+'33'!M38+'34'!M33+'35'!M33+'36'!M33+'37'!M33+'14'!M33</f>
        <v>0</v>
      </c>
      <c r="K114" s="789">
        <f>'1'!N34+'2'!N52+'4 (S)'!M36+'6'!N36+'3'!N33+'4'!N33+'5'!N33+'7'!N33+'8'!N34+'9'!N35+'10'!N34+'11'!N33+'12'!N33+'13'!N33+'15'!N42+'16'!N50+'17'!N39+'18'!N39+'19'!N43+'20'!N46+'21'!N33+'22'!N33+'23'!N33+'24'!N33+'25'!N33+'26'!N33+'27'!N33+'28'!N33+'29'!N33+'30'!N33+'31'!N36+'32'!N33+'33'!N38+'34'!N33+'35'!N33+'36'!N33+'37'!N33+'14'!N33</f>
        <v>0</v>
      </c>
      <c r="L114" s="151">
        <f>IF(G114=0,"",K114/G114*100)</f>
        <v>0</v>
      </c>
      <c r="N114" s="51"/>
    </row>
    <row r="115" spans="3:14" ht="9" customHeight="1" thickBot="1">
      <c r="C115" s="28"/>
      <c r="D115" s="199"/>
      <c r="E115" s="17"/>
      <c r="F115" s="27"/>
      <c r="G115" s="27"/>
      <c r="H115" s="519"/>
      <c r="I115" s="16"/>
      <c r="J115" s="17"/>
      <c r="K115" s="815"/>
      <c r="L115" s="69"/>
    </row>
    <row r="116" spans="3:14" ht="9" customHeight="1" thickBot="1">
      <c r="C116" s="43"/>
      <c r="D116" s="180"/>
      <c r="E116" s="44"/>
      <c r="F116" s="44"/>
      <c r="G116" s="44"/>
      <c r="H116" s="44"/>
      <c r="I116" s="44"/>
      <c r="J116" s="44"/>
      <c r="K116" s="44"/>
      <c r="L116" s="878"/>
    </row>
    <row r="117" spans="3:14" ht="7.5" customHeight="1"/>
    <row r="118" spans="3:14" ht="8.25" customHeight="1">
      <c r="C118" s="32"/>
      <c r="D118" s="173"/>
    </row>
    <row r="119" spans="3:14" s="454" customFormat="1" ht="12" customHeight="1">
      <c r="C119" s="482" t="s">
        <v>888</v>
      </c>
      <c r="D119" s="482"/>
      <c r="J119" s="483"/>
      <c r="K119" s="484"/>
    </row>
    <row r="120" spans="3:14" s="454" customFormat="1" ht="6.75" customHeight="1">
      <c r="C120" s="485"/>
      <c r="D120" s="485"/>
      <c r="J120" s="483"/>
      <c r="K120" s="484"/>
    </row>
    <row r="121" spans="3:14" s="454" customFormat="1" ht="12" customHeight="1">
      <c r="C121" s="943" t="s">
        <v>889</v>
      </c>
      <c r="D121" s="943"/>
      <c r="E121" s="943"/>
      <c r="F121" s="862"/>
      <c r="G121" s="862"/>
      <c r="H121" s="862"/>
      <c r="I121" s="862"/>
      <c r="J121" s="862"/>
      <c r="K121" s="487"/>
    </row>
    <row r="122" spans="3:14" s="454" customFormat="1" ht="18" customHeight="1">
      <c r="C122" s="862" t="s">
        <v>890</v>
      </c>
      <c r="D122" s="862"/>
      <c r="E122" s="862"/>
      <c r="F122" s="862"/>
      <c r="G122" s="862"/>
      <c r="H122" s="862"/>
      <c r="I122" s="862"/>
      <c r="J122" s="862"/>
      <c r="K122" s="487"/>
    </row>
    <row r="123" spans="3:14" s="454" customFormat="1" ht="12" customHeight="1">
      <c r="C123" s="939" t="str">
        <f>CONCATENATE("     Rashodi i izdaci u Proračunu u iznosu od ",TEXT(K114,"#.##0")," KM raspoređuju se po korisnicima proračuna u Posebnom dijelu Proračuna kako slijedi:")</f>
        <v xml:space="preserve">     Rashodi i izdaci u Proračunu u iznosu od 0 KM raspoređuju se po korisnicima proračuna u Posebnom dijelu Proračuna kako slijedi:</v>
      </c>
      <c r="D123" s="939"/>
      <c r="E123" s="939"/>
      <c r="F123" s="939"/>
      <c r="G123" s="939"/>
      <c r="H123" s="939"/>
      <c r="I123" s="939"/>
      <c r="J123" s="939"/>
      <c r="K123" s="939"/>
    </row>
    <row r="124" spans="3:14" ht="15" customHeight="1">
      <c r="C124" s="482"/>
      <c r="D124" s="482"/>
      <c r="E124" s="454"/>
      <c r="F124" s="454"/>
      <c r="G124" s="454"/>
      <c r="H124" s="454"/>
      <c r="I124" s="454"/>
      <c r="J124" s="454"/>
      <c r="K124" s="483"/>
      <c r="L124" s="484"/>
    </row>
    <row r="125" spans="3:14" ht="6.75" customHeight="1">
      <c r="C125" s="485"/>
      <c r="D125" s="485"/>
      <c r="E125" s="454"/>
      <c r="F125" s="454"/>
      <c r="G125" s="454"/>
      <c r="H125" s="454"/>
      <c r="I125" s="454"/>
      <c r="J125" s="454"/>
      <c r="K125" s="483"/>
      <c r="L125" s="484"/>
    </row>
    <row r="126" spans="3:14" ht="12" customHeight="1">
      <c r="C126" s="943"/>
      <c r="D126" s="943"/>
      <c r="E126" s="943"/>
      <c r="F126" s="486"/>
      <c r="G126" s="486"/>
      <c r="H126" s="733"/>
      <c r="I126" s="486"/>
      <c r="J126" s="486"/>
      <c r="K126" s="486"/>
      <c r="L126" s="487"/>
    </row>
    <row r="127" spans="3:14" ht="9" customHeight="1">
      <c r="C127" s="486"/>
      <c r="D127" s="486"/>
      <c r="E127" s="486"/>
      <c r="F127" s="486"/>
      <c r="G127" s="486"/>
      <c r="H127" s="733"/>
      <c r="I127" s="486"/>
      <c r="J127" s="486"/>
      <c r="K127" s="486"/>
      <c r="L127" s="487"/>
    </row>
    <row r="128" spans="3:14" ht="12" customHeight="1">
      <c r="C128" s="939"/>
      <c r="D128" s="939"/>
      <c r="E128" s="939"/>
      <c r="F128" s="939"/>
      <c r="G128" s="939"/>
      <c r="H128" s="939"/>
      <c r="I128" s="939"/>
      <c r="J128" s="939"/>
      <c r="K128" s="939"/>
      <c r="L128" s="939"/>
    </row>
  </sheetData>
  <mergeCells count="14">
    <mergeCell ref="C128:L128"/>
    <mergeCell ref="K3:L3"/>
    <mergeCell ref="C3:E3"/>
    <mergeCell ref="C126:E126"/>
    <mergeCell ref="I4:K4"/>
    <mergeCell ref="C4:C5"/>
    <mergeCell ref="D4:D5"/>
    <mergeCell ref="E4:E5"/>
    <mergeCell ref="F4:F5"/>
    <mergeCell ref="G4:G5"/>
    <mergeCell ref="L4:L5"/>
    <mergeCell ref="H4:H5"/>
    <mergeCell ref="C121:E121"/>
    <mergeCell ref="C123:K123"/>
  </mergeCells>
  <phoneticPr fontId="2" type="noConversion"/>
  <pageMargins left="0.93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1" manualBreakCount="1">
    <brk id="40" min="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7"/>
  <sheetViews>
    <sheetView zoomScaleNormal="100" workbookViewId="0">
      <selection activeCell="H41" sqref="H41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81" customFormat="1" ht="20.100000000000001" customHeight="1" thickTop="1" thickBot="1">
      <c r="A2" s="249"/>
      <c r="B2" s="963" t="s">
        <v>107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5"/>
    </row>
    <row r="3" spans="1:19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9" s="1" customFormat="1" ht="39" customHeight="1">
      <c r="A4" s="163"/>
      <c r="B4" s="970" t="s">
        <v>76</v>
      </c>
      <c r="C4" s="972" t="s">
        <v>77</v>
      </c>
      <c r="D4" s="974" t="s">
        <v>102</v>
      </c>
      <c r="E4" s="983" t="s">
        <v>705</v>
      </c>
      <c r="F4" s="977" t="s">
        <v>469</v>
      </c>
      <c r="G4" s="975" t="s">
        <v>497</v>
      </c>
      <c r="H4" s="977" t="s">
        <v>78</v>
      </c>
      <c r="I4" s="979" t="s">
        <v>915</v>
      </c>
      <c r="J4" s="980" t="s">
        <v>850</v>
      </c>
      <c r="K4" s="961" t="s">
        <v>939</v>
      </c>
      <c r="L4" s="967" t="s">
        <v>940</v>
      </c>
      <c r="M4" s="968"/>
      <c r="N4" s="969"/>
      <c r="O4" s="981" t="s">
        <v>857</v>
      </c>
      <c r="Q4" s="61"/>
    </row>
    <row r="5" spans="1:19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78"/>
      <c r="K5" s="962"/>
      <c r="L5" s="375" t="s">
        <v>530</v>
      </c>
      <c r="M5" s="246" t="s">
        <v>531</v>
      </c>
      <c r="N5" s="779" t="s">
        <v>320</v>
      </c>
      <c r="O5" s="982"/>
    </row>
    <row r="6" spans="1:19" s="2" customFormat="1" ht="12.7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193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9" s="2" customFormat="1" ht="12.95" customHeight="1">
      <c r="A7" s="164"/>
      <c r="B7" s="6">
        <v>10</v>
      </c>
      <c r="C7" s="7" t="s">
        <v>79</v>
      </c>
      <c r="D7" s="7" t="s">
        <v>80</v>
      </c>
      <c r="E7" s="422" t="s">
        <v>706</v>
      </c>
      <c r="F7" s="5"/>
      <c r="G7" s="165"/>
      <c r="H7" s="5"/>
      <c r="I7" s="5"/>
      <c r="J7" s="5"/>
      <c r="K7" s="178"/>
      <c r="L7" s="4"/>
      <c r="M7" s="165"/>
      <c r="N7" s="826"/>
      <c r="O7" s="885"/>
    </row>
    <row r="8" spans="1:19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8" t="s">
        <v>140</v>
      </c>
      <c r="I8" s="232">
        <f t="shared" ref="I8:J8" si="0">SUM(I9:I11)</f>
        <v>618190</v>
      </c>
      <c r="J8" s="232">
        <f t="shared" si="0"/>
        <v>618190</v>
      </c>
      <c r="K8" s="737">
        <f>SUM(K9:K11)</f>
        <v>446803</v>
      </c>
      <c r="L8" s="490">
        <f>SUM(L9:L11)</f>
        <v>0</v>
      </c>
      <c r="M8" s="127">
        <f>SUM(M9:M11)</f>
        <v>0</v>
      </c>
      <c r="N8" s="827">
        <f>SUM(N9:N11)</f>
        <v>0</v>
      </c>
      <c r="O8" s="886">
        <f t="shared" ref="O8:O32" si="1">IF(J8=0,"",N8/J8*100)</f>
        <v>0</v>
      </c>
      <c r="Q8" s="50"/>
    </row>
    <row r="9" spans="1:19" ht="12.95" customHeight="1">
      <c r="B9" s="10"/>
      <c r="C9" s="11"/>
      <c r="D9" s="11"/>
      <c r="E9" s="168"/>
      <c r="F9" s="182">
        <v>611100</v>
      </c>
      <c r="G9" s="201"/>
      <c r="H9" s="435" t="s">
        <v>161</v>
      </c>
      <c r="I9" s="240">
        <v>516000</v>
      </c>
      <c r="J9" s="240">
        <v>516000</v>
      </c>
      <c r="K9" s="495">
        <v>373517</v>
      </c>
      <c r="L9" s="364"/>
      <c r="M9" s="126"/>
      <c r="N9" s="828">
        <f>SUM(L9:M9)</f>
        <v>0</v>
      </c>
      <c r="O9" s="887">
        <f t="shared" si="1"/>
        <v>0</v>
      </c>
      <c r="P9" s="45"/>
      <c r="Q9" s="50"/>
      <c r="R9" s="51"/>
      <c r="S9" s="51"/>
    </row>
    <row r="10" spans="1:19" ht="12.95" customHeight="1">
      <c r="B10" s="10"/>
      <c r="C10" s="11"/>
      <c r="D10" s="11"/>
      <c r="E10" s="168"/>
      <c r="F10" s="182">
        <v>611200</v>
      </c>
      <c r="G10" s="201"/>
      <c r="H10" s="435" t="s">
        <v>162</v>
      </c>
      <c r="I10" s="240">
        <v>102190</v>
      </c>
      <c r="J10" s="240">
        <v>102190</v>
      </c>
      <c r="K10" s="495">
        <v>73286</v>
      </c>
      <c r="L10" s="364"/>
      <c r="M10" s="126"/>
      <c r="N10" s="828">
        <f t="shared" ref="N10:N11" si="2">SUM(L10:M10)</f>
        <v>0</v>
      </c>
      <c r="O10" s="887">
        <f t="shared" si="1"/>
        <v>0</v>
      </c>
      <c r="Q10" s="50"/>
    </row>
    <row r="11" spans="1:19" ht="12.95" customHeight="1">
      <c r="B11" s="10"/>
      <c r="C11" s="11"/>
      <c r="D11" s="11"/>
      <c r="E11" s="168"/>
      <c r="F11" s="182">
        <v>611200</v>
      </c>
      <c r="G11" s="201"/>
      <c r="H11" s="122" t="s">
        <v>435</v>
      </c>
      <c r="I11" s="235">
        <f t="shared" ref="I11:J11" si="3">SUM(G11:H11)</f>
        <v>0</v>
      </c>
      <c r="J11" s="235">
        <f t="shared" si="3"/>
        <v>0</v>
      </c>
      <c r="K11" s="495">
        <v>0</v>
      </c>
      <c r="L11" s="364"/>
      <c r="M11" s="126"/>
      <c r="N11" s="828">
        <f t="shared" si="2"/>
        <v>0</v>
      </c>
      <c r="O11" s="887" t="str">
        <f t="shared" si="1"/>
        <v/>
      </c>
      <c r="Q11" s="50"/>
    </row>
    <row r="12" spans="1:19" ht="8.1" customHeight="1">
      <c r="B12" s="10"/>
      <c r="C12" s="11"/>
      <c r="D12" s="11"/>
      <c r="E12" s="168"/>
      <c r="F12" s="182"/>
      <c r="G12" s="201"/>
      <c r="H12" s="122"/>
      <c r="I12" s="235"/>
      <c r="J12" s="235"/>
      <c r="K12" s="495"/>
      <c r="L12" s="364"/>
      <c r="M12" s="126"/>
      <c r="N12" s="828"/>
      <c r="O12" s="887" t="str">
        <f t="shared" si="1"/>
        <v/>
      </c>
      <c r="Q12" s="50"/>
    </row>
    <row r="13" spans="1:19" ht="12.95" customHeight="1">
      <c r="B13" s="12"/>
      <c r="C13" s="8"/>
      <c r="D13" s="8"/>
      <c r="E13" s="8"/>
      <c r="F13" s="181">
        <v>612000</v>
      </c>
      <c r="G13" s="200"/>
      <c r="H13" s="8" t="s">
        <v>139</v>
      </c>
      <c r="I13" s="232">
        <f t="shared" ref="I13:J13" si="4">I14+I15</f>
        <v>54300</v>
      </c>
      <c r="J13" s="232">
        <f t="shared" si="4"/>
        <v>54300</v>
      </c>
      <c r="K13" s="737">
        <f>K14+K15</f>
        <v>39219</v>
      </c>
      <c r="L13" s="490">
        <f>L14+L15</f>
        <v>0</v>
      </c>
      <c r="M13" s="127">
        <f>M14+M15</f>
        <v>0</v>
      </c>
      <c r="N13" s="827">
        <f>N14+N15</f>
        <v>0</v>
      </c>
      <c r="O13" s="886">
        <f t="shared" si="1"/>
        <v>0</v>
      </c>
      <c r="Q13" s="50"/>
    </row>
    <row r="14" spans="1:19" s="1" customFormat="1" ht="12.95" customHeight="1">
      <c r="A14" s="163"/>
      <c r="B14" s="10"/>
      <c r="C14" s="11"/>
      <c r="D14" s="11"/>
      <c r="E14" s="168"/>
      <c r="F14" s="182">
        <v>612100</v>
      </c>
      <c r="G14" s="201"/>
      <c r="H14" s="13" t="s">
        <v>81</v>
      </c>
      <c r="I14" s="235">
        <v>54300</v>
      </c>
      <c r="J14" s="235">
        <v>54300</v>
      </c>
      <c r="K14" s="495">
        <v>39219</v>
      </c>
      <c r="L14" s="364"/>
      <c r="M14" s="126"/>
      <c r="N14" s="828">
        <f>SUM(L14:M14)</f>
        <v>0</v>
      </c>
      <c r="O14" s="887">
        <f t="shared" si="1"/>
        <v>0</v>
      </c>
      <c r="Q14" s="50"/>
    </row>
    <row r="15" spans="1:19" ht="8.1" customHeight="1">
      <c r="B15" s="10"/>
      <c r="C15" s="11"/>
      <c r="D15" s="11"/>
      <c r="E15" s="168"/>
      <c r="F15" s="182"/>
      <c r="G15" s="201"/>
      <c r="H15" s="11"/>
      <c r="I15" s="235"/>
      <c r="J15" s="235"/>
      <c r="K15" s="495"/>
      <c r="L15" s="365"/>
      <c r="M15" s="161"/>
      <c r="N15" s="791"/>
      <c r="O15" s="887" t="str">
        <f t="shared" si="1"/>
        <v/>
      </c>
      <c r="Q15" s="50"/>
    </row>
    <row r="16" spans="1:19" ht="12.95" customHeight="1">
      <c r="B16" s="12"/>
      <c r="C16" s="8"/>
      <c r="D16" s="8"/>
      <c r="E16" s="8"/>
      <c r="F16" s="181">
        <v>613000</v>
      </c>
      <c r="G16" s="200"/>
      <c r="H16" s="8" t="s">
        <v>141</v>
      </c>
      <c r="I16" s="232">
        <f t="shared" ref="I16:J16" si="5">SUM(I17:I26)</f>
        <v>270820</v>
      </c>
      <c r="J16" s="232">
        <f t="shared" si="5"/>
        <v>270820</v>
      </c>
      <c r="K16" s="737">
        <f>SUM(K17:K26)</f>
        <v>192103</v>
      </c>
      <c r="L16" s="491">
        <f>SUM(L17:L26)</f>
        <v>0</v>
      </c>
      <c r="M16" s="174">
        <f>SUM(M17:M26)</f>
        <v>0</v>
      </c>
      <c r="N16" s="789">
        <f>SUM(N17:N26)</f>
        <v>0</v>
      </c>
      <c r="O16" s="886">
        <f t="shared" si="1"/>
        <v>0</v>
      </c>
      <c r="Q16" s="50"/>
    </row>
    <row r="17" spans="1:18" s="1" customFormat="1" ht="12.95" customHeight="1">
      <c r="A17" s="163"/>
      <c r="B17" s="10"/>
      <c r="C17" s="11"/>
      <c r="D17" s="11"/>
      <c r="E17" s="168"/>
      <c r="F17" s="182">
        <v>613100</v>
      </c>
      <c r="G17" s="201"/>
      <c r="H17" s="11" t="s">
        <v>82</v>
      </c>
      <c r="I17" s="235">
        <v>7000</v>
      </c>
      <c r="J17" s="235">
        <v>7000</v>
      </c>
      <c r="K17" s="495">
        <v>3025</v>
      </c>
      <c r="L17" s="365"/>
      <c r="M17" s="236"/>
      <c r="N17" s="828">
        <f t="shared" ref="N17:N26" si="6">SUM(L17:M17)</f>
        <v>0</v>
      </c>
      <c r="O17" s="887">
        <f t="shared" si="1"/>
        <v>0</v>
      </c>
      <c r="Q17" s="50"/>
    </row>
    <row r="18" spans="1:18" ht="12.95" customHeight="1">
      <c r="B18" s="10"/>
      <c r="C18" s="11"/>
      <c r="D18" s="11"/>
      <c r="E18" s="168"/>
      <c r="F18" s="182">
        <v>613200</v>
      </c>
      <c r="G18" s="201"/>
      <c r="H18" s="11" t="s">
        <v>83</v>
      </c>
      <c r="I18" s="235">
        <v>8500</v>
      </c>
      <c r="J18" s="235">
        <v>8500</v>
      </c>
      <c r="K18" s="495">
        <v>3510</v>
      </c>
      <c r="L18" s="365"/>
      <c r="M18" s="236"/>
      <c r="N18" s="828">
        <f t="shared" si="6"/>
        <v>0</v>
      </c>
      <c r="O18" s="887">
        <f t="shared" si="1"/>
        <v>0</v>
      </c>
      <c r="Q18" s="50"/>
    </row>
    <row r="19" spans="1:18" ht="12.95" customHeight="1">
      <c r="B19" s="10"/>
      <c r="C19" s="11"/>
      <c r="D19" s="11"/>
      <c r="E19" s="168"/>
      <c r="F19" s="182">
        <v>613300</v>
      </c>
      <c r="G19" s="201"/>
      <c r="H19" s="20" t="s">
        <v>163</v>
      </c>
      <c r="I19" s="235">
        <v>7000</v>
      </c>
      <c r="J19" s="235">
        <v>7000</v>
      </c>
      <c r="K19" s="495">
        <v>4559</v>
      </c>
      <c r="L19" s="365"/>
      <c r="M19" s="236"/>
      <c r="N19" s="828">
        <f t="shared" si="6"/>
        <v>0</v>
      </c>
      <c r="O19" s="887">
        <f t="shared" si="1"/>
        <v>0</v>
      </c>
      <c r="Q19" s="50"/>
    </row>
    <row r="20" spans="1:18" ht="12.95" customHeight="1">
      <c r="B20" s="10"/>
      <c r="C20" s="11"/>
      <c r="D20" s="11"/>
      <c r="E20" s="168"/>
      <c r="F20" s="182">
        <v>613400</v>
      </c>
      <c r="G20" s="201"/>
      <c r="H20" s="20" t="s">
        <v>142</v>
      </c>
      <c r="I20" s="235">
        <v>5000</v>
      </c>
      <c r="J20" s="235">
        <v>5000</v>
      </c>
      <c r="K20" s="495">
        <v>1687</v>
      </c>
      <c r="L20" s="364"/>
      <c r="M20" s="240"/>
      <c r="N20" s="828">
        <f t="shared" si="6"/>
        <v>0</v>
      </c>
      <c r="O20" s="887">
        <f t="shared" si="1"/>
        <v>0</v>
      </c>
      <c r="Q20" s="50"/>
    </row>
    <row r="21" spans="1:18" ht="12.95" customHeight="1">
      <c r="B21" s="10"/>
      <c r="C21" s="11"/>
      <c r="D21" s="11"/>
      <c r="E21" s="168"/>
      <c r="F21" s="182">
        <v>613500</v>
      </c>
      <c r="G21" s="201"/>
      <c r="H21" s="11" t="s">
        <v>84</v>
      </c>
      <c r="I21" s="235">
        <v>9500</v>
      </c>
      <c r="J21" s="235">
        <v>9500</v>
      </c>
      <c r="K21" s="495">
        <v>8710</v>
      </c>
      <c r="L21" s="364"/>
      <c r="M21" s="240"/>
      <c r="N21" s="828">
        <f t="shared" si="6"/>
        <v>0</v>
      </c>
      <c r="O21" s="887">
        <f t="shared" si="1"/>
        <v>0</v>
      </c>
      <c r="Q21" s="50"/>
    </row>
    <row r="22" spans="1:18" ht="12.95" customHeight="1">
      <c r="B22" s="10"/>
      <c r="C22" s="11"/>
      <c r="D22" s="11"/>
      <c r="E22" s="168"/>
      <c r="F22" s="182">
        <v>613600</v>
      </c>
      <c r="G22" s="201"/>
      <c r="H22" s="20" t="s">
        <v>164</v>
      </c>
      <c r="I22" s="235">
        <v>0</v>
      </c>
      <c r="J22" s="235">
        <v>0</v>
      </c>
      <c r="K22" s="495">
        <v>0</v>
      </c>
      <c r="L22" s="365"/>
      <c r="M22" s="236"/>
      <c r="N22" s="828">
        <f t="shared" si="6"/>
        <v>0</v>
      </c>
      <c r="O22" s="887" t="str">
        <f t="shared" si="1"/>
        <v/>
      </c>
      <c r="Q22" s="50"/>
    </row>
    <row r="23" spans="1:18" ht="12.95" customHeight="1">
      <c r="B23" s="10"/>
      <c r="C23" s="11"/>
      <c r="D23" s="11"/>
      <c r="E23" s="168"/>
      <c r="F23" s="182">
        <v>613700</v>
      </c>
      <c r="G23" s="201"/>
      <c r="H23" s="11" t="s">
        <v>85</v>
      </c>
      <c r="I23" s="235">
        <v>5000</v>
      </c>
      <c r="J23" s="235">
        <v>5000</v>
      </c>
      <c r="K23" s="495">
        <v>3655</v>
      </c>
      <c r="L23" s="365"/>
      <c r="M23" s="236"/>
      <c r="N23" s="828">
        <f t="shared" si="6"/>
        <v>0</v>
      </c>
      <c r="O23" s="887">
        <f t="shared" si="1"/>
        <v>0</v>
      </c>
      <c r="Q23" s="50"/>
    </row>
    <row r="24" spans="1:18" ht="12.95" customHeight="1">
      <c r="B24" s="10"/>
      <c r="C24" s="11"/>
      <c r="D24" s="11"/>
      <c r="E24" s="168"/>
      <c r="F24" s="182">
        <v>613800</v>
      </c>
      <c r="G24" s="201"/>
      <c r="H24" s="20" t="s">
        <v>143</v>
      </c>
      <c r="I24" s="235">
        <v>3820</v>
      </c>
      <c r="J24" s="235">
        <v>3820</v>
      </c>
      <c r="K24" s="495">
        <v>2671</v>
      </c>
      <c r="L24" s="365"/>
      <c r="M24" s="236"/>
      <c r="N24" s="828">
        <f t="shared" si="6"/>
        <v>0</v>
      </c>
      <c r="O24" s="887">
        <f t="shared" si="1"/>
        <v>0</v>
      </c>
      <c r="Q24" s="50"/>
    </row>
    <row r="25" spans="1:18" ht="12.95" customHeight="1">
      <c r="B25" s="10"/>
      <c r="C25" s="11"/>
      <c r="D25" s="11"/>
      <c r="E25" s="168"/>
      <c r="F25" s="182">
        <v>613900</v>
      </c>
      <c r="G25" s="201"/>
      <c r="H25" s="20" t="s">
        <v>144</v>
      </c>
      <c r="I25" s="235">
        <v>225000</v>
      </c>
      <c r="J25" s="235">
        <v>225000</v>
      </c>
      <c r="K25" s="495">
        <v>164286</v>
      </c>
      <c r="L25" s="364"/>
      <c r="M25" s="240"/>
      <c r="N25" s="828">
        <f t="shared" si="6"/>
        <v>0</v>
      </c>
      <c r="O25" s="887">
        <f t="shared" si="1"/>
        <v>0</v>
      </c>
      <c r="P25" s="58"/>
      <c r="Q25" s="50"/>
    </row>
    <row r="26" spans="1:18" ht="12.95" customHeight="1">
      <c r="B26" s="10"/>
      <c r="C26" s="11"/>
      <c r="D26" s="11"/>
      <c r="E26" s="168"/>
      <c r="F26" s="182">
        <v>613900</v>
      </c>
      <c r="G26" s="201"/>
      <c r="H26" s="122" t="s">
        <v>436</v>
      </c>
      <c r="I26" s="235">
        <v>0</v>
      </c>
      <c r="J26" s="235">
        <v>0</v>
      </c>
      <c r="K26" s="495">
        <v>0</v>
      </c>
      <c r="L26" s="365"/>
      <c r="M26" s="236"/>
      <c r="N26" s="828">
        <f t="shared" si="6"/>
        <v>0</v>
      </c>
      <c r="O26" s="887" t="str">
        <f t="shared" si="1"/>
        <v/>
      </c>
      <c r="Q26" s="50"/>
      <c r="R26" s="45"/>
    </row>
    <row r="27" spans="1:18" ht="8.1" customHeight="1">
      <c r="B27" s="10"/>
      <c r="C27" s="11"/>
      <c r="D27" s="11"/>
      <c r="E27" s="168"/>
      <c r="F27" s="182"/>
      <c r="G27" s="201"/>
      <c r="H27" s="11"/>
      <c r="I27" s="235"/>
      <c r="J27" s="235"/>
      <c r="K27" s="495"/>
      <c r="L27" s="365"/>
      <c r="M27" s="161"/>
      <c r="N27" s="791"/>
      <c r="O27" s="887" t="str">
        <f t="shared" si="1"/>
        <v/>
      </c>
      <c r="Q27" s="50"/>
    </row>
    <row r="28" spans="1:18" ht="12.95" customHeight="1">
      <c r="B28" s="12"/>
      <c r="C28" s="8"/>
      <c r="D28" s="8"/>
      <c r="E28" s="8"/>
      <c r="F28" s="181">
        <v>821000</v>
      </c>
      <c r="G28" s="200"/>
      <c r="H28" s="8" t="s">
        <v>88</v>
      </c>
      <c r="I28" s="232">
        <f>SUM(I29:I31)</f>
        <v>36500</v>
      </c>
      <c r="J28" s="232">
        <f>SUM(J29:J31)</f>
        <v>36500</v>
      </c>
      <c r="K28" s="737">
        <f t="shared" ref="K28" si="7">SUM(K29:K31)</f>
        <v>29495</v>
      </c>
      <c r="L28" s="492">
        <f t="shared" ref="L28:N28" si="8">SUM(L29:L31)</f>
        <v>0</v>
      </c>
      <c r="M28" s="170">
        <f t="shared" si="8"/>
        <v>0</v>
      </c>
      <c r="N28" s="789">
        <f t="shared" si="8"/>
        <v>0</v>
      </c>
      <c r="O28" s="886">
        <f t="shared" si="1"/>
        <v>0</v>
      </c>
      <c r="Q28" s="50"/>
    </row>
    <row r="29" spans="1:18" s="1" customFormat="1" ht="12.95" customHeight="1">
      <c r="A29" s="163"/>
      <c r="B29" s="10"/>
      <c r="C29" s="11"/>
      <c r="D29" s="11"/>
      <c r="E29" s="168"/>
      <c r="F29" s="182">
        <v>821200</v>
      </c>
      <c r="G29" s="201"/>
      <c r="H29" s="11" t="s">
        <v>89</v>
      </c>
      <c r="I29" s="235">
        <v>0</v>
      </c>
      <c r="J29" s="235">
        <v>0</v>
      </c>
      <c r="K29" s="495">
        <v>0</v>
      </c>
      <c r="L29" s="364"/>
      <c r="M29" s="162"/>
      <c r="N29" s="828">
        <f t="shared" ref="N29:N30" si="9">SUM(L29:M29)</f>
        <v>0</v>
      </c>
      <c r="O29" s="887" t="str">
        <f t="shared" si="1"/>
        <v/>
      </c>
      <c r="Q29" s="50"/>
    </row>
    <row r="30" spans="1:18" ht="12.95" customHeight="1">
      <c r="B30" s="10"/>
      <c r="C30" s="11"/>
      <c r="D30" s="11"/>
      <c r="E30" s="168"/>
      <c r="F30" s="182">
        <v>821300</v>
      </c>
      <c r="G30" s="201"/>
      <c r="H30" s="11" t="s">
        <v>90</v>
      </c>
      <c r="I30" s="235">
        <v>31500</v>
      </c>
      <c r="J30" s="235">
        <v>31500</v>
      </c>
      <c r="K30" s="495">
        <v>29495</v>
      </c>
      <c r="L30" s="364"/>
      <c r="M30" s="162"/>
      <c r="N30" s="828">
        <f t="shared" si="9"/>
        <v>0</v>
      </c>
      <c r="O30" s="887">
        <f t="shared" si="1"/>
        <v>0</v>
      </c>
      <c r="P30" s="45"/>
      <c r="Q30" s="50"/>
    </row>
    <row r="31" spans="1:18" s="166" customFormat="1" ht="12.95" customHeight="1">
      <c r="B31" s="167"/>
      <c r="C31" s="168"/>
      <c r="D31" s="168"/>
      <c r="E31" s="168"/>
      <c r="F31" s="182">
        <v>821500</v>
      </c>
      <c r="G31" s="201"/>
      <c r="H31" s="224" t="s">
        <v>427</v>
      </c>
      <c r="I31" s="235">
        <v>5000</v>
      </c>
      <c r="J31" s="235">
        <v>5000</v>
      </c>
      <c r="K31" s="495">
        <v>0</v>
      </c>
      <c r="L31" s="364"/>
      <c r="M31" s="162"/>
      <c r="N31" s="828">
        <f t="shared" ref="N31" si="10">SUM(L31:M31)</f>
        <v>0</v>
      </c>
      <c r="O31" s="887">
        <f t="shared" ref="O31" si="11">IF(J31=0,"",N31/J31*100)</f>
        <v>0</v>
      </c>
      <c r="P31" s="45"/>
      <c r="Q31" s="50"/>
    </row>
    <row r="32" spans="1:18" ht="8.1" customHeight="1">
      <c r="B32" s="10"/>
      <c r="C32" s="11"/>
      <c r="D32" s="11"/>
      <c r="E32" s="168"/>
      <c r="F32" s="182"/>
      <c r="G32" s="201"/>
      <c r="H32" s="11"/>
      <c r="I32" s="235"/>
      <c r="J32" s="235"/>
      <c r="K32" s="495"/>
      <c r="L32" s="365"/>
      <c r="M32" s="161"/>
      <c r="N32" s="791"/>
      <c r="O32" s="887" t="str">
        <f t="shared" si="1"/>
        <v/>
      </c>
      <c r="Q32" s="50"/>
    </row>
    <row r="33" spans="1:17" ht="12.95" customHeight="1">
      <c r="B33" s="12"/>
      <c r="C33" s="8"/>
      <c r="D33" s="8"/>
      <c r="E33" s="8"/>
      <c r="F33" s="181"/>
      <c r="G33" s="200"/>
      <c r="H33" s="8" t="s">
        <v>91</v>
      </c>
      <c r="I33" s="356">
        <v>21</v>
      </c>
      <c r="J33" s="356">
        <v>21</v>
      </c>
      <c r="K33" s="738">
        <v>20</v>
      </c>
      <c r="L33" s="493"/>
      <c r="M33" s="177"/>
      <c r="N33" s="782"/>
      <c r="O33" s="887"/>
      <c r="Q33" s="50"/>
    </row>
    <row r="34" spans="1:17" s="1" customFormat="1" ht="12.95" customHeight="1">
      <c r="A34" s="163"/>
      <c r="B34" s="12"/>
      <c r="C34" s="8"/>
      <c r="D34" s="8"/>
      <c r="E34" s="8"/>
      <c r="F34" s="181"/>
      <c r="G34" s="200"/>
      <c r="H34" s="8" t="s">
        <v>105</v>
      </c>
      <c r="I34" s="15">
        <f t="shared" ref="I34:N34" si="12">I8+I13+I16+I28</f>
        <v>979810</v>
      </c>
      <c r="J34" s="15">
        <f t="shared" si="12"/>
        <v>979810</v>
      </c>
      <c r="K34" s="158">
        <f t="shared" ref="K34" si="13">K8+K13+K16+K28</f>
        <v>707620</v>
      </c>
      <c r="L34" s="377">
        <f t="shared" si="12"/>
        <v>0</v>
      </c>
      <c r="M34" s="170">
        <f t="shared" si="12"/>
        <v>0</v>
      </c>
      <c r="N34" s="789">
        <f t="shared" si="12"/>
        <v>0</v>
      </c>
      <c r="O34" s="886">
        <f>IF(J34=0,"",N34/J34*100)</f>
        <v>0</v>
      </c>
      <c r="Q34" s="50"/>
    </row>
    <row r="35" spans="1:17" s="1" customFormat="1" ht="12.95" customHeight="1">
      <c r="A35" s="163"/>
      <c r="B35" s="12"/>
      <c r="C35" s="8"/>
      <c r="D35" s="8"/>
      <c r="E35" s="8"/>
      <c r="F35" s="181"/>
      <c r="G35" s="200"/>
      <c r="H35" s="8" t="s">
        <v>92</v>
      </c>
      <c r="I35" s="15">
        <f>I34</f>
        <v>979810</v>
      </c>
      <c r="J35" s="170">
        <f t="shared" ref="J35:L36" si="14">J34</f>
        <v>979810</v>
      </c>
      <c r="K35" s="158">
        <f t="shared" ref="K35" si="15">K34</f>
        <v>707620</v>
      </c>
      <c r="L35" s="377">
        <f t="shared" si="14"/>
        <v>0</v>
      </c>
      <c r="M35" s="170">
        <f>M34</f>
        <v>0</v>
      </c>
      <c r="N35" s="789">
        <f>N34</f>
        <v>0</v>
      </c>
      <c r="O35" s="887">
        <f>IF(J35=0,"",N35/J35*100)</f>
        <v>0</v>
      </c>
    </row>
    <row r="36" spans="1:17" s="1" customFormat="1" ht="12.95" customHeight="1">
      <c r="A36" s="163"/>
      <c r="B36" s="12"/>
      <c r="C36" s="8"/>
      <c r="D36" s="8"/>
      <c r="E36" s="8"/>
      <c r="F36" s="181"/>
      <c r="G36" s="200"/>
      <c r="H36" s="8" t="s">
        <v>93</v>
      </c>
      <c r="I36" s="15">
        <f>I35</f>
        <v>979810</v>
      </c>
      <c r="J36" s="170">
        <f t="shared" si="14"/>
        <v>979810</v>
      </c>
      <c r="K36" s="158">
        <f t="shared" ref="K36" si="16">K35</f>
        <v>707620</v>
      </c>
      <c r="L36" s="377">
        <f t="shared" si="14"/>
        <v>0</v>
      </c>
      <c r="M36" s="170">
        <f>M35</f>
        <v>0</v>
      </c>
      <c r="N36" s="789">
        <f>N35</f>
        <v>0</v>
      </c>
      <c r="O36" s="887">
        <f>IF(J36=0,"",N36/J36*100)</f>
        <v>0</v>
      </c>
    </row>
    <row r="37" spans="1:17" s="1" customFormat="1" ht="8.1" customHeight="1" thickBot="1">
      <c r="A37" s="163"/>
      <c r="B37" s="16"/>
      <c r="C37" s="17"/>
      <c r="D37" s="17"/>
      <c r="E37" s="17"/>
      <c r="F37" s="183"/>
      <c r="G37" s="202"/>
      <c r="H37" s="17"/>
      <c r="I37" s="31"/>
      <c r="J37" s="31"/>
      <c r="K37" s="739"/>
      <c r="L37" s="378"/>
      <c r="M37" s="31"/>
      <c r="N37" s="829"/>
      <c r="O37" s="888"/>
    </row>
    <row r="38" spans="1:17" ht="12.95" customHeight="1">
      <c r="F38" s="184"/>
      <c r="G38" s="203"/>
      <c r="N38" s="258"/>
    </row>
    <row r="39" spans="1:17" ht="12.95" customHeight="1">
      <c r="B39" s="45"/>
      <c r="F39" s="184"/>
      <c r="G39" s="203"/>
      <c r="L39" s="408"/>
      <c r="N39" s="258"/>
    </row>
    <row r="40" spans="1:17" ht="12.95" customHeight="1">
      <c r="F40" s="184"/>
      <c r="G40" s="203"/>
      <c r="N40" s="258"/>
    </row>
    <row r="41" spans="1:17" ht="12.95" customHeight="1">
      <c r="F41" s="184"/>
      <c r="G41" s="203"/>
      <c r="N41" s="258"/>
      <c r="O41" s="473"/>
    </row>
    <row r="42" spans="1:17" ht="12.95" customHeight="1">
      <c r="F42" s="184"/>
      <c r="G42" s="203"/>
      <c r="N42" s="258"/>
    </row>
    <row r="43" spans="1:17" ht="12.95" customHeight="1">
      <c r="F43" s="184"/>
      <c r="G43" s="203"/>
      <c r="N43" s="258"/>
    </row>
    <row r="44" spans="1:17" ht="12.95" customHeight="1">
      <c r="F44" s="184"/>
      <c r="G44" s="203"/>
      <c r="N44" s="258"/>
    </row>
    <row r="45" spans="1:17" ht="12.95" customHeight="1">
      <c r="F45" s="184"/>
      <c r="G45" s="203"/>
      <c r="N45" s="258"/>
    </row>
    <row r="46" spans="1:17" ht="12.95" customHeight="1">
      <c r="F46" s="184"/>
      <c r="G46" s="203"/>
      <c r="N46" s="258"/>
    </row>
    <row r="47" spans="1:17" ht="12.95" customHeight="1">
      <c r="F47" s="184"/>
      <c r="G47" s="203"/>
      <c r="N47" s="258"/>
    </row>
    <row r="48" spans="1:17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2.95" customHeight="1">
      <c r="F60" s="184"/>
      <c r="G60" s="203"/>
      <c r="N60" s="258"/>
    </row>
    <row r="61" spans="6:14" ht="17.100000000000001" customHeight="1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203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 ht="14.25">
      <c r="F91" s="184"/>
      <c r="G91" s="184"/>
      <c r="N91" s="258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  <row r="97" spans="7:7">
      <c r="G97" s="184"/>
    </row>
  </sheetData>
  <mergeCells count="14">
    <mergeCell ref="K4:K5"/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2"/>
  <sheetViews>
    <sheetView topLeftCell="A7" zoomScaleNormal="100" workbookViewId="0">
      <selection activeCell="H20" sqref="H20"/>
    </sheetView>
  </sheetViews>
  <sheetFormatPr defaultColWidth="9.140625" defaultRowHeight="12.75"/>
  <cols>
    <col min="1" max="1" width="4.42578125" style="166" customWidth="1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0" width="14.7109375" style="9" customWidth="1"/>
    <col min="11" max="11" width="12.5703125" style="166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7" ht="13.5" thickBot="1"/>
    <row r="2" spans="1:17" s="81" customFormat="1" ht="20.100000000000001" customHeight="1" thickTop="1" thickBot="1">
      <c r="A2" s="249"/>
      <c r="B2" s="963" t="s">
        <v>109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84"/>
      <c r="Q2" s="249"/>
    </row>
    <row r="3" spans="1:17" s="1" customFormat="1" ht="8.1" customHeight="1" thickTop="1" thickBot="1">
      <c r="A3" s="163"/>
      <c r="E3" s="163"/>
      <c r="F3" s="2"/>
      <c r="G3" s="164"/>
      <c r="H3" s="966"/>
      <c r="I3" s="966"/>
      <c r="J3" s="143"/>
      <c r="K3" s="735"/>
      <c r="L3" s="76"/>
      <c r="M3" s="76"/>
      <c r="N3" s="76"/>
      <c r="O3" s="213"/>
    </row>
    <row r="4" spans="1:17" s="1" customFormat="1" ht="39" customHeight="1">
      <c r="A4" s="163"/>
      <c r="B4" s="970" t="s">
        <v>76</v>
      </c>
      <c r="C4" s="972" t="s">
        <v>77</v>
      </c>
      <c r="D4" s="97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915</v>
      </c>
      <c r="J4" s="987" t="s">
        <v>850</v>
      </c>
      <c r="K4" s="961" t="s">
        <v>939</v>
      </c>
      <c r="L4" s="967" t="s">
        <v>940</v>
      </c>
      <c r="M4" s="968"/>
      <c r="N4" s="969"/>
      <c r="O4" s="981" t="s">
        <v>857</v>
      </c>
    </row>
    <row r="5" spans="1:17" s="163" customFormat="1" ht="27" customHeight="1">
      <c r="B5" s="971"/>
      <c r="C5" s="973"/>
      <c r="D5" s="973"/>
      <c r="E5" s="976"/>
      <c r="F5" s="978"/>
      <c r="G5" s="976"/>
      <c r="H5" s="978"/>
      <c r="I5" s="978"/>
      <c r="J5" s="988"/>
      <c r="K5" s="962"/>
      <c r="L5" s="380" t="s">
        <v>530</v>
      </c>
      <c r="M5" s="247" t="s">
        <v>531</v>
      </c>
      <c r="N5" s="779" t="s">
        <v>320</v>
      </c>
      <c r="O5" s="982"/>
    </row>
    <row r="6" spans="1:17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336">
        <v>9</v>
      </c>
      <c r="K6" s="510">
        <v>10</v>
      </c>
      <c r="L6" s="335">
        <v>11</v>
      </c>
      <c r="M6" s="200">
        <v>12</v>
      </c>
      <c r="N6" s="825" t="s">
        <v>707</v>
      </c>
      <c r="O6" s="884" t="s">
        <v>851</v>
      </c>
    </row>
    <row r="7" spans="1:17" s="2" customFormat="1" ht="12.95" customHeight="1">
      <c r="A7" s="164"/>
      <c r="B7" s="6" t="s">
        <v>110</v>
      </c>
      <c r="C7" s="7" t="s">
        <v>79</v>
      </c>
      <c r="D7" s="7" t="s">
        <v>80</v>
      </c>
      <c r="E7" s="422" t="s">
        <v>706</v>
      </c>
      <c r="F7" s="5"/>
      <c r="G7" s="165"/>
      <c r="H7" s="5"/>
      <c r="I7" s="70"/>
      <c r="J7" s="373"/>
      <c r="K7" s="511"/>
      <c r="L7" s="4"/>
      <c r="M7" s="178"/>
      <c r="N7" s="830"/>
      <c r="O7" s="885"/>
    </row>
    <row r="8" spans="1:17" s="2" customFormat="1" ht="12.95" customHeight="1">
      <c r="A8" s="164"/>
      <c r="B8" s="6"/>
      <c r="C8" s="7"/>
      <c r="D8" s="7"/>
      <c r="E8" s="7"/>
      <c r="F8" s="181">
        <v>600000</v>
      </c>
      <c r="G8" s="200"/>
      <c r="H8" s="433" t="s">
        <v>111</v>
      </c>
      <c r="I8" s="384">
        <f t="shared" ref="I8:L8" si="0">I9+I10+I11</f>
        <v>895000</v>
      </c>
      <c r="J8" s="384">
        <f t="shared" si="0"/>
        <v>895000</v>
      </c>
      <c r="K8" s="512">
        <f t="shared" si="0"/>
        <v>654996</v>
      </c>
      <c r="L8" s="493">
        <f t="shared" si="0"/>
        <v>0</v>
      </c>
      <c r="M8" s="157">
        <f>M9+M10+M11</f>
        <v>0</v>
      </c>
      <c r="N8" s="831">
        <f>N9+N10+N11</f>
        <v>0</v>
      </c>
      <c r="O8" s="886">
        <f t="shared" ref="O8:O50" si="1">IF(J8=0,"",N8/J8*100)</f>
        <v>0</v>
      </c>
    </row>
    <row r="9" spans="1:17" s="2" customFormat="1" ht="12.95" customHeight="1">
      <c r="A9" s="164"/>
      <c r="B9" s="6"/>
      <c r="C9" s="7"/>
      <c r="D9" s="7"/>
      <c r="E9" s="7"/>
      <c r="F9" s="182">
        <v>600000</v>
      </c>
      <c r="G9" s="201"/>
      <c r="H9" s="434" t="s">
        <v>94</v>
      </c>
      <c r="I9" s="240">
        <v>850000</v>
      </c>
      <c r="J9" s="240">
        <v>850000</v>
      </c>
      <c r="K9" s="513">
        <v>619596</v>
      </c>
      <c r="L9" s="364"/>
      <c r="M9" s="156"/>
      <c r="N9" s="832">
        <f t="shared" ref="N9:N11" si="2">SUM(L9:M9)</f>
        <v>0</v>
      </c>
      <c r="O9" s="887">
        <f t="shared" si="1"/>
        <v>0</v>
      </c>
    </row>
    <row r="10" spans="1:17" s="2" customFormat="1" ht="12.95" customHeight="1">
      <c r="A10" s="164"/>
      <c r="B10" s="6"/>
      <c r="C10" s="7"/>
      <c r="D10" s="7"/>
      <c r="E10" s="7"/>
      <c r="F10" s="182">
        <v>600000</v>
      </c>
      <c r="G10" s="201"/>
      <c r="H10" s="434" t="s">
        <v>95</v>
      </c>
      <c r="I10" s="240">
        <v>30000</v>
      </c>
      <c r="J10" s="240">
        <v>30000</v>
      </c>
      <c r="K10" s="513">
        <v>23000</v>
      </c>
      <c r="L10" s="364"/>
      <c r="M10" s="156"/>
      <c r="N10" s="832">
        <f t="shared" si="2"/>
        <v>0</v>
      </c>
      <c r="O10" s="887">
        <f t="shared" si="1"/>
        <v>0</v>
      </c>
    </row>
    <row r="11" spans="1:17" s="2" customFormat="1" ht="12.95" customHeight="1">
      <c r="A11" s="164"/>
      <c r="B11" s="6"/>
      <c r="C11" s="7"/>
      <c r="D11" s="7"/>
      <c r="E11" s="7"/>
      <c r="F11" s="182">
        <v>600000</v>
      </c>
      <c r="G11" s="201"/>
      <c r="H11" s="434" t="s">
        <v>112</v>
      </c>
      <c r="I11" s="240">
        <v>15000</v>
      </c>
      <c r="J11" s="240">
        <v>15000</v>
      </c>
      <c r="K11" s="513">
        <v>12400</v>
      </c>
      <c r="L11" s="364"/>
      <c r="M11" s="156"/>
      <c r="N11" s="832">
        <f t="shared" si="2"/>
        <v>0</v>
      </c>
      <c r="O11" s="887">
        <f t="shared" si="1"/>
        <v>0</v>
      </c>
    </row>
    <row r="12" spans="1:17" s="2" customFormat="1" ht="8.1" customHeight="1">
      <c r="A12" s="164"/>
      <c r="B12" s="6"/>
      <c r="C12" s="7"/>
      <c r="D12" s="7"/>
      <c r="E12" s="7"/>
      <c r="F12" s="181"/>
      <c r="G12" s="201"/>
      <c r="H12" s="373"/>
      <c r="I12" s="241"/>
      <c r="J12" s="241"/>
      <c r="K12" s="514"/>
      <c r="L12" s="492"/>
      <c r="M12" s="158"/>
      <c r="N12" s="833"/>
      <c r="O12" s="887" t="str">
        <f t="shared" si="1"/>
        <v/>
      </c>
    </row>
    <row r="13" spans="1:17" s="1" customFormat="1" ht="12.95" customHeight="1">
      <c r="A13" s="163"/>
      <c r="B13" s="12"/>
      <c r="C13" s="8"/>
      <c r="D13" s="8"/>
      <c r="E13" s="8"/>
      <c r="F13" s="181">
        <v>611000</v>
      </c>
      <c r="G13" s="200"/>
      <c r="H13" s="25" t="s">
        <v>140</v>
      </c>
      <c r="I13" s="241">
        <f t="shared" ref="I13:L13" si="3">SUM(I14:I17)</f>
        <v>256380</v>
      </c>
      <c r="J13" s="241">
        <f t="shared" si="3"/>
        <v>256380</v>
      </c>
      <c r="K13" s="514">
        <f t="shared" si="3"/>
        <v>190866</v>
      </c>
      <c r="L13" s="490">
        <f t="shared" si="3"/>
        <v>0</v>
      </c>
      <c r="M13" s="129">
        <f>SUM(M14:M17)</f>
        <v>0</v>
      </c>
      <c r="N13" s="834">
        <f>SUM(N14:N17)</f>
        <v>0</v>
      </c>
      <c r="O13" s="886">
        <f t="shared" si="1"/>
        <v>0</v>
      </c>
    </row>
    <row r="14" spans="1:17" ht="12.95" customHeight="1">
      <c r="B14" s="10"/>
      <c r="C14" s="11"/>
      <c r="D14" s="11"/>
      <c r="E14" s="168"/>
      <c r="F14" s="182">
        <v>611100</v>
      </c>
      <c r="G14" s="201"/>
      <c r="H14" s="435" t="s">
        <v>161</v>
      </c>
      <c r="I14" s="240">
        <v>181890</v>
      </c>
      <c r="J14" s="240">
        <v>181890</v>
      </c>
      <c r="K14" s="513">
        <v>133719</v>
      </c>
      <c r="L14" s="364"/>
      <c r="M14" s="128"/>
      <c r="N14" s="832">
        <f t="shared" ref="N14:N16" si="4">SUM(L14:M14)</f>
        <v>0</v>
      </c>
      <c r="O14" s="887">
        <f t="shared" si="1"/>
        <v>0</v>
      </c>
    </row>
    <row r="15" spans="1:17" ht="12.95" customHeight="1">
      <c r="B15" s="10"/>
      <c r="C15" s="11"/>
      <c r="D15" s="11"/>
      <c r="E15" s="168"/>
      <c r="F15" s="182">
        <v>611200</v>
      </c>
      <c r="G15" s="201"/>
      <c r="H15" s="24" t="s">
        <v>162</v>
      </c>
      <c r="I15" s="240">
        <v>36900</v>
      </c>
      <c r="J15" s="240">
        <f>36900-700</f>
        <v>36200</v>
      </c>
      <c r="K15" s="513">
        <v>20620</v>
      </c>
      <c r="L15" s="364"/>
      <c r="M15" s="128"/>
      <c r="N15" s="832">
        <f t="shared" si="4"/>
        <v>0</v>
      </c>
      <c r="O15" s="887">
        <f t="shared" si="1"/>
        <v>0</v>
      </c>
    </row>
    <row r="16" spans="1:17" ht="12.95" customHeight="1">
      <c r="B16" s="10"/>
      <c r="C16" s="11"/>
      <c r="D16" s="11"/>
      <c r="E16" s="168"/>
      <c r="F16" s="182">
        <v>611200</v>
      </c>
      <c r="G16" s="201" t="s">
        <v>498</v>
      </c>
      <c r="H16" s="445" t="s">
        <v>942</v>
      </c>
      <c r="I16" s="240">
        <v>37590</v>
      </c>
      <c r="J16" s="240">
        <f>37590+700</f>
        <v>38290</v>
      </c>
      <c r="K16" s="513">
        <v>36527</v>
      </c>
      <c r="L16" s="364"/>
      <c r="M16" s="128"/>
      <c r="N16" s="832">
        <f t="shared" si="4"/>
        <v>0</v>
      </c>
      <c r="O16" s="887">
        <f t="shared" si="1"/>
        <v>0</v>
      </c>
      <c r="Q16" s="50"/>
    </row>
    <row r="17" spans="1:16" ht="8.1" customHeight="1">
      <c r="B17" s="10"/>
      <c r="C17" s="11"/>
      <c r="D17" s="11"/>
      <c r="E17" s="168"/>
      <c r="F17" s="182"/>
      <c r="G17" s="201"/>
      <c r="H17" s="435"/>
      <c r="I17" s="241"/>
      <c r="J17" s="241"/>
      <c r="K17" s="514"/>
      <c r="L17" s="490"/>
      <c r="M17" s="129"/>
      <c r="N17" s="834"/>
      <c r="O17" s="887" t="str">
        <f t="shared" si="1"/>
        <v/>
      </c>
    </row>
    <row r="18" spans="1:16" s="1" customFormat="1" ht="12.95" customHeight="1">
      <c r="A18" s="163"/>
      <c r="B18" s="12"/>
      <c r="C18" s="8"/>
      <c r="D18" s="8"/>
      <c r="E18" s="8"/>
      <c r="F18" s="181">
        <v>612000</v>
      </c>
      <c r="G18" s="201"/>
      <c r="H18" s="25" t="s">
        <v>139</v>
      </c>
      <c r="I18" s="241">
        <f>I19</f>
        <v>19250</v>
      </c>
      <c r="J18" s="241">
        <f>J19</f>
        <v>19250</v>
      </c>
      <c r="K18" s="514">
        <f t="shared" ref="K18" si="5">K19+K20</f>
        <v>14040</v>
      </c>
      <c r="L18" s="490">
        <f t="shared" ref="L18" si="6">L19+L20</f>
        <v>0</v>
      </c>
      <c r="M18" s="129">
        <f>M19+M20</f>
        <v>0</v>
      </c>
      <c r="N18" s="834">
        <f>N19+N20</f>
        <v>0</v>
      </c>
      <c r="O18" s="886">
        <f t="shared" si="1"/>
        <v>0</v>
      </c>
    </row>
    <row r="19" spans="1:16" ht="12.95" customHeight="1">
      <c r="B19" s="10"/>
      <c r="C19" s="11"/>
      <c r="D19" s="11"/>
      <c r="E19" s="168"/>
      <c r="F19" s="182">
        <v>612100</v>
      </c>
      <c r="G19" s="201"/>
      <c r="H19" s="437" t="s">
        <v>81</v>
      </c>
      <c r="I19" s="240">
        <v>19250</v>
      </c>
      <c r="J19" s="240">
        <v>19250</v>
      </c>
      <c r="K19" s="513">
        <v>14040</v>
      </c>
      <c r="L19" s="364"/>
      <c r="M19" s="128"/>
      <c r="N19" s="832">
        <f>SUM(L19:M19)</f>
        <v>0</v>
      </c>
      <c r="O19" s="887">
        <f t="shared" si="1"/>
        <v>0</v>
      </c>
    </row>
    <row r="20" spans="1:16" ht="8.1" customHeight="1">
      <c r="B20" s="10"/>
      <c r="C20" s="11"/>
      <c r="D20" s="11"/>
      <c r="E20" s="168"/>
      <c r="F20" s="182"/>
      <c r="G20" s="201"/>
      <c r="H20" s="24"/>
      <c r="I20" s="240"/>
      <c r="J20" s="240"/>
      <c r="K20" s="513"/>
      <c r="L20" s="365"/>
      <c r="M20" s="153"/>
      <c r="N20" s="832"/>
      <c r="O20" s="887" t="str">
        <f t="shared" si="1"/>
        <v/>
      </c>
    </row>
    <row r="21" spans="1:16" s="1" customFormat="1" ht="12.95" customHeight="1">
      <c r="A21" s="163"/>
      <c r="B21" s="12"/>
      <c r="C21" s="8"/>
      <c r="D21" s="8"/>
      <c r="E21" s="8"/>
      <c r="F21" s="181">
        <v>613000</v>
      </c>
      <c r="G21" s="201"/>
      <c r="H21" s="25" t="s">
        <v>141</v>
      </c>
      <c r="I21" s="241">
        <f>SUM(I22:I32)</f>
        <v>327000</v>
      </c>
      <c r="J21" s="241">
        <f>SUM(J22:J32)</f>
        <v>327000</v>
      </c>
      <c r="K21" s="514">
        <f t="shared" ref="K21" si="7">SUM(K22:K32)</f>
        <v>210507</v>
      </c>
      <c r="L21" s="491">
        <f t="shared" ref="L21" si="8">SUM(L22:L32)</f>
        <v>0</v>
      </c>
      <c r="M21" s="154">
        <f t="shared" ref="M21:N21" si="9">SUM(M22:M32)</f>
        <v>0</v>
      </c>
      <c r="N21" s="833">
        <f t="shared" si="9"/>
        <v>0</v>
      </c>
      <c r="O21" s="886">
        <f t="shared" si="1"/>
        <v>0</v>
      </c>
    </row>
    <row r="22" spans="1:16" ht="12.95" customHeight="1">
      <c r="B22" s="10"/>
      <c r="C22" s="11"/>
      <c r="D22" s="11"/>
      <c r="E22" s="168"/>
      <c r="F22" s="182">
        <v>613100</v>
      </c>
      <c r="G22" s="201"/>
      <c r="H22" s="24" t="s">
        <v>82</v>
      </c>
      <c r="I22" s="240">
        <v>9000</v>
      </c>
      <c r="J22" s="240">
        <v>9000</v>
      </c>
      <c r="K22" s="513">
        <v>6007</v>
      </c>
      <c r="L22" s="365"/>
      <c r="M22" s="153"/>
      <c r="N22" s="832">
        <f t="shared" ref="N22:N32" si="10">SUM(L22:M22)</f>
        <v>0</v>
      </c>
      <c r="O22" s="887">
        <f t="shared" si="1"/>
        <v>0</v>
      </c>
    </row>
    <row r="23" spans="1:16" ht="12.95" customHeight="1">
      <c r="B23" s="10"/>
      <c r="C23" s="11"/>
      <c r="D23" s="11"/>
      <c r="E23" s="168"/>
      <c r="F23" s="182">
        <v>613200</v>
      </c>
      <c r="G23" s="201"/>
      <c r="H23" s="24" t="s">
        <v>83</v>
      </c>
      <c r="I23" s="240">
        <v>0</v>
      </c>
      <c r="J23" s="240">
        <v>0</v>
      </c>
      <c r="K23" s="513">
        <v>0</v>
      </c>
      <c r="L23" s="365"/>
      <c r="M23" s="153"/>
      <c r="N23" s="832">
        <f t="shared" si="10"/>
        <v>0</v>
      </c>
      <c r="O23" s="887" t="str">
        <f t="shared" si="1"/>
        <v/>
      </c>
    </row>
    <row r="24" spans="1:16" ht="12.95" customHeight="1">
      <c r="B24" s="10"/>
      <c r="C24" s="11"/>
      <c r="D24" s="11"/>
      <c r="E24" s="168"/>
      <c r="F24" s="182">
        <v>613300</v>
      </c>
      <c r="G24" s="201"/>
      <c r="H24" s="435" t="s">
        <v>163</v>
      </c>
      <c r="I24" s="240">
        <v>5500</v>
      </c>
      <c r="J24" s="240">
        <v>5500</v>
      </c>
      <c r="K24" s="513">
        <v>2619</v>
      </c>
      <c r="L24" s="365"/>
      <c r="M24" s="153"/>
      <c r="N24" s="832">
        <f t="shared" si="10"/>
        <v>0</v>
      </c>
      <c r="O24" s="887">
        <f t="shared" si="1"/>
        <v>0</v>
      </c>
    </row>
    <row r="25" spans="1:16" ht="12.95" customHeight="1">
      <c r="B25" s="10"/>
      <c r="C25" s="11"/>
      <c r="D25" s="11"/>
      <c r="E25" s="168"/>
      <c r="F25" s="182">
        <v>613400</v>
      </c>
      <c r="G25" s="201"/>
      <c r="H25" s="24" t="s">
        <v>142</v>
      </c>
      <c r="I25" s="240">
        <v>1500</v>
      </c>
      <c r="J25" s="240">
        <v>1500</v>
      </c>
      <c r="K25" s="513">
        <v>60</v>
      </c>
      <c r="L25" s="365"/>
      <c r="M25" s="153"/>
      <c r="N25" s="832">
        <f t="shared" si="10"/>
        <v>0</v>
      </c>
      <c r="O25" s="887">
        <f t="shared" si="1"/>
        <v>0</v>
      </c>
    </row>
    <row r="26" spans="1:16" ht="12.95" customHeight="1">
      <c r="B26" s="10"/>
      <c r="C26" s="11"/>
      <c r="D26" s="11"/>
      <c r="E26" s="168"/>
      <c r="F26" s="182">
        <v>613500</v>
      </c>
      <c r="G26" s="201"/>
      <c r="H26" s="24" t="s">
        <v>84</v>
      </c>
      <c r="I26" s="242">
        <v>2000</v>
      </c>
      <c r="J26" s="242">
        <v>2000</v>
      </c>
      <c r="K26" s="515">
        <v>217</v>
      </c>
      <c r="L26" s="366"/>
      <c r="M26" s="155"/>
      <c r="N26" s="832">
        <f t="shared" si="10"/>
        <v>0</v>
      </c>
      <c r="O26" s="887">
        <f t="shared" si="1"/>
        <v>0</v>
      </c>
    </row>
    <row r="27" spans="1:16" ht="12.95" customHeight="1">
      <c r="B27" s="10"/>
      <c r="C27" s="11"/>
      <c r="D27" s="11"/>
      <c r="E27" s="168"/>
      <c r="F27" s="182">
        <v>613600</v>
      </c>
      <c r="G27" s="201"/>
      <c r="H27" s="435" t="s">
        <v>164</v>
      </c>
      <c r="I27" s="240">
        <v>1500</v>
      </c>
      <c r="J27" s="240">
        <v>1500</v>
      </c>
      <c r="K27" s="513">
        <v>0</v>
      </c>
      <c r="L27" s="365"/>
      <c r="M27" s="153"/>
      <c r="N27" s="832">
        <f t="shared" si="10"/>
        <v>0</v>
      </c>
      <c r="O27" s="887">
        <f t="shared" si="1"/>
        <v>0</v>
      </c>
    </row>
    <row r="28" spans="1:16" ht="12.95" customHeight="1">
      <c r="B28" s="10"/>
      <c r="C28" s="11"/>
      <c r="D28" s="11"/>
      <c r="E28" s="168"/>
      <c r="F28" s="182">
        <v>613700</v>
      </c>
      <c r="G28" s="201"/>
      <c r="H28" s="24" t="s">
        <v>85</v>
      </c>
      <c r="I28" s="240">
        <v>5000</v>
      </c>
      <c r="J28" s="240">
        <v>5000</v>
      </c>
      <c r="K28" s="513">
        <v>404</v>
      </c>
      <c r="L28" s="365"/>
      <c r="M28" s="153"/>
      <c r="N28" s="832">
        <f t="shared" si="10"/>
        <v>0</v>
      </c>
      <c r="O28" s="887">
        <f t="shared" si="1"/>
        <v>0</v>
      </c>
    </row>
    <row r="29" spans="1:16" ht="12.95" customHeight="1">
      <c r="B29" s="10"/>
      <c r="C29" s="11"/>
      <c r="D29" s="11"/>
      <c r="E29" s="168"/>
      <c r="F29" s="182">
        <v>613800</v>
      </c>
      <c r="G29" s="201"/>
      <c r="H29" s="24" t="s">
        <v>143</v>
      </c>
      <c r="I29" s="240">
        <v>500</v>
      </c>
      <c r="J29" s="240">
        <v>500</v>
      </c>
      <c r="K29" s="513">
        <v>0</v>
      </c>
      <c r="L29" s="364"/>
      <c r="M29" s="156"/>
      <c r="N29" s="832">
        <f t="shared" si="10"/>
        <v>0</v>
      </c>
      <c r="O29" s="887">
        <f t="shared" si="1"/>
        <v>0</v>
      </c>
    </row>
    <row r="30" spans="1:16" ht="12.95" customHeight="1">
      <c r="B30" s="10"/>
      <c r="C30" s="11"/>
      <c r="D30" s="11"/>
      <c r="E30" s="168"/>
      <c r="F30" s="185">
        <v>613900</v>
      </c>
      <c r="G30" s="201"/>
      <c r="H30" s="438" t="s">
        <v>144</v>
      </c>
      <c r="I30" s="240">
        <v>180000</v>
      </c>
      <c r="J30" s="240">
        <v>180000</v>
      </c>
      <c r="K30" s="513">
        <v>153300</v>
      </c>
      <c r="L30" s="364"/>
      <c r="M30" s="156"/>
      <c r="N30" s="832">
        <f t="shared" si="10"/>
        <v>0</v>
      </c>
      <c r="O30" s="887">
        <f t="shared" si="1"/>
        <v>0</v>
      </c>
      <c r="P30" s="45"/>
    </row>
    <row r="31" spans="1:16" s="166" customFormat="1" ht="12.95" customHeight="1">
      <c r="B31" s="167"/>
      <c r="C31" s="168"/>
      <c r="D31" s="168"/>
      <c r="E31" s="168"/>
      <c r="F31" s="182">
        <v>613900</v>
      </c>
      <c r="G31" s="201" t="s">
        <v>498</v>
      </c>
      <c r="H31" s="445" t="s">
        <v>941</v>
      </c>
      <c r="I31" s="240">
        <v>35000</v>
      </c>
      <c r="J31" s="240">
        <f>35000+4000</f>
        <v>39000</v>
      </c>
      <c r="K31" s="513">
        <v>35900</v>
      </c>
      <c r="L31" s="364"/>
      <c r="M31" s="156"/>
      <c r="N31" s="832">
        <f t="shared" ref="N31" si="11">SUM(L31:M31)</f>
        <v>0</v>
      </c>
      <c r="O31" s="887">
        <f t="shared" si="1"/>
        <v>0</v>
      </c>
    </row>
    <row r="32" spans="1:16" ht="12.95" customHeight="1">
      <c r="B32" s="10"/>
      <c r="C32" s="11"/>
      <c r="D32" s="11"/>
      <c r="E32" s="168"/>
      <c r="F32" s="182">
        <v>613900</v>
      </c>
      <c r="G32" s="201" t="s">
        <v>767</v>
      </c>
      <c r="H32" s="445" t="s">
        <v>747</v>
      </c>
      <c r="I32" s="240">
        <v>87000</v>
      </c>
      <c r="J32" s="240">
        <f>87000-4000</f>
        <v>83000</v>
      </c>
      <c r="K32" s="513">
        <v>12000</v>
      </c>
      <c r="L32" s="364"/>
      <c r="M32" s="156"/>
      <c r="N32" s="832">
        <f t="shared" si="10"/>
        <v>0</v>
      </c>
      <c r="O32" s="887">
        <f t="shared" si="1"/>
        <v>0</v>
      </c>
    </row>
    <row r="33" spans="1:19" ht="8.1" customHeight="1">
      <c r="B33" s="10"/>
      <c r="C33" s="11"/>
      <c r="D33" s="11"/>
      <c r="E33" s="168"/>
      <c r="F33" s="182"/>
      <c r="G33" s="201"/>
      <c r="H33" s="24"/>
      <c r="I33" s="240"/>
      <c r="J33" s="240"/>
      <c r="K33" s="513"/>
      <c r="L33" s="365"/>
      <c r="M33" s="153"/>
      <c r="N33" s="832"/>
      <c r="O33" s="887" t="str">
        <f t="shared" si="1"/>
        <v/>
      </c>
    </row>
    <row r="34" spans="1:19" s="1" customFormat="1" ht="12.95" customHeight="1">
      <c r="A34" s="163"/>
      <c r="B34" s="12"/>
      <c r="C34" s="8"/>
      <c r="D34" s="8"/>
      <c r="E34" s="8"/>
      <c r="F34" s="181">
        <v>614000</v>
      </c>
      <c r="G34" s="201"/>
      <c r="H34" s="25" t="s">
        <v>165</v>
      </c>
      <c r="I34" s="241">
        <f t="shared" ref="I34:N34" si="12">SUM(I35:I41)</f>
        <v>880000</v>
      </c>
      <c r="J34" s="241">
        <f t="shared" si="12"/>
        <v>880000</v>
      </c>
      <c r="K34" s="514">
        <f t="shared" si="12"/>
        <v>729392</v>
      </c>
      <c r="L34" s="492">
        <f t="shared" si="12"/>
        <v>0</v>
      </c>
      <c r="M34" s="158">
        <f t="shared" si="12"/>
        <v>0</v>
      </c>
      <c r="N34" s="833">
        <f t="shared" si="12"/>
        <v>0</v>
      </c>
      <c r="O34" s="886">
        <f t="shared" si="1"/>
        <v>0</v>
      </c>
    </row>
    <row r="35" spans="1:19" s="54" customFormat="1" ht="12.95" customHeight="1">
      <c r="B35" s="55"/>
      <c r="C35" s="13"/>
      <c r="D35" s="13"/>
      <c r="E35" s="13"/>
      <c r="F35" s="185">
        <v>614100</v>
      </c>
      <c r="G35" s="201" t="s">
        <v>499</v>
      </c>
      <c r="H35" s="439" t="s">
        <v>196</v>
      </c>
      <c r="I35" s="242">
        <v>300000</v>
      </c>
      <c r="J35" s="242">
        <v>300000</v>
      </c>
      <c r="K35" s="515">
        <v>225000</v>
      </c>
      <c r="L35" s="366"/>
      <c r="M35" s="227"/>
      <c r="N35" s="832">
        <f t="shared" ref="N35:N41" si="13">SUM(L35:M35)</f>
        <v>0</v>
      </c>
      <c r="O35" s="887">
        <f t="shared" si="1"/>
        <v>0</v>
      </c>
    </row>
    <row r="36" spans="1:19" s="84" customFormat="1" ht="12.95" customHeight="1">
      <c r="B36" s="82"/>
      <c r="C36" s="83"/>
      <c r="D36" s="83"/>
      <c r="E36" s="83"/>
      <c r="F36" s="477">
        <v>614200</v>
      </c>
      <c r="G36" s="201" t="s">
        <v>500</v>
      </c>
      <c r="H36" s="440" t="s">
        <v>486</v>
      </c>
      <c r="I36" s="403">
        <v>290000</v>
      </c>
      <c r="J36" s="403">
        <v>290000</v>
      </c>
      <c r="K36" s="516">
        <v>289800</v>
      </c>
      <c r="L36" s="508"/>
      <c r="M36" s="251"/>
      <c r="N36" s="832">
        <f t="shared" si="13"/>
        <v>0</v>
      </c>
      <c r="O36" s="887">
        <f t="shared" si="1"/>
        <v>0</v>
      </c>
      <c r="S36" s="85"/>
    </row>
    <row r="37" spans="1:19" ht="12.95" customHeight="1">
      <c r="B37" s="10"/>
      <c r="C37" s="11"/>
      <c r="D37" s="11"/>
      <c r="E37" s="168"/>
      <c r="F37" s="185">
        <v>614300</v>
      </c>
      <c r="G37" s="201" t="s">
        <v>501</v>
      </c>
      <c r="H37" s="551" t="s">
        <v>808</v>
      </c>
      <c r="I37" s="242">
        <v>70000</v>
      </c>
      <c r="J37" s="242">
        <v>70000</v>
      </c>
      <c r="K37" s="515">
        <v>70000</v>
      </c>
      <c r="L37" s="367"/>
      <c r="M37" s="229"/>
      <c r="N37" s="832">
        <f t="shared" si="13"/>
        <v>0</v>
      </c>
      <c r="O37" s="887">
        <f t="shared" si="1"/>
        <v>0</v>
      </c>
    </row>
    <row r="38" spans="1:19" ht="12.95" customHeight="1">
      <c r="B38" s="10"/>
      <c r="C38" s="11"/>
      <c r="D38" s="11"/>
      <c r="E38" s="168"/>
      <c r="F38" s="185">
        <v>614300</v>
      </c>
      <c r="G38" s="201" t="s">
        <v>502</v>
      </c>
      <c r="H38" s="441" t="s">
        <v>174</v>
      </c>
      <c r="I38" s="242">
        <v>30000</v>
      </c>
      <c r="J38" s="242">
        <v>30000</v>
      </c>
      <c r="K38" s="515">
        <v>25000</v>
      </c>
      <c r="L38" s="367"/>
      <c r="M38" s="229"/>
      <c r="N38" s="832">
        <f t="shared" si="13"/>
        <v>0</v>
      </c>
      <c r="O38" s="887">
        <f t="shared" si="1"/>
        <v>0</v>
      </c>
    </row>
    <row r="39" spans="1:19" ht="12.95" customHeight="1">
      <c r="B39" s="10"/>
      <c r="C39" s="11"/>
      <c r="D39" s="11"/>
      <c r="E39" s="168"/>
      <c r="F39" s="185">
        <v>614300</v>
      </c>
      <c r="G39" s="201" t="s">
        <v>503</v>
      </c>
      <c r="H39" s="441" t="s">
        <v>176</v>
      </c>
      <c r="I39" s="242">
        <v>35000</v>
      </c>
      <c r="J39" s="242">
        <v>35000</v>
      </c>
      <c r="K39" s="515">
        <v>26252</v>
      </c>
      <c r="L39" s="367"/>
      <c r="M39" s="229"/>
      <c r="N39" s="832">
        <f t="shared" si="13"/>
        <v>0</v>
      </c>
      <c r="O39" s="887">
        <f t="shared" si="1"/>
        <v>0</v>
      </c>
    </row>
    <row r="40" spans="1:19" ht="12.95" customHeight="1">
      <c r="B40" s="10"/>
      <c r="C40" s="11"/>
      <c r="D40" s="11"/>
      <c r="E40" s="168"/>
      <c r="F40" s="182">
        <v>614300</v>
      </c>
      <c r="G40" s="201" t="s">
        <v>504</v>
      </c>
      <c r="H40" s="441" t="s">
        <v>484</v>
      </c>
      <c r="I40" s="242">
        <v>15000</v>
      </c>
      <c r="J40" s="242">
        <v>15000</v>
      </c>
      <c r="K40" s="515">
        <v>0</v>
      </c>
      <c r="L40" s="367"/>
      <c r="M40" s="229"/>
      <c r="N40" s="832">
        <f t="shared" si="13"/>
        <v>0</v>
      </c>
      <c r="O40" s="887">
        <f t="shared" si="1"/>
        <v>0</v>
      </c>
    </row>
    <row r="41" spans="1:19" ht="12.95" customHeight="1">
      <c r="B41" s="10"/>
      <c r="C41" s="11"/>
      <c r="D41" s="11"/>
      <c r="E41" s="168"/>
      <c r="F41" s="182">
        <v>614300</v>
      </c>
      <c r="G41" s="201" t="s">
        <v>775</v>
      </c>
      <c r="H41" s="445" t="s">
        <v>807</v>
      </c>
      <c r="I41" s="242">
        <v>140000</v>
      </c>
      <c r="J41" s="242">
        <v>140000</v>
      </c>
      <c r="K41" s="515">
        <v>93340</v>
      </c>
      <c r="L41" s="367"/>
      <c r="M41" s="229"/>
      <c r="N41" s="832">
        <f t="shared" si="13"/>
        <v>0</v>
      </c>
      <c r="O41" s="887">
        <f t="shared" si="1"/>
        <v>0</v>
      </c>
    </row>
    <row r="42" spans="1:19" ht="8.1" customHeight="1">
      <c r="B42" s="10"/>
      <c r="C42" s="11"/>
      <c r="D42" s="11"/>
      <c r="E42" s="168"/>
      <c r="F42" s="182"/>
      <c r="G42" s="201"/>
      <c r="H42" s="441"/>
      <c r="I42" s="242"/>
      <c r="J42" s="242"/>
      <c r="K42" s="515"/>
      <c r="L42" s="367"/>
      <c r="M42" s="159"/>
      <c r="N42" s="832"/>
      <c r="O42" s="887" t="str">
        <f t="shared" si="1"/>
        <v/>
      </c>
    </row>
    <row r="43" spans="1:19" ht="12.95" customHeight="1">
      <c r="B43" s="10"/>
      <c r="C43" s="11"/>
      <c r="D43" s="11"/>
      <c r="E43" s="168"/>
      <c r="F43" s="181">
        <v>615000</v>
      </c>
      <c r="G43" s="201"/>
      <c r="H43" s="25" t="s">
        <v>87</v>
      </c>
      <c r="I43" s="241">
        <f t="shared" ref="I43:L43" si="14">I44</f>
        <v>300000</v>
      </c>
      <c r="J43" s="241">
        <f t="shared" si="14"/>
        <v>230000</v>
      </c>
      <c r="K43" s="514">
        <f t="shared" si="14"/>
        <v>0</v>
      </c>
      <c r="L43" s="492">
        <f t="shared" si="14"/>
        <v>0</v>
      </c>
      <c r="M43" s="158">
        <f>M44</f>
        <v>0</v>
      </c>
      <c r="N43" s="833">
        <f>N44</f>
        <v>0</v>
      </c>
      <c r="O43" s="886">
        <f t="shared" si="1"/>
        <v>0</v>
      </c>
    </row>
    <row r="44" spans="1:19" ht="12.95" customHeight="1">
      <c r="B44" s="10"/>
      <c r="C44" s="11"/>
      <c r="D44" s="11"/>
      <c r="E44" s="168"/>
      <c r="F44" s="182">
        <v>615100</v>
      </c>
      <c r="G44" s="201"/>
      <c r="H44" s="437" t="s">
        <v>843</v>
      </c>
      <c r="I44" s="242">
        <v>300000</v>
      </c>
      <c r="J44" s="242">
        <v>230000</v>
      </c>
      <c r="K44" s="515">
        <v>0</v>
      </c>
      <c r="L44" s="366"/>
      <c r="M44" s="159"/>
      <c r="N44" s="832">
        <f>SUM(L44:M44)</f>
        <v>0</v>
      </c>
      <c r="O44" s="887">
        <f t="shared" si="1"/>
        <v>0</v>
      </c>
    </row>
    <row r="45" spans="1:19" ht="8.1" customHeight="1">
      <c r="B45" s="10"/>
      <c r="C45" s="11"/>
      <c r="D45" s="11"/>
      <c r="E45" s="168"/>
      <c r="F45" s="182"/>
      <c r="G45" s="201"/>
      <c r="H45" s="438"/>
      <c r="I45" s="240"/>
      <c r="J45" s="240"/>
      <c r="K45" s="513"/>
      <c r="L45" s="364"/>
      <c r="M45" s="156"/>
      <c r="N45" s="832"/>
      <c r="O45" s="887" t="str">
        <f t="shared" si="1"/>
        <v/>
      </c>
    </row>
    <row r="46" spans="1:19" ht="12.95" customHeight="1">
      <c r="B46" s="12"/>
      <c r="C46" s="8"/>
      <c r="D46" s="8"/>
      <c r="E46" s="8"/>
      <c r="F46" s="181">
        <v>821000</v>
      </c>
      <c r="G46" s="201"/>
      <c r="H46" s="25" t="s">
        <v>88</v>
      </c>
      <c r="I46" s="241">
        <f t="shared" ref="I46:L46" si="15">SUM(I47:I49)</f>
        <v>110000</v>
      </c>
      <c r="J46" s="241">
        <f t="shared" si="15"/>
        <v>100000</v>
      </c>
      <c r="K46" s="514">
        <f t="shared" si="15"/>
        <v>0</v>
      </c>
      <c r="L46" s="492">
        <f t="shared" si="15"/>
        <v>0</v>
      </c>
      <c r="M46" s="175">
        <f>SUM(M47:M49)</f>
        <v>0</v>
      </c>
      <c r="N46" s="789">
        <f>SUM(N47:N49)</f>
        <v>0</v>
      </c>
      <c r="O46" s="886">
        <f t="shared" si="1"/>
        <v>0</v>
      </c>
    </row>
    <row r="47" spans="1:19" ht="12.95" customHeight="1">
      <c r="B47" s="10"/>
      <c r="C47" s="11"/>
      <c r="D47" s="11"/>
      <c r="E47" s="168"/>
      <c r="F47" s="182">
        <v>821200</v>
      </c>
      <c r="G47" s="201"/>
      <c r="H47" s="24" t="s">
        <v>89</v>
      </c>
      <c r="I47" s="240">
        <v>80000</v>
      </c>
      <c r="J47" s="240">
        <v>87020</v>
      </c>
      <c r="K47" s="513">
        <v>0</v>
      </c>
      <c r="L47" s="364"/>
      <c r="M47" s="162"/>
      <c r="N47" s="832">
        <f t="shared" ref="N47:N49" si="16">SUM(L47:M47)</f>
        <v>0</v>
      </c>
      <c r="O47" s="887">
        <f t="shared" si="1"/>
        <v>0</v>
      </c>
    </row>
    <row r="48" spans="1:19" ht="12.95" customHeight="1">
      <c r="B48" s="10"/>
      <c r="C48" s="11"/>
      <c r="D48" s="11"/>
      <c r="E48" s="168"/>
      <c r="F48" s="182">
        <v>821300</v>
      </c>
      <c r="G48" s="201"/>
      <c r="H48" s="24" t="s">
        <v>90</v>
      </c>
      <c r="I48" s="242">
        <v>30000</v>
      </c>
      <c r="J48" s="242">
        <v>12980</v>
      </c>
      <c r="K48" s="515">
        <v>0</v>
      </c>
      <c r="L48" s="367"/>
      <c r="M48" s="176"/>
      <c r="N48" s="832">
        <f t="shared" si="16"/>
        <v>0</v>
      </c>
      <c r="O48" s="887">
        <f t="shared" si="1"/>
        <v>0</v>
      </c>
    </row>
    <row r="49" spans="1:15" ht="12.95" customHeight="1">
      <c r="B49" s="10"/>
      <c r="C49" s="11"/>
      <c r="D49" s="11"/>
      <c r="E49" s="168"/>
      <c r="F49" s="182">
        <v>821500</v>
      </c>
      <c r="G49" s="201"/>
      <c r="H49" s="24" t="s">
        <v>427</v>
      </c>
      <c r="I49" s="235">
        <v>0</v>
      </c>
      <c r="J49" s="235">
        <v>0</v>
      </c>
      <c r="K49" s="359">
        <v>0</v>
      </c>
      <c r="L49" s="368"/>
      <c r="M49" s="72"/>
      <c r="N49" s="832">
        <f t="shared" si="16"/>
        <v>0</v>
      </c>
      <c r="O49" s="887" t="str">
        <f t="shared" si="1"/>
        <v/>
      </c>
    </row>
    <row r="50" spans="1:15" s="1" customFormat="1" ht="8.1" customHeight="1">
      <c r="A50" s="163"/>
      <c r="B50" s="10"/>
      <c r="C50" s="11"/>
      <c r="D50" s="11"/>
      <c r="E50" s="168"/>
      <c r="F50" s="182"/>
      <c r="G50" s="201"/>
      <c r="H50" s="24"/>
      <c r="I50" s="237"/>
      <c r="J50" s="237"/>
      <c r="K50" s="517"/>
      <c r="L50" s="492"/>
      <c r="M50" s="170"/>
      <c r="N50" s="789"/>
      <c r="O50" s="887" t="str">
        <f t="shared" si="1"/>
        <v/>
      </c>
    </row>
    <row r="51" spans="1:15" ht="12.95" customHeight="1">
      <c r="B51" s="12"/>
      <c r="C51" s="8"/>
      <c r="D51" s="8"/>
      <c r="E51" s="8"/>
      <c r="F51" s="181"/>
      <c r="G51" s="201"/>
      <c r="H51" s="25" t="s">
        <v>91</v>
      </c>
      <c r="I51" s="237">
        <v>7</v>
      </c>
      <c r="J51" s="237">
        <v>7</v>
      </c>
      <c r="K51" s="517">
        <v>7</v>
      </c>
      <c r="L51" s="492"/>
      <c r="M51" s="170"/>
      <c r="N51" s="789"/>
      <c r="O51" s="887"/>
    </row>
    <row r="52" spans="1:15" ht="12.95" customHeight="1">
      <c r="B52" s="12"/>
      <c r="C52" s="8"/>
      <c r="D52" s="8"/>
      <c r="E52" s="8"/>
      <c r="F52" s="181"/>
      <c r="G52" s="201"/>
      <c r="H52" s="25" t="s">
        <v>105</v>
      </c>
      <c r="I52" s="170">
        <f t="shared" ref="I52:N52" si="17">I8+I13+I18+I21+I34+I43+I46</f>
        <v>2787630</v>
      </c>
      <c r="J52" s="374">
        <f t="shared" si="17"/>
        <v>2707630</v>
      </c>
      <c r="K52" s="363">
        <f t="shared" si="17"/>
        <v>1799801</v>
      </c>
      <c r="L52" s="377">
        <f t="shared" si="17"/>
        <v>0</v>
      </c>
      <c r="M52" s="170">
        <f t="shared" si="17"/>
        <v>0</v>
      </c>
      <c r="N52" s="789">
        <f t="shared" si="17"/>
        <v>0</v>
      </c>
      <c r="O52" s="886">
        <f>IF(J52=0,"",N52/J52*100)</f>
        <v>0</v>
      </c>
    </row>
    <row r="53" spans="1:15" ht="12.95" customHeight="1">
      <c r="B53" s="12"/>
      <c r="C53" s="8"/>
      <c r="D53" s="8"/>
      <c r="E53" s="8"/>
      <c r="F53" s="181"/>
      <c r="G53" s="201"/>
      <c r="H53" s="8" t="s">
        <v>92</v>
      </c>
      <c r="I53" s="11"/>
      <c r="J53" s="24"/>
      <c r="K53" s="518"/>
      <c r="L53" s="167"/>
      <c r="M53" s="168"/>
      <c r="N53" s="835"/>
      <c r="O53" s="889"/>
    </row>
    <row r="54" spans="1:15" ht="12.95" customHeight="1">
      <c r="B54" s="12"/>
      <c r="C54" s="8"/>
      <c r="D54" s="8"/>
      <c r="E54" s="8"/>
      <c r="F54" s="181"/>
      <c r="G54" s="201"/>
      <c r="H54" s="8" t="s">
        <v>93</v>
      </c>
      <c r="I54" s="11"/>
      <c r="J54" s="24"/>
      <c r="K54" s="518"/>
      <c r="L54" s="167"/>
      <c r="M54" s="168"/>
      <c r="N54" s="835"/>
      <c r="O54" s="889"/>
    </row>
    <row r="55" spans="1:15" s="1" customFormat="1" ht="8.1" customHeight="1" thickBot="1">
      <c r="A55" s="163"/>
      <c r="B55" s="16"/>
      <c r="C55" s="17"/>
      <c r="D55" s="17"/>
      <c r="E55" s="17"/>
      <c r="F55" s="183"/>
      <c r="G55" s="202"/>
      <c r="H55" s="17"/>
      <c r="I55" s="17"/>
      <c r="J55" s="27"/>
      <c r="K55" s="519"/>
      <c r="L55" s="16"/>
      <c r="M55" s="17"/>
      <c r="N55" s="815"/>
      <c r="O55" s="888"/>
    </row>
    <row r="56" spans="1:15" s="1" customFormat="1" ht="15.95" customHeight="1">
      <c r="A56" s="163"/>
      <c r="B56" s="9"/>
      <c r="C56" s="9"/>
      <c r="D56" s="9"/>
      <c r="E56" s="166"/>
      <c r="F56" s="184"/>
      <c r="G56" s="203"/>
      <c r="H56" s="9"/>
      <c r="I56" s="9"/>
      <c r="J56" s="9"/>
      <c r="K56" s="166"/>
      <c r="L56" s="166"/>
      <c r="M56" s="166"/>
      <c r="N56" s="258"/>
      <c r="O56" s="219"/>
    </row>
    <row r="57" spans="1:15" s="1" customFormat="1" ht="15.95" customHeight="1">
      <c r="A57" s="163"/>
      <c r="B57" s="9"/>
      <c r="C57" s="9"/>
      <c r="D57" s="9"/>
      <c r="E57" s="166"/>
      <c r="F57" s="184"/>
      <c r="G57" s="203"/>
      <c r="H57" s="9"/>
      <c r="I57" s="9"/>
      <c r="J57" s="9"/>
      <c r="K57" s="166"/>
      <c r="L57" s="408"/>
      <c r="M57" s="166"/>
      <c r="N57" s="258"/>
      <c r="O57" s="219"/>
    </row>
    <row r="58" spans="1:15" s="1" customFormat="1" ht="12.95" customHeight="1">
      <c r="A58" s="163"/>
      <c r="B58" s="9"/>
      <c r="C58" s="9"/>
      <c r="D58" s="9"/>
      <c r="E58" s="166"/>
      <c r="F58" s="184"/>
      <c r="G58" s="203"/>
      <c r="H58" s="9"/>
      <c r="I58" s="9"/>
      <c r="J58" s="9"/>
      <c r="K58" s="166"/>
      <c r="L58" s="166"/>
      <c r="M58" s="166"/>
      <c r="N58" s="258"/>
      <c r="O58" s="219"/>
    </row>
    <row r="59" spans="1:15" ht="12.95" customHeight="1">
      <c r="F59" s="184"/>
      <c r="G59" s="203"/>
      <c r="N59" s="258"/>
    </row>
    <row r="60" spans="1:15" ht="14.25">
      <c r="F60" s="184"/>
      <c r="G60" s="203"/>
      <c r="N60" s="258"/>
    </row>
    <row r="61" spans="1:15" ht="14.25">
      <c r="F61" s="184"/>
      <c r="G61" s="203"/>
      <c r="N61" s="258"/>
    </row>
    <row r="62" spans="1:15" ht="14.25">
      <c r="F62" s="184"/>
      <c r="G62" s="203"/>
      <c r="N62" s="258"/>
    </row>
    <row r="63" spans="1:15" ht="14.25">
      <c r="F63" s="184"/>
      <c r="G63" s="203"/>
      <c r="N63" s="258"/>
    </row>
    <row r="64" spans="1:15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184"/>
      <c r="N70" s="258"/>
    </row>
    <row r="71" spans="6:14" ht="14.25">
      <c r="F71" s="184"/>
      <c r="G71" s="184"/>
      <c r="N71" s="258"/>
    </row>
    <row r="72" spans="6:14" ht="14.25">
      <c r="F72" s="184"/>
      <c r="G72" s="184"/>
      <c r="N72" s="258"/>
    </row>
    <row r="73" spans="6:14" ht="14.25">
      <c r="F73" s="184"/>
      <c r="G73" s="184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>
      <c r="G87" s="184"/>
    </row>
    <row r="88" spans="6:14">
      <c r="G88" s="184"/>
    </row>
    <row r="89" spans="6:14">
      <c r="G89" s="184"/>
    </row>
    <row r="90" spans="6:14">
      <c r="G90" s="184"/>
    </row>
    <row r="91" spans="6:14">
      <c r="G91" s="184"/>
    </row>
    <row r="92" spans="6:14">
      <c r="G92" s="184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Q22" sqref="Q22"/>
    </sheetView>
  </sheetViews>
  <sheetFormatPr defaultColWidth="9.140625" defaultRowHeight="12.75"/>
  <cols>
    <col min="1" max="1" width="9.140625" style="166"/>
    <col min="2" max="2" width="4.7109375" style="9" customWidth="1"/>
    <col min="3" max="3" width="5.140625" style="9" customWidth="1"/>
    <col min="4" max="4" width="5" style="9" customWidth="1"/>
    <col min="5" max="5" width="5" style="166" customWidth="1"/>
    <col min="6" max="6" width="8.7109375" style="18" customWidth="1"/>
    <col min="7" max="7" width="8.7109375" style="171" customWidth="1"/>
    <col min="8" max="8" width="50.7109375" style="9" customWidth="1"/>
    <col min="9" max="11" width="14.7109375" style="9" customWidth="1"/>
    <col min="12" max="13" width="14.7109375" style="166" customWidth="1"/>
    <col min="14" max="14" width="15.7109375" style="9" customWidth="1"/>
    <col min="15" max="15" width="7.7109375" style="219" customWidth="1"/>
    <col min="16" max="16384" width="9.140625" style="9"/>
  </cols>
  <sheetData>
    <row r="1" spans="1:18" ht="13.5" thickBot="1"/>
    <row r="2" spans="1:18" s="249" customFormat="1" ht="20.100000000000001" customHeight="1" thickTop="1" thickBot="1">
      <c r="B2" s="963" t="s">
        <v>673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250"/>
    </row>
    <row r="3" spans="1:18" s="1" customFormat="1" ht="8.1" customHeight="1" thickTop="1" thickBot="1">
      <c r="A3" s="163"/>
      <c r="E3" s="163"/>
      <c r="F3" s="2"/>
      <c r="G3" s="164"/>
      <c r="H3" s="966"/>
      <c r="I3" s="966"/>
      <c r="J3" s="143"/>
      <c r="K3" s="143"/>
      <c r="L3" s="76"/>
      <c r="M3" s="76"/>
      <c r="N3" s="76"/>
      <c r="O3" s="213"/>
    </row>
    <row r="4" spans="1:18" s="1" customFormat="1" ht="39" customHeight="1">
      <c r="A4" s="163"/>
      <c r="B4" s="970" t="s">
        <v>76</v>
      </c>
      <c r="C4" s="993" t="s">
        <v>77</v>
      </c>
      <c r="D4" s="994" t="s">
        <v>102</v>
      </c>
      <c r="E4" s="989" t="s">
        <v>705</v>
      </c>
      <c r="F4" s="985" t="s">
        <v>469</v>
      </c>
      <c r="G4" s="975" t="s">
        <v>497</v>
      </c>
      <c r="H4" s="977" t="s">
        <v>78</v>
      </c>
      <c r="I4" s="986" t="s">
        <v>735</v>
      </c>
      <c r="J4" s="995" t="s">
        <v>736</v>
      </c>
      <c r="K4" s="996" t="s">
        <v>733</v>
      </c>
      <c r="L4" s="991" t="s">
        <v>734</v>
      </c>
      <c r="M4" s="968"/>
      <c r="N4" s="992"/>
      <c r="O4" s="990" t="s">
        <v>737</v>
      </c>
      <c r="Q4" s="61"/>
    </row>
    <row r="5" spans="1:18" s="163" customFormat="1" ht="27" customHeight="1">
      <c r="B5" s="971"/>
      <c r="C5" s="976"/>
      <c r="D5" s="976"/>
      <c r="E5" s="976"/>
      <c r="F5" s="978"/>
      <c r="G5" s="976"/>
      <c r="H5" s="978"/>
      <c r="I5" s="978"/>
      <c r="J5" s="978"/>
      <c r="K5" s="988"/>
      <c r="L5" s="380" t="s">
        <v>530</v>
      </c>
      <c r="M5" s="247" t="s">
        <v>531</v>
      </c>
      <c r="N5" s="252" t="s">
        <v>320</v>
      </c>
      <c r="O5" s="962"/>
    </row>
    <row r="6" spans="1:18" s="2" customFormat="1" ht="12.95" customHeight="1">
      <c r="A6" s="164"/>
      <c r="B6" s="335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336">
        <v>10</v>
      </c>
      <c r="L6" s="335">
        <v>11</v>
      </c>
      <c r="M6" s="200">
        <v>12</v>
      </c>
      <c r="N6" s="350" t="s">
        <v>707</v>
      </c>
      <c r="O6" s="337">
        <v>14</v>
      </c>
    </row>
    <row r="7" spans="1:18" s="2" customFormat="1" ht="12.95" customHeight="1">
      <c r="A7" s="164"/>
      <c r="B7" s="6" t="s">
        <v>110</v>
      </c>
      <c r="C7" s="7" t="s">
        <v>79</v>
      </c>
      <c r="D7" s="7" t="s">
        <v>108</v>
      </c>
      <c r="E7" s="422" t="s">
        <v>706</v>
      </c>
      <c r="F7" s="5"/>
      <c r="G7" s="165"/>
      <c r="H7" s="5"/>
      <c r="I7" s="5"/>
      <c r="J7" s="5"/>
      <c r="K7" s="373"/>
      <c r="L7" s="4"/>
      <c r="M7" s="165"/>
      <c r="N7" s="253"/>
      <c r="O7" s="214"/>
    </row>
    <row r="8" spans="1:18" s="1" customFormat="1" ht="12.95" customHeight="1">
      <c r="A8" s="163"/>
      <c r="B8" s="12"/>
      <c r="C8" s="8"/>
      <c r="D8" s="8"/>
      <c r="E8" s="8"/>
      <c r="F8" s="181">
        <v>611000</v>
      </c>
      <c r="G8" s="200"/>
      <c r="H8" s="8" t="s">
        <v>140</v>
      </c>
      <c r="I8" s="232">
        <f t="shared" ref="I8:J8" si="0">SUM(I9:I12)</f>
        <v>0</v>
      </c>
      <c r="J8" s="231">
        <f t="shared" si="0"/>
        <v>0</v>
      </c>
      <c r="K8" s="360">
        <v>0</v>
      </c>
      <c r="L8" s="231">
        <f t="shared" ref="L8" si="1">SUM(L9:L12)</f>
        <v>0</v>
      </c>
      <c r="M8" s="127">
        <f>SUM(M9:M12)</f>
        <v>0</v>
      </c>
      <c r="N8" s="254">
        <f>SUM(N9:N12)</f>
        <v>0</v>
      </c>
      <c r="O8" s="215" t="str">
        <f>IF(J8=0,"",N8/J8*100)</f>
        <v/>
      </c>
    </row>
    <row r="9" spans="1:18" ht="12.95" customHeight="1">
      <c r="B9" s="10"/>
      <c r="C9" s="11"/>
      <c r="D9" s="11"/>
      <c r="E9" s="168"/>
      <c r="F9" s="182">
        <v>611100</v>
      </c>
      <c r="G9" s="201"/>
      <c r="H9" s="20" t="s">
        <v>161</v>
      </c>
      <c r="I9" s="235">
        <v>0</v>
      </c>
      <c r="J9" s="230">
        <v>0</v>
      </c>
      <c r="K9" s="359">
        <v>0</v>
      </c>
      <c r="L9" s="230">
        <v>0</v>
      </c>
      <c r="M9" s="126">
        <v>0</v>
      </c>
      <c r="N9" s="255">
        <f>SUM(L9:M9)</f>
        <v>0</v>
      </c>
      <c r="O9" s="216" t="str">
        <f>IF(J9=0,"",N9/J9*100)</f>
        <v/>
      </c>
    </row>
    <row r="10" spans="1:18" ht="12.95" customHeight="1">
      <c r="B10" s="10"/>
      <c r="C10" s="11"/>
      <c r="D10" s="11"/>
      <c r="E10" s="168"/>
      <c r="F10" s="182">
        <v>611200</v>
      </c>
      <c r="G10" s="201"/>
      <c r="H10" s="11" t="s">
        <v>162</v>
      </c>
      <c r="I10" s="235">
        <v>0</v>
      </c>
      <c r="J10" s="230">
        <v>0</v>
      </c>
      <c r="K10" s="359">
        <v>0</v>
      </c>
      <c r="L10" s="230">
        <v>0</v>
      </c>
      <c r="M10" s="126">
        <v>0</v>
      </c>
      <c r="N10" s="255">
        <f t="shared" ref="N10:N11" si="2">SUM(L10:M10)</f>
        <v>0</v>
      </c>
      <c r="O10" s="216" t="str">
        <f t="shared" ref="O10:O33" si="3">IF(J10=0,"",N10/J10*100)</f>
        <v/>
      </c>
    </row>
    <row r="11" spans="1:18" ht="12.95" customHeight="1">
      <c r="B11" s="10"/>
      <c r="C11" s="11"/>
      <c r="D11" s="11"/>
      <c r="E11" s="168"/>
      <c r="F11" s="182">
        <v>611200</v>
      </c>
      <c r="G11" s="201"/>
      <c r="H11" s="122" t="s">
        <v>435</v>
      </c>
      <c r="I11" s="235">
        <f t="shared" ref="I11" si="4">SUM(G11:H11)</f>
        <v>0</v>
      </c>
      <c r="J11" s="230">
        <v>0</v>
      </c>
      <c r="K11" s="359">
        <v>0</v>
      </c>
      <c r="L11" s="230">
        <v>0</v>
      </c>
      <c r="M11" s="126">
        <v>0</v>
      </c>
      <c r="N11" s="255">
        <f t="shared" si="2"/>
        <v>0</v>
      </c>
      <c r="O11" s="216" t="str">
        <f t="shared" si="3"/>
        <v/>
      </c>
      <c r="Q11" s="50"/>
    </row>
    <row r="12" spans="1:18" ht="8.1" customHeight="1">
      <c r="B12" s="10"/>
      <c r="C12" s="11"/>
      <c r="D12" s="11"/>
      <c r="E12" s="168"/>
      <c r="F12" s="182"/>
      <c r="G12" s="201"/>
      <c r="H12" s="20"/>
      <c r="I12" s="235"/>
      <c r="J12" s="230"/>
      <c r="K12" s="359"/>
      <c r="L12" s="230"/>
      <c r="M12" s="126"/>
      <c r="N12" s="255"/>
      <c r="O12" s="216" t="str">
        <f t="shared" si="3"/>
        <v/>
      </c>
    </row>
    <row r="13" spans="1:18" s="1" customFormat="1" ht="12.95" customHeight="1">
      <c r="A13" s="163"/>
      <c r="B13" s="12"/>
      <c r="C13" s="8"/>
      <c r="D13" s="8"/>
      <c r="E13" s="8"/>
      <c r="F13" s="181">
        <v>612000</v>
      </c>
      <c r="G13" s="200"/>
      <c r="H13" s="8" t="s">
        <v>139</v>
      </c>
      <c r="I13" s="232">
        <f t="shared" ref="I13:L13" si="5">I14</f>
        <v>0</v>
      </c>
      <c r="J13" s="231">
        <f t="shared" si="5"/>
        <v>0</v>
      </c>
      <c r="K13" s="360">
        <v>0</v>
      </c>
      <c r="L13" s="231">
        <f t="shared" si="5"/>
        <v>0</v>
      </c>
      <c r="M13" s="127">
        <f>M14</f>
        <v>0</v>
      </c>
      <c r="N13" s="254">
        <f>N14</f>
        <v>0</v>
      </c>
      <c r="O13" s="215" t="str">
        <f t="shared" si="3"/>
        <v/>
      </c>
      <c r="R13" s="54"/>
    </row>
    <row r="14" spans="1:18" ht="12.95" customHeight="1">
      <c r="B14" s="10"/>
      <c r="C14" s="11"/>
      <c r="D14" s="11"/>
      <c r="E14" s="168"/>
      <c r="F14" s="182">
        <v>612100</v>
      </c>
      <c r="G14" s="201"/>
      <c r="H14" s="13" t="s">
        <v>81</v>
      </c>
      <c r="I14" s="235">
        <v>0</v>
      </c>
      <c r="J14" s="230">
        <v>0</v>
      </c>
      <c r="K14" s="359">
        <v>0</v>
      </c>
      <c r="L14" s="230">
        <v>0</v>
      </c>
      <c r="M14" s="126">
        <v>0</v>
      </c>
      <c r="N14" s="255">
        <f>SUM(L14:M14)</f>
        <v>0</v>
      </c>
      <c r="O14" s="216" t="str">
        <f t="shared" si="3"/>
        <v/>
      </c>
      <c r="R14" s="45"/>
    </row>
    <row r="15" spans="1:18" ht="8.1" customHeight="1">
      <c r="B15" s="10"/>
      <c r="C15" s="11"/>
      <c r="D15" s="11"/>
      <c r="E15" s="168"/>
      <c r="F15" s="182"/>
      <c r="G15" s="201"/>
      <c r="H15" s="11"/>
      <c r="I15" s="235"/>
      <c r="J15" s="225"/>
      <c r="K15" s="359"/>
      <c r="L15" s="225"/>
      <c r="M15" s="161"/>
      <c r="N15" s="256"/>
      <c r="O15" s="216" t="str">
        <f t="shared" si="3"/>
        <v/>
      </c>
    </row>
    <row r="16" spans="1:18" s="1" customFormat="1" ht="12.95" customHeight="1">
      <c r="A16" s="163"/>
      <c r="B16" s="12"/>
      <c r="C16" s="8"/>
      <c r="D16" s="8"/>
      <c r="E16" s="8"/>
      <c r="F16" s="181">
        <v>613000</v>
      </c>
      <c r="G16" s="200"/>
      <c r="H16" s="8" t="s">
        <v>141</v>
      </c>
      <c r="I16" s="232">
        <f t="shared" ref="I16:J16" si="6">SUM(I17:I26)</f>
        <v>0</v>
      </c>
      <c r="J16" s="226">
        <f t="shared" si="6"/>
        <v>0</v>
      </c>
      <c r="K16" s="360">
        <v>0</v>
      </c>
      <c r="L16" s="226">
        <f t="shared" ref="L16" si="7">SUM(L17:L26)</f>
        <v>0</v>
      </c>
      <c r="M16" s="174">
        <f>SUM(M17:M26)</f>
        <v>0</v>
      </c>
      <c r="N16" s="257">
        <f>SUM(N17:N26)</f>
        <v>0</v>
      </c>
      <c r="O16" s="215" t="str">
        <f t="shared" si="3"/>
        <v/>
      </c>
    </row>
    <row r="17" spans="1:16" ht="12.95" customHeight="1">
      <c r="B17" s="10"/>
      <c r="C17" s="11"/>
      <c r="D17" s="11"/>
      <c r="E17" s="168"/>
      <c r="F17" s="182">
        <v>613100</v>
      </c>
      <c r="G17" s="201"/>
      <c r="H17" s="11" t="s">
        <v>82</v>
      </c>
      <c r="I17" s="235">
        <v>0</v>
      </c>
      <c r="J17" s="225">
        <v>0</v>
      </c>
      <c r="K17" s="359">
        <v>0</v>
      </c>
      <c r="L17" s="225">
        <v>0</v>
      </c>
      <c r="M17" s="236">
        <v>0</v>
      </c>
      <c r="N17" s="255">
        <f t="shared" ref="N17:N26" si="8">SUM(L17:M17)</f>
        <v>0</v>
      </c>
      <c r="O17" s="216" t="str">
        <f t="shared" si="3"/>
        <v/>
      </c>
    </row>
    <row r="18" spans="1:16" ht="12.95" customHeight="1">
      <c r="B18" s="10"/>
      <c r="C18" s="11"/>
      <c r="D18" s="11"/>
      <c r="E18" s="168"/>
      <c r="F18" s="182">
        <v>613200</v>
      </c>
      <c r="G18" s="201"/>
      <c r="H18" s="11" t="s">
        <v>83</v>
      </c>
      <c r="I18" s="235">
        <f t="shared" ref="I18:I26" si="9">SUM(G18:H18)</f>
        <v>0</v>
      </c>
      <c r="J18" s="225">
        <v>0</v>
      </c>
      <c r="K18" s="359">
        <v>0</v>
      </c>
      <c r="L18" s="225">
        <v>0</v>
      </c>
      <c r="M18" s="236">
        <v>0</v>
      </c>
      <c r="N18" s="255">
        <f t="shared" si="8"/>
        <v>0</v>
      </c>
      <c r="O18" s="216" t="str">
        <f t="shared" si="3"/>
        <v/>
      </c>
    </row>
    <row r="19" spans="1:16" ht="12.95" customHeight="1">
      <c r="B19" s="10"/>
      <c r="C19" s="11"/>
      <c r="D19" s="11"/>
      <c r="E19" s="168"/>
      <c r="F19" s="182">
        <v>613300</v>
      </c>
      <c r="G19" s="201"/>
      <c r="H19" s="20" t="s">
        <v>163</v>
      </c>
      <c r="I19" s="235">
        <v>0</v>
      </c>
      <c r="J19" s="225">
        <v>0</v>
      </c>
      <c r="K19" s="359">
        <v>0</v>
      </c>
      <c r="L19" s="225">
        <v>0</v>
      </c>
      <c r="M19" s="236">
        <v>0</v>
      </c>
      <c r="N19" s="255">
        <f t="shared" si="8"/>
        <v>0</v>
      </c>
      <c r="O19" s="216" t="str">
        <f t="shared" si="3"/>
        <v/>
      </c>
    </row>
    <row r="20" spans="1:16" ht="12.95" customHeight="1">
      <c r="B20" s="10"/>
      <c r="C20" s="11"/>
      <c r="D20" s="11"/>
      <c r="E20" s="168"/>
      <c r="F20" s="182">
        <v>613400</v>
      </c>
      <c r="G20" s="201"/>
      <c r="H20" s="11" t="s">
        <v>142</v>
      </c>
      <c r="I20" s="235">
        <f t="shared" si="9"/>
        <v>0</v>
      </c>
      <c r="J20" s="225">
        <v>0</v>
      </c>
      <c r="K20" s="359">
        <v>0</v>
      </c>
      <c r="L20" s="225">
        <v>0</v>
      </c>
      <c r="M20" s="236">
        <v>0</v>
      </c>
      <c r="N20" s="255">
        <f t="shared" si="8"/>
        <v>0</v>
      </c>
      <c r="O20" s="216" t="str">
        <f t="shared" si="3"/>
        <v/>
      </c>
    </row>
    <row r="21" spans="1:16" ht="12.95" customHeight="1">
      <c r="B21" s="10"/>
      <c r="C21" s="11"/>
      <c r="D21" s="11"/>
      <c r="E21" s="168"/>
      <c r="F21" s="182">
        <v>613500</v>
      </c>
      <c r="G21" s="201"/>
      <c r="H21" s="11" t="s">
        <v>84</v>
      </c>
      <c r="I21" s="235">
        <f t="shared" si="9"/>
        <v>0</v>
      </c>
      <c r="J21" s="225">
        <v>0</v>
      </c>
      <c r="K21" s="359">
        <v>0</v>
      </c>
      <c r="L21" s="225">
        <v>0</v>
      </c>
      <c r="M21" s="236">
        <v>0</v>
      </c>
      <c r="N21" s="255">
        <f t="shared" si="8"/>
        <v>0</v>
      </c>
      <c r="O21" s="216" t="str">
        <f t="shared" si="3"/>
        <v/>
      </c>
    </row>
    <row r="22" spans="1:16" ht="12.95" customHeight="1">
      <c r="B22" s="10"/>
      <c r="C22" s="11"/>
      <c r="D22" s="11"/>
      <c r="E22" s="168"/>
      <c r="F22" s="182">
        <v>613600</v>
      </c>
      <c r="G22" s="201"/>
      <c r="H22" s="20" t="s">
        <v>164</v>
      </c>
      <c r="I22" s="235">
        <f t="shared" si="9"/>
        <v>0</v>
      </c>
      <c r="J22" s="225">
        <v>0</v>
      </c>
      <c r="K22" s="359">
        <v>0</v>
      </c>
      <c r="L22" s="225">
        <v>0</v>
      </c>
      <c r="M22" s="236">
        <v>0</v>
      </c>
      <c r="N22" s="255">
        <f t="shared" si="8"/>
        <v>0</v>
      </c>
      <c r="O22" s="216" t="str">
        <f t="shared" si="3"/>
        <v/>
      </c>
    </row>
    <row r="23" spans="1:16" ht="12.95" customHeight="1">
      <c r="B23" s="10"/>
      <c r="C23" s="11"/>
      <c r="D23" s="11"/>
      <c r="E23" s="168"/>
      <c r="F23" s="182">
        <v>613700</v>
      </c>
      <c r="G23" s="201"/>
      <c r="H23" s="11" t="s">
        <v>85</v>
      </c>
      <c r="I23" s="235">
        <v>0</v>
      </c>
      <c r="J23" s="225">
        <v>0</v>
      </c>
      <c r="K23" s="359">
        <v>0</v>
      </c>
      <c r="L23" s="225">
        <v>0</v>
      </c>
      <c r="M23" s="236">
        <v>0</v>
      </c>
      <c r="N23" s="255">
        <f t="shared" si="8"/>
        <v>0</v>
      </c>
      <c r="O23" s="216" t="str">
        <f t="shared" si="3"/>
        <v/>
      </c>
    </row>
    <row r="24" spans="1:16" ht="12.95" customHeight="1">
      <c r="B24" s="10"/>
      <c r="C24" s="11"/>
      <c r="D24" s="11"/>
      <c r="E24" s="168"/>
      <c r="F24" s="182">
        <v>613800</v>
      </c>
      <c r="G24" s="201"/>
      <c r="H24" s="11" t="s">
        <v>143</v>
      </c>
      <c r="I24" s="235">
        <f t="shared" si="9"/>
        <v>0</v>
      </c>
      <c r="J24" s="225">
        <v>0</v>
      </c>
      <c r="K24" s="359">
        <v>0</v>
      </c>
      <c r="L24" s="225">
        <v>0</v>
      </c>
      <c r="M24" s="236">
        <v>0</v>
      </c>
      <c r="N24" s="255">
        <f t="shared" si="8"/>
        <v>0</v>
      </c>
      <c r="O24" s="216" t="str">
        <f t="shared" si="3"/>
        <v/>
      </c>
      <c r="P24" s="45"/>
    </row>
    <row r="25" spans="1:16" ht="12.95" customHeight="1">
      <c r="B25" s="10"/>
      <c r="C25" s="11"/>
      <c r="D25" s="11"/>
      <c r="E25" s="168"/>
      <c r="F25" s="182">
        <v>613900</v>
      </c>
      <c r="G25" s="201"/>
      <c r="H25" s="11" t="s">
        <v>144</v>
      </c>
      <c r="I25" s="235">
        <v>0</v>
      </c>
      <c r="J25" s="230">
        <v>0</v>
      </c>
      <c r="K25" s="359">
        <v>0</v>
      </c>
      <c r="L25" s="230">
        <v>0</v>
      </c>
      <c r="M25" s="240">
        <v>0</v>
      </c>
      <c r="N25" s="255">
        <f t="shared" si="8"/>
        <v>0</v>
      </c>
      <c r="O25" s="216" t="str">
        <f t="shared" si="3"/>
        <v/>
      </c>
    </row>
    <row r="26" spans="1:16" ht="12.95" customHeight="1">
      <c r="B26" s="10"/>
      <c r="C26" s="11"/>
      <c r="D26" s="11"/>
      <c r="E26" s="168"/>
      <c r="F26" s="182">
        <v>613900</v>
      </c>
      <c r="G26" s="201"/>
      <c r="H26" s="122" t="s">
        <v>436</v>
      </c>
      <c r="I26" s="235">
        <f t="shared" si="9"/>
        <v>0</v>
      </c>
      <c r="J26" s="225">
        <v>0</v>
      </c>
      <c r="K26" s="359">
        <v>0</v>
      </c>
      <c r="L26" s="225">
        <v>0</v>
      </c>
      <c r="M26" s="236">
        <v>0</v>
      </c>
      <c r="N26" s="255">
        <f t="shared" si="8"/>
        <v>0</v>
      </c>
      <c r="O26" s="216" t="str">
        <f t="shared" si="3"/>
        <v/>
      </c>
    </row>
    <row r="27" spans="1:16" ht="8.1" customHeight="1">
      <c r="B27" s="10"/>
      <c r="C27" s="11"/>
      <c r="D27" s="11"/>
      <c r="E27" s="168"/>
      <c r="F27" s="182"/>
      <c r="G27" s="201"/>
      <c r="H27" s="11"/>
      <c r="I27" s="232"/>
      <c r="J27" s="228"/>
      <c r="K27" s="360"/>
      <c r="L27" s="228"/>
      <c r="M27" s="170"/>
      <c r="N27" s="257"/>
      <c r="O27" s="216" t="str">
        <f t="shared" si="3"/>
        <v/>
      </c>
    </row>
    <row r="28" spans="1:16" s="1" customFormat="1" ht="12.95" customHeight="1">
      <c r="A28" s="163"/>
      <c r="B28" s="12"/>
      <c r="C28" s="8"/>
      <c r="D28" s="8"/>
      <c r="E28" s="421"/>
      <c r="F28" s="192">
        <v>614000</v>
      </c>
      <c r="G28" s="212"/>
      <c r="H28" s="8" t="s">
        <v>165</v>
      </c>
      <c r="I28" s="232">
        <f t="shared" ref="I28:N28" si="10">SUM(I29:I29)</f>
        <v>0</v>
      </c>
      <c r="J28" s="228">
        <f t="shared" si="10"/>
        <v>0</v>
      </c>
      <c r="K28" s="360">
        <f t="shared" si="10"/>
        <v>0</v>
      </c>
      <c r="L28" s="228">
        <f t="shared" si="10"/>
        <v>0</v>
      </c>
      <c r="M28" s="170">
        <f t="shared" si="10"/>
        <v>0</v>
      </c>
      <c r="N28" s="257">
        <f t="shared" si="10"/>
        <v>0</v>
      </c>
      <c r="O28" s="215" t="str">
        <f t="shared" si="3"/>
        <v/>
      </c>
    </row>
    <row r="29" spans="1:16" ht="12.95" customHeight="1">
      <c r="B29" s="10"/>
      <c r="C29" s="11"/>
      <c r="D29" s="24"/>
      <c r="E29" s="24"/>
      <c r="F29" s="222">
        <v>614200</v>
      </c>
      <c r="G29" s="209" t="s">
        <v>505</v>
      </c>
      <c r="H29" s="38" t="s">
        <v>96</v>
      </c>
      <c r="I29" s="235">
        <v>0</v>
      </c>
      <c r="J29" s="230">
        <v>0</v>
      </c>
      <c r="K29" s="359">
        <v>0</v>
      </c>
      <c r="L29" s="230">
        <v>0</v>
      </c>
      <c r="M29" s="162">
        <v>0</v>
      </c>
      <c r="N29" s="255">
        <f>SUM(L29:M29)</f>
        <v>0</v>
      </c>
      <c r="O29" s="216" t="str">
        <f t="shared" si="3"/>
        <v/>
      </c>
    </row>
    <row r="30" spans="1:16" ht="8.1" customHeight="1">
      <c r="B30" s="10"/>
      <c r="C30" s="11"/>
      <c r="D30" s="11"/>
      <c r="E30" s="417"/>
      <c r="F30" s="190"/>
      <c r="G30" s="208"/>
      <c r="H30" s="11"/>
      <c r="I30" s="235"/>
      <c r="J30" s="225"/>
      <c r="K30" s="359"/>
      <c r="L30" s="225"/>
      <c r="M30" s="161"/>
      <c r="N30" s="256"/>
      <c r="O30" s="216" t="str">
        <f t="shared" si="3"/>
        <v/>
      </c>
    </row>
    <row r="31" spans="1:16" s="1" customFormat="1" ht="12.95" customHeight="1">
      <c r="A31" s="163"/>
      <c r="B31" s="12"/>
      <c r="C31" s="8"/>
      <c r="D31" s="8"/>
      <c r="E31" s="8"/>
      <c r="F31" s="181">
        <v>821000</v>
      </c>
      <c r="G31" s="200"/>
      <c r="H31" s="8" t="s">
        <v>88</v>
      </c>
      <c r="I31" s="232">
        <f t="shared" ref="I31:J31" si="11">SUM(I32:I33)</f>
        <v>0</v>
      </c>
      <c r="J31" s="228">
        <f t="shared" si="11"/>
        <v>0</v>
      </c>
      <c r="K31" s="360">
        <v>0</v>
      </c>
      <c r="L31" s="228">
        <f t="shared" ref="L31" si="12">SUM(L32:L33)</f>
        <v>0</v>
      </c>
      <c r="M31" s="170">
        <f>SUM(M32:M33)</f>
        <v>0</v>
      </c>
      <c r="N31" s="257">
        <f>SUM(N32:N33)</f>
        <v>0</v>
      </c>
      <c r="O31" s="215" t="str">
        <f t="shared" si="3"/>
        <v/>
      </c>
    </row>
    <row r="32" spans="1:16" ht="12.95" customHeight="1">
      <c r="B32" s="10"/>
      <c r="C32" s="11"/>
      <c r="D32" s="11"/>
      <c r="E32" s="168"/>
      <c r="F32" s="182">
        <v>821200</v>
      </c>
      <c r="G32" s="201"/>
      <c r="H32" s="11" t="s">
        <v>89</v>
      </c>
      <c r="I32" s="235">
        <f t="shared" ref="I32" si="13">SUM(G32:H32)</f>
        <v>0</v>
      </c>
      <c r="J32" s="230">
        <v>0</v>
      </c>
      <c r="K32" s="359">
        <v>0</v>
      </c>
      <c r="L32" s="230">
        <v>0</v>
      </c>
      <c r="M32" s="162">
        <v>0</v>
      </c>
      <c r="N32" s="255">
        <f t="shared" ref="N32:N33" si="14">SUM(L32:M32)</f>
        <v>0</v>
      </c>
      <c r="O32" s="216" t="str">
        <f t="shared" si="3"/>
        <v/>
      </c>
    </row>
    <row r="33" spans="1:15" ht="12.95" customHeight="1">
      <c r="B33" s="10"/>
      <c r="C33" s="11"/>
      <c r="D33" s="11"/>
      <c r="E33" s="168"/>
      <c r="F33" s="182">
        <v>821300</v>
      </c>
      <c r="G33" s="201"/>
      <c r="H33" s="11" t="s">
        <v>90</v>
      </c>
      <c r="I33" s="235">
        <v>0</v>
      </c>
      <c r="J33" s="225">
        <v>0</v>
      </c>
      <c r="K33" s="359">
        <v>0</v>
      </c>
      <c r="L33" s="225">
        <v>0</v>
      </c>
      <c r="M33" s="161">
        <v>0</v>
      </c>
      <c r="N33" s="255">
        <f t="shared" si="14"/>
        <v>0</v>
      </c>
      <c r="O33" s="216" t="str">
        <f t="shared" si="3"/>
        <v/>
      </c>
    </row>
    <row r="34" spans="1:15" ht="8.1" customHeight="1">
      <c r="B34" s="10"/>
      <c r="C34" s="11"/>
      <c r="D34" s="11"/>
      <c r="E34" s="168"/>
      <c r="F34" s="182"/>
      <c r="G34" s="201"/>
      <c r="H34" s="11"/>
      <c r="I34" s="235"/>
      <c r="J34" s="225"/>
      <c r="K34" s="359"/>
      <c r="L34" s="225"/>
      <c r="M34" s="161"/>
      <c r="N34" s="256"/>
      <c r="O34" s="216" t="str">
        <f>IF(J34=0,"",N34/J34*100)</f>
        <v/>
      </c>
    </row>
    <row r="35" spans="1:15" s="1" customFormat="1" ht="12.95" customHeight="1">
      <c r="A35" s="163"/>
      <c r="B35" s="12"/>
      <c r="C35" s="8"/>
      <c r="D35" s="8"/>
      <c r="E35" s="8"/>
      <c r="F35" s="181"/>
      <c r="G35" s="200"/>
      <c r="H35" s="8" t="s">
        <v>91</v>
      </c>
      <c r="I35" s="232">
        <v>0</v>
      </c>
      <c r="J35" s="231">
        <v>0</v>
      </c>
      <c r="K35" s="360">
        <v>0</v>
      </c>
      <c r="L35" s="231">
        <v>0</v>
      </c>
      <c r="M35" s="175"/>
      <c r="N35" s="257">
        <v>0</v>
      </c>
      <c r="O35" s="216"/>
    </row>
    <row r="36" spans="1:15" s="1" customFormat="1" ht="12.95" customHeight="1">
      <c r="A36" s="163"/>
      <c r="B36" s="12"/>
      <c r="C36" s="8"/>
      <c r="D36" s="8"/>
      <c r="E36" s="8"/>
      <c r="F36" s="181"/>
      <c r="G36" s="200"/>
      <c r="H36" s="8" t="s">
        <v>105</v>
      </c>
      <c r="I36" s="15">
        <f t="shared" ref="I36:N36" si="15">I31+I28+I16+I13+I8</f>
        <v>0</v>
      </c>
      <c r="J36" s="15">
        <f t="shared" si="15"/>
        <v>0</v>
      </c>
      <c r="K36" s="363">
        <v>0</v>
      </c>
      <c r="L36" s="158">
        <f t="shared" si="15"/>
        <v>0</v>
      </c>
      <c r="M36" s="170">
        <f t="shared" si="15"/>
        <v>0</v>
      </c>
      <c r="N36" s="257">
        <f t="shared" si="15"/>
        <v>0</v>
      </c>
      <c r="O36" s="215" t="str">
        <f>IF(J36=0,"",N36/J36*100)</f>
        <v/>
      </c>
    </row>
    <row r="37" spans="1:15" s="1" customFormat="1" ht="12.95" customHeight="1">
      <c r="A37" s="163"/>
      <c r="B37" s="12"/>
      <c r="C37" s="8"/>
      <c r="D37" s="8"/>
      <c r="E37" s="8"/>
      <c r="F37" s="181"/>
      <c r="G37" s="200"/>
      <c r="H37" s="8" t="s">
        <v>92</v>
      </c>
      <c r="I37" s="15"/>
      <c r="J37" s="15"/>
      <c r="K37" s="363"/>
      <c r="L37" s="158"/>
      <c r="M37" s="170"/>
      <c r="N37" s="257"/>
      <c r="O37" s="221"/>
    </row>
    <row r="38" spans="1:15" s="1" customFormat="1" ht="12.95" customHeight="1">
      <c r="A38" s="163"/>
      <c r="B38" s="12"/>
      <c r="C38" s="8"/>
      <c r="D38" s="8"/>
      <c r="E38" s="8"/>
      <c r="F38" s="181"/>
      <c r="G38" s="200"/>
      <c r="H38" s="8" t="s">
        <v>93</v>
      </c>
      <c r="I38" s="29"/>
      <c r="J38" s="29"/>
      <c r="K38" s="405"/>
      <c r="L38" s="153"/>
      <c r="M38" s="161"/>
      <c r="N38" s="256"/>
      <c r="O38" s="217"/>
    </row>
    <row r="39" spans="1:15" ht="8.1" customHeight="1" thickBot="1">
      <c r="B39" s="16"/>
      <c r="C39" s="17"/>
      <c r="D39" s="17"/>
      <c r="E39" s="17"/>
      <c r="F39" s="183"/>
      <c r="G39" s="202"/>
      <c r="H39" s="17"/>
      <c r="I39" s="17"/>
      <c r="J39" s="17"/>
      <c r="K39" s="27"/>
      <c r="L39" s="16"/>
      <c r="M39" s="17"/>
      <c r="N39" s="260"/>
      <c r="O39" s="218"/>
    </row>
    <row r="40" spans="1:15" ht="12.95" customHeight="1">
      <c r="F40" s="184"/>
      <c r="G40" s="203"/>
      <c r="N40" s="258"/>
    </row>
    <row r="41" spans="1:15" ht="12.95" customHeight="1">
      <c r="B41" s="45"/>
      <c r="F41" s="184"/>
      <c r="G41" s="203"/>
      <c r="N41" s="258"/>
    </row>
    <row r="42" spans="1:15" ht="12.95" customHeight="1">
      <c r="F42" s="184"/>
      <c r="G42" s="203"/>
      <c r="N42" s="258"/>
    </row>
    <row r="43" spans="1:15" ht="12.95" customHeight="1">
      <c r="F43" s="184"/>
      <c r="G43" s="203"/>
      <c r="N43" s="258"/>
    </row>
    <row r="44" spans="1:15" ht="12.95" customHeight="1">
      <c r="F44" s="184"/>
      <c r="G44" s="203"/>
      <c r="N44" s="258"/>
    </row>
    <row r="45" spans="1:15" ht="12.95" customHeight="1">
      <c r="F45" s="184"/>
      <c r="G45" s="203"/>
      <c r="N45" s="258"/>
    </row>
    <row r="46" spans="1:15" ht="12.95" customHeight="1">
      <c r="F46" s="184"/>
      <c r="G46" s="203"/>
      <c r="N46" s="258"/>
    </row>
    <row r="47" spans="1:15" ht="12.95" customHeight="1">
      <c r="F47" s="184"/>
      <c r="G47" s="203"/>
      <c r="N47" s="258"/>
    </row>
    <row r="48" spans="1:15" ht="12.95" customHeight="1">
      <c r="F48" s="184"/>
      <c r="G48" s="203"/>
      <c r="N48" s="258"/>
    </row>
    <row r="49" spans="6:14" ht="12.95" customHeight="1">
      <c r="F49" s="184"/>
      <c r="G49" s="203"/>
      <c r="N49" s="258"/>
    </row>
    <row r="50" spans="6:14" ht="12.95" customHeight="1">
      <c r="F50" s="184"/>
      <c r="G50" s="203"/>
      <c r="N50" s="258"/>
    </row>
    <row r="51" spans="6:14" ht="12.95" customHeight="1">
      <c r="F51" s="184"/>
      <c r="G51" s="203"/>
      <c r="N51" s="258"/>
    </row>
    <row r="52" spans="6:14" ht="12.95" customHeight="1">
      <c r="F52" s="184"/>
      <c r="G52" s="203"/>
      <c r="N52" s="258"/>
    </row>
    <row r="53" spans="6:14" ht="12.95" customHeight="1">
      <c r="F53" s="184"/>
      <c r="G53" s="203"/>
      <c r="N53" s="258"/>
    </row>
    <row r="54" spans="6:14" ht="12.95" customHeight="1">
      <c r="F54" s="184"/>
      <c r="G54" s="203"/>
      <c r="N54" s="258"/>
    </row>
    <row r="55" spans="6:14" ht="12.95" customHeight="1">
      <c r="F55" s="184"/>
      <c r="G55" s="203"/>
      <c r="N55" s="258"/>
    </row>
    <row r="56" spans="6:14" ht="12.95" customHeight="1">
      <c r="F56" s="184"/>
      <c r="G56" s="203"/>
      <c r="N56" s="258"/>
    </row>
    <row r="57" spans="6:14" ht="12.95" customHeight="1">
      <c r="F57" s="184"/>
      <c r="G57" s="203"/>
      <c r="N57" s="258"/>
    </row>
    <row r="58" spans="6:14" ht="12.95" customHeight="1">
      <c r="F58" s="184"/>
      <c r="G58" s="203"/>
      <c r="N58" s="258"/>
    </row>
    <row r="59" spans="6:14" ht="12.95" customHeight="1">
      <c r="F59" s="184"/>
      <c r="G59" s="203"/>
      <c r="N59" s="258"/>
    </row>
    <row r="60" spans="6:14" ht="17.100000000000001" customHeight="1">
      <c r="F60" s="184"/>
      <c r="G60" s="203"/>
      <c r="N60" s="258"/>
    </row>
    <row r="61" spans="6:14" ht="14.25">
      <c r="F61" s="184"/>
      <c r="G61" s="203"/>
      <c r="N61" s="258"/>
    </row>
    <row r="62" spans="6:14" ht="14.25">
      <c r="F62" s="184"/>
      <c r="G62" s="203"/>
      <c r="N62" s="258"/>
    </row>
    <row r="63" spans="6:14" ht="14.25">
      <c r="F63" s="184"/>
      <c r="G63" s="203"/>
      <c r="N63" s="258"/>
    </row>
    <row r="64" spans="6:14" ht="14.25">
      <c r="F64" s="184"/>
      <c r="G64" s="203"/>
      <c r="N64" s="258"/>
    </row>
    <row r="65" spans="6:14" ht="14.25">
      <c r="F65" s="184"/>
      <c r="G65" s="203"/>
      <c r="N65" s="258"/>
    </row>
    <row r="66" spans="6:14" ht="14.25">
      <c r="F66" s="184"/>
      <c r="G66" s="203"/>
      <c r="N66" s="258"/>
    </row>
    <row r="67" spans="6:14" ht="14.25">
      <c r="F67" s="184"/>
      <c r="G67" s="203"/>
      <c r="N67" s="258"/>
    </row>
    <row r="68" spans="6:14" ht="14.25">
      <c r="F68" s="184"/>
      <c r="G68" s="203"/>
      <c r="N68" s="258"/>
    </row>
    <row r="69" spans="6:14" ht="14.25">
      <c r="F69" s="184"/>
      <c r="G69" s="203"/>
      <c r="N69" s="258"/>
    </row>
    <row r="70" spans="6:14" ht="14.25">
      <c r="F70" s="184"/>
      <c r="G70" s="203"/>
      <c r="N70" s="258"/>
    </row>
    <row r="71" spans="6:14" ht="14.25">
      <c r="F71" s="184"/>
      <c r="G71" s="203"/>
      <c r="N71" s="258"/>
    </row>
    <row r="72" spans="6:14" ht="14.25">
      <c r="F72" s="184"/>
      <c r="G72" s="203"/>
      <c r="N72" s="258"/>
    </row>
    <row r="73" spans="6:14" ht="14.25">
      <c r="F73" s="184"/>
      <c r="G73" s="203"/>
      <c r="N73" s="258"/>
    </row>
    <row r="74" spans="6:14" ht="14.25">
      <c r="F74" s="184"/>
      <c r="G74" s="184"/>
      <c r="N74" s="258"/>
    </row>
    <row r="75" spans="6:14" ht="14.25">
      <c r="F75" s="184"/>
      <c r="G75" s="184"/>
      <c r="N75" s="258"/>
    </row>
    <row r="76" spans="6:14" ht="14.25">
      <c r="F76" s="184"/>
      <c r="G76" s="184"/>
      <c r="N76" s="258"/>
    </row>
    <row r="77" spans="6:14" ht="14.25">
      <c r="F77" s="184"/>
      <c r="G77" s="184"/>
      <c r="N77" s="258"/>
    </row>
    <row r="78" spans="6:14" ht="14.25">
      <c r="F78" s="184"/>
      <c r="G78" s="184"/>
      <c r="N78" s="258"/>
    </row>
    <row r="79" spans="6:14" ht="14.25">
      <c r="F79" s="184"/>
      <c r="G79" s="184"/>
      <c r="N79" s="258"/>
    </row>
    <row r="80" spans="6:14" ht="14.25">
      <c r="F80" s="184"/>
      <c r="G80" s="184"/>
      <c r="N80" s="258"/>
    </row>
    <row r="81" spans="6:14" ht="14.25">
      <c r="F81" s="184"/>
      <c r="G81" s="184"/>
      <c r="N81" s="258"/>
    </row>
    <row r="82" spans="6:14" ht="14.25">
      <c r="F82" s="184"/>
      <c r="G82" s="184"/>
      <c r="N82" s="258"/>
    </row>
    <row r="83" spans="6:14" ht="14.25">
      <c r="F83" s="184"/>
      <c r="G83" s="184"/>
      <c r="N83" s="258"/>
    </row>
    <row r="84" spans="6:14" ht="14.25">
      <c r="F84" s="184"/>
      <c r="G84" s="184"/>
      <c r="N84" s="258"/>
    </row>
    <row r="85" spans="6:14" ht="14.25">
      <c r="F85" s="184"/>
      <c r="G85" s="184"/>
      <c r="N85" s="258"/>
    </row>
    <row r="86" spans="6:14" ht="14.25">
      <c r="F86" s="184"/>
      <c r="G86" s="184"/>
      <c r="N86" s="258"/>
    </row>
    <row r="87" spans="6:14" ht="14.25">
      <c r="F87" s="184"/>
      <c r="G87" s="184"/>
      <c r="N87" s="258"/>
    </row>
    <row r="88" spans="6:14" ht="14.25">
      <c r="F88" s="184"/>
      <c r="G88" s="184"/>
      <c r="N88" s="258"/>
    </row>
    <row r="89" spans="6:14" ht="14.25">
      <c r="F89" s="184"/>
      <c r="G89" s="184"/>
      <c r="N89" s="258"/>
    </row>
    <row r="90" spans="6:14" ht="14.25">
      <c r="F90" s="184"/>
      <c r="G90" s="184"/>
      <c r="N90" s="258"/>
    </row>
    <row r="91" spans="6:14">
      <c r="G91" s="184"/>
    </row>
    <row r="92" spans="6:14">
      <c r="G92" s="184"/>
    </row>
    <row r="93" spans="6:14">
      <c r="G93" s="184"/>
    </row>
    <row r="94" spans="6:14">
      <c r="G94" s="184"/>
    </row>
    <row r="95" spans="6:14">
      <c r="G95" s="184"/>
    </row>
    <row r="96" spans="6:14">
      <c r="G96" s="184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47</vt:i4>
      </vt:variant>
      <vt:variant>
        <vt:lpstr>Imenovani rasponi</vt:lpstr>
      </vt:variant>
      <vt:variant>
        <vt:i4>13</vt:i4>
      </vt:variant>
    </vt:vector>
  </HeadingPairs>
  <TitlesOfParts>
    <vt:vector size="60" baseType="lpstr">
      <vt:lpstr>Naslovnica</vt:lpstr>
      <vt:lpstr>Sadrzaj</vt:lpstr>
      <vt:lpstr>Uvod</vt:lpstr>
      <vt:lpstr>Prihodi</vt:lpstr>
      <vt:lpstr>Rashodi</vt:lpstr>
      <vt:lpstr>1</vt:lpstr>
      <vt:lpstr>2</vt:lpstr>
      <vt:lpstr>4 (S)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2022-06-15T07:01:04Z</cp:lastPrinted>
  <dcterms:created xsi:type="dcterms:W3CDTF">2004-07-23T11:14:23Z</dcterms:created>
  <dcterms:modified xsi:type="dcterms:W3CDTF">2022-11-03T07:16:47Z</dcterms:modified>
</cp:coreProperties>
</file>