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44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49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75" yWindow="-180" windowWidth="28710" windowHeight="6705" tabRatio="964" firstSheet="6" activeTab="6"/>
  </bookViews>
  <sheets>
    <sheet name="Naslovnica" sheetId="65120" state="hidden" r:id="rId1"/>
    <sheet name="Sadrzaj" sheetId="65121" state="hidden" r:id="rId2"/>
    <sheet name="Uvod" sheetId="304" state="hidden" r:id="rId3"/>
    <sheet name="CODE" sheetId="65119" state="veryHidden" r:id="rId4"/>
    <sheet name="Prihodi" sheetId="65139" state="hidden" r:id="rId5"/>
    <sheet name="Rashodi" sheetId="300" state="hidden" r:id="rId6"/>
    <sheet name="1" sheetId="16" r:id="rId7"/>
    <sheet name="2" sheetId="65065" r:id="rId8"/>
    <sheet name="4 (S)" sheetId="65066" state="hidden" r:id="rId9"/>
    <sheet name="3" sheetId="65067" r:id="rId10"/>
    <sheet name="4" sheetId="65099" r:id="rId11"/>
    <sheet name="5" sheetId="65123" r:id="rId12"/>
    <sheet name="6" sheetId="65140" r:id="rId13"/>
    <sheet name="7" sheetId="65068" r:id="rId14"/>
    <sheet name="8" sheetId="65069" r:id="rId15"/>
    <sheet name="9" sheetId="65070" r:id="rId16"/>
    <sheet name="10" sheetId="65071" r:id="rId17"/>
    <sheet name="11" sheetId="65074" r:id="rId18"/>
    <sheet name="12" sheetId="65100" r:id="rId19"/>
    <sheet name="13" sheetId="65115" r:id="rId20"/>
    <sheet name="14" sheetId="65141" r:id="rId21"/>
    <sheet name="15" sheetId="65075" r:id="rId22"/>
    <sheet name="16" sheetId="65076" r:id="rId23"/>
    <sheet name="17" sheetId="65077" r:id="rId24"/>
    <sheet name="18" sheetId="65078" r:id="rId25"/>
    <sheet name="19" sheetId="65079" r:id="rId26"/>
    <sheet name="20" sheetId="65080" r:id="rId27"/>
    <sheet name="21" sheetId="65082" r:id="rId28"/>
    <sheet name="22" sheetId="65081" r:id="rId29"/>
    <sheet name="23" sheetId="65122" r:id="rId30"/>
    <sheet name="24" sheetId="65083" r:id="rId31"/>
    <sheet name="25" sheetId="65084" r:id="rId32"/>
    <sheet name="26" sheetId="65085" r:id="rId33"/>
    <sheet name="27" sheetId="65086" r:id="rId34"/>
    <sheet name="28" sheetId="65087" r:id="rId35"/>
    <sheet name="29" sheetId="65088" r:id="rId36"/>
    <sheet name="30" sheetId="65089" r:id="rId37"/>
    <sheet name="31" sheetId="65093" r:id="rId38"/>
    <sheet name="32" sheetId="65094" r:id="rId39"/>
    <sheet name="33" sheetId="65095" r:id="rId40"/>
    <sheet name="34" sheetId="65096" r:id="rId41"/>
    <sheet name="35" sheetId="65097" r:id="rId42"/>
    <sheet name="36" sheetId="65098" r:id="rId43"/>
    <sheet name="37" sheetId="65105" r:id="rId44"/>
    <sheet name="Sumarno" sheetId="65124" state="hidden" r:id="rId45"/>
    <sheet name="Funkcijska" sheetId="65137" state="hidden" r:id="rId46"/>
    <sheet name="Kap.pror." sheetId="65125" state="hidden" r:id="rId47"/>
    <sheet name="Kraj" sheetId="65061" state="hidden" r:id="rId48"/>
    <sheet name="List1" sheetId="65142" r:id="rId49"/>
  </sheets>
  <definedNames>
    <definedName name="ACCOUNTEDPERIODTYPE1" localSheetId="20">#REF!</definedName>
    <definedName name="ACCOUNTEDPERIODTYPE1" localSheetId="12">#REF!</definedName>
    <definedName name="ACCOUNTEDPERIODTYPE1">#REF!</definedName>
    <definedName name="APPSUSERNAME1" localSheetId="20">#REF!</definedName>
    <definedName name="APPSUSERNAME1" localSheetId="12">#REF!</definedName>
    <definedName name="APPSUSERNAME1">#REF!</definedName>
    <definedName name="BUDGETORGID1" localSheetId="20">#REF!</definedName>
    <definedName name="BUDGETORGID1" localSheetId="12">#REF!</definedName>
    <definedName name="BUDGETORGID1">#REF!</definedName>
    <definedName name="BUDGETORGNAME1" localSheetId="20">#REF!</definedName>
    <definedName name="BUDGETORGNAME1" localSheetId="12">#REF!</definedName>
    <definedName name="BUDGETORGNAME1">#REF!</definedName>
    <definedName name="CHARTOFACCOUNTSID1" localSheetId="20">#REF!</definedName>
    <definedName name="CHARTOFACCOUNTSID1" localSheetId="12">#REF!</definedName>
    <definedName name="CHARTOFACCOUNTSID1">#REF!</definedName>
    <definedName name="CONNECTSTRING1" localSheetId="20">#REF!</definedName>
    <definedName name="CONNECTSTRING1" localSheetId="12">#REF!</definedName>
    <definedName name="CONNECTSTRING1">#REF!</definedName>
    <definedName name="CREATESUMMARYJNLS1" localSheetId="20">#REF!</definedName>
    <definedName name="CREATESUMMARYJNLS1" localSheetId="12">#REF!</definedName>
    <definedName name="CREATESUMMARYJNLS1">#REF!</definedName>
    <definedName name="CRITERIACOLUMN1" localSheetId="20">#REF!</definedName>
    <definedName name="CRITERIACOLUMN1" localSheetId="12">#REF!</definedName>
    <definedName name="CRITERIACOLUMN1">#REF!</definedName>
    <definedName name="DBNAME1" localSheetId="20">#REF!</definedName>
    <definedName name="DBNAME1" localSheetId="12">#REF!</definedName>
    <definedName name="DBNAME1">#REF!</definedName>
    <definedName name="DBUSERNAME1" localSheetId="20">#REF!</definedName>
    <definedName name="DBUSERNAME1" localSheetId="12">#REF!</definedName>
    <definedName name="DBUSERNAME1">#REF!</definedName>
    <definedName name="DELETELOGICTYPE1" localSheetId="20">#REF!</definedName>
    <definedName name="DELETELOGICTYPE1" localSheetId="12">#REF!</definedName>
    <definedName name="DELETELOGICTYPE1">#REF!</definedName>
    <definedName name="FFAPPCOLNAME1_1" localSheetId="20">#REF!</definedName>
    <definedName name="FFAPPCOLNAME1_1" localSheetId="12">#REF!</definedName>
    <definedName name="FFAPPCOLNAME1_1">#REF!</definedName>
    <definedName name="FFAPPCOLNAME2_1" localSheetId="20">#REF!</definedName>
    <definedName name="FFAPPCOLNAME2_1" localSheetId="12">#REF!</definedName>
    <definedName name="FFAPPCOLNAME2_1">#REF!</definedName>
    <definedName name="FFAPPCOLNAME3_1" localSheetId="20">#REF!</definedName>
    <definedName name="FFAPPCOLNAME3_1" localSheetId="12">#REF!</definedName>
    <definedName name="FFAPPCOLNAME3_1">#REF!</definedName>
    <definedName name="FFAPPCOLNAME4_1" localSheetId="20">#REF!</definedName>
    <definedName name="FFAPPCOLNAME4_1" localSheetId="12">#REF!</definedName>
    <definedName name="FFAPPCOLNAME4_1">#REF!</definedName>
    <definedName name="FFAPPCOLNAME5_1" localSheetId="20">#REF!</definedName>
    <definedName name="FFAPPCOLNAME5_1" localSheetId="12">#REF!</definedName>
    <definedName name="FFAPPCOLNAME5_1">#REF!</definedName>
    <definedName name="FFAPPCOLNAME6_1" localSheetId="20">#REF!</definedName>
    <definedName name="FFAPPCOLNAME6_1" localSheetId="12">#REF!</definedName>
    <definedName name="FFAPPCOLNAME6_1">#REF!</definedName>
    <definedName name="FFSEGMENT1_1" localSheetId="20">#REF!</definedName>
    <definedName name="FFSEGMENT1_1" localSheetId="12">#REF!</definedName>
    <definedName name="FFSEGMENT1_1">#REF!</definedName>
    <definedName name="FFSEGMENT2_1" localSheetId="20">#REF!</definedName>
    <definedName name="FFSEGMENT2_1" localSheetId="12">#REF!</definedName>
    <definedName name="FFSEGMENT2_1">#REF!</definedName>
    <definedName name="FFSEGMENT3_1" localSheetId="20">#REF!</definedName>
    <definedName name="FFSEGMENT3_1" localSheetId="12">#REF!</definedName>
    <definedName name="FFSEGMENT3_1">#REF!</definedName>
    <definedName name="FFSEGMENT4_1" localSheetId="20">#REF!</definedName>
    <definedName name="FFSEGMENT4_1" localSheetId="12">#REF!</definedName>
    <definedName name="FFSEGMENT4_1">#REF!</definedName>
    <definedName name="FFSEGMENT5_1" localSheetId="20">#REF!</definedName>
    <definedName name="FFSEGMENT5_1" localSheetId="12">#REF!</definedName>
    <definedName name="FFSEGMENT5_1">#REF!</definedName>
    <definedName name="FFSEGMENT6_1" localSheetId="20">#REF!</definedName>
    <definedName name="FFSEGMENT6_1" localSheetId="12">#REF!</definedName>
    <definedName name="FFSEGMENT6_1">#REF!</definedName>
    <definedName name="FFSEGSEPARATOR1" localSheetId="20">#REF!</definedName>
    <definedName name="FFSEGSEPARATOR1" localSheetId="12">#REF!</definedName>
    <definedName name="FFSEGSEPARATOR1">#REF!</definedName>
    <definedName name="FIELDNAMECOLUMN1" localSheetId="20">#REF!</definedName>
    <definedName name="FIELDNAMECOLUMN1" localSheetId="12">#REF!</definedName>
    <definedName name="FIELDNAMECOLUMN1">#REF!</definedName>
    <definedName name="FIELDNAMEROW1" localSheetId="20">#REF!</definedName>
    <definedName name="FIELDNAMEROW1" localSheetId="12">#REF!</definedName>
    <definedName name="FIELDNAMEROW1">#REF!</definedName>
    <definedName name="FIRSTDATAROW1" localSheetId="20">#REF!</definedName>
    <definedName name="FIRSTDATAROW1" localSheetId="12">#REF!</definedName>
    <definedName name="FIRSTDATAROW1">#REF!</definedName>
    <definedName name="FNDNAM1" localSheetId="20">#REF!</definedName>
    <definedName name="FNDNAM1" localSheetId="12">#REF!</definedName>
    <definedName name="FNDNAM1">#REF!</definedName>
    <definedName name="FNDUSERID1" localSheetId="20">#REF!</definedName>
    <definedName name="FNDUSERID1" localSheetId="12">#REF!</definedName>
    <definedName name="FNDUSERID1">#REF!</definedName>
    <definedName name="FUNCTIONALCURRENCY1" localSheetId="20">#REF!</definedName>
    <definedName name="FUNCTIONALCURRENCY1" localSheetId="12">#REF!</definedName>
    <definedName name="FUNCTIONALCURRENCY1">#REF!</definedName>
    <definedName name="GWYUID1" localSheetId="20">#REF!</definedName>
    <definedName name="GWYUID1" localSheetId="12">#REF!</definedName>
    <definedName name="GWYUID1">#REF!</definedName>
    <definedName name="IMPORTDFF1" localSheetId="20">#REF!</definedName>
    <definedName name="IMPORTDFF1" localSheetId="12">#REF!</definedName>
    <definedName name="IMPORTDFF1">#REF!</definedName>
    <definedName name="_xlnm.Print_Titles" localSheetId="45">Funkcijska!$1:$6</definedName>
    <definedName name="_xlnm.Print_Titles" localSheetId="4">Prihodi!$2:$4</definedName>
    <definedName name="_xlnm.Print_Titles" localSheetId="5">Rashodi!$1:$6</definedName>
    <definedName name="LABELTEXTCOLUMN1" localSheetId="20">#REF!</definedName>
    <definedName name="LABELTEXTCOLUMN1" localSheetId="12">#REF!</definedName>
    <definedName name="LABELTEXTCOLUMN1">#REF!</definedName>
    <definedName name="LABELTEXTROW1" localSheetId="20">#REF!</definedName>
    <definedName name="LABELTEXTROW1" localSheetId="12">#REF!</definedName>
    <definedName name="LABELTEXTROW1">#REF!</definedName>
    <definedName name="NOOFFFSEGMENTS1" localSheetId="20">#REF!</definedName>
    <definedName name="NOOFFFSEGMENTS1" localSheetId="12">#REF!</definedName>
    <definedName name="NOOFFFSEGMENTS1">#REF!</definedName>
    <definedName name="NUMBEROFDETAILFIELDS1" localSheetId="20">#REF!</definedName>
    <definedName name="NUMBEROFDETAILFIELDS1" localSheetId="12">#REF!</definedName>
    <definedName name="NUMBEROFDETAILFIELDS1">#REF!</definedName>
    <definedName name="NUMBEROFHEADERFIELDS1" localSheetId="20">#REF!</definedName>
    <definedName name="NUMBEROFHEADERFIELDS1" localSheetId="12">#REF!</definedName>
    <definedName name="NUMBEROFHEADERFIELDS1">#REF!</definedName>
    <definedName name="PERIODSETNAME1" localSheetId="20">#REF!</definedName>
    <definedName name="PERIODSETNAME1" localSheetId="12">#REF!</definedName>
    <definedName name="PERIODSETNAME1">#REF!</definedName>
    <definedName name="_xlnm.Print_Area" localSheetId="21">'15'!$A$1:$O$47</definedName>
    <definedName name="_xlnm.Print_Area" localSheetId="22">'16'!$A$1:$O$54</definedName>
    <definedName name="_xlnm.Print_Area" localSheetId="23">'17'!$A$1:$O$44</definedName>
    <definedName name="_xlnm.Print_Area" localSheetId="27">'21'!$A$1:$O$36</definedName>
    <definedName name="_xlnm.Print_Area" localSheetId="39">'33'!$A$1:$Q$42</definedName>
    <definedName name="_xlnm.Print_Area" localSheetId="45">Funkcijska!$A$7:$G$106</definedName>
    <definedName name="_xlnm.Print_Area" localSheetId="46">Kap.pror.!$A$1:$F$44</definedName>
    <definedName name="_xlnm.Print_Area" localSheetId="47">Kraj!$A$1:$H$22</definedName>
    <definedName name="_xlnm.Print_Area" localSheetId="4">Prihodi!$B$4:$I$264</definedName>
    <definedName name="_xlnm.Print_Area" localSheetId="5">Rashodi!$C$7:$M$128</definedName>
    <definedName name="_xlnm.Print_Area" localSheetId="1">Sadrzaj!$A$1:$U$32</definedName>
    <definedName name="_xlnm.Print_Area" localSheetId="2">Uvod!$B$1:$I$47</definedName>
    <definedName name="POSTERRORSTOSUSP1" localSheetId="20">#REF!</definedName>
    <definedName name="POSTERRORSTOSUSP1" localSheetId="12">#REF!</definedName>
    <definedName name="POSTERRORSTOSUSP1">#REF!</definedName>
    <definedName name="RESPONSIBILITYAPPLICATIONID1" localSheetId="20">#REF!</definedName>
    <definedName name="RESPONSIBILITYAPPLICATIONID1" localSheetId="12">#REF!</definedName>
    <definedName name="RESPONSIBILITYAPPLICATIONID1">#REF!</definedName>
    <definedName name="RESPONSIBILITYID1" localSheetId="20">#REF!</definedName>
    <definedName name="RESPONSIBILITYID1" localSheetId="12">#REF!</definedName>
    <definedName name="RESPONSIBILITYID1">#REF!</definedName>
    <definedName name="RESPONSIBILITYNAME1" localSheetId="20">#REF!</definedName>
    <definedName name="RESPONSIBILITYNAME1" localSheetId="12">#REF!</definedName>
    <definedName name="RESPONSIBILITYNAME1">#REF!</definedName>
    <definedName name="ROWSTOUPLOAD1" localSheetId="20">#REF!</definedName>
    <definedName name="ROWSTOUPLOAD1" localSheetId="12">#REF!</definedName>
    <definedName name="ROWSTOUPLOAD1">#REF!</definedName>
    <definedName name="SETOFBOOKSID1" localSheetId="20">#REF!</definedName>
    <definedName name="SETOFBOOKSID1" localSheetId="12">#REF!</definedName>
    <definedName name="SETOFBOOKSID1">#REF!</definedName>
    <definedName name="SETOFBOOKSNAME1" localSheetId="20">#REF!</definedName>
    <definedName name="SETOFBOOKSNAME1" localSheetId="12">#REF!</definedName>
    <definedName name="SETOFBOOKSNAME1">#REF!</definedName>
    <definedName name="STARTJOURNALIMPORT1" localSheetId="20">#REF!</definedName>
    <definedName name="STARTJOURNALIMPORT1" localSheetId="12">#REF!</definedName>
    <definedName name="STARTJOURNALIMPORT1">#REF!</definedName>
    <definedName name="TEMPLATENUMBER1" localSheetId="20">#REF!</definedName>
    <definedName name="TEMPLATENUMBER1" localSheetId="12">#REF!</definedName>
    <definedName name="TEMPLATENUMBER1">#REF!</definedName>
    <definedName name="TEMPLATESTYLE1" localSheetId="20">#REF!</definedName>
    <definedName name="TEMPLATESTYLE1" localSheetId="12">#REF!</definedName>
    <definedName name="TEMPLATESTYLE1">#REF!</definedName>
    <definedName name="TEMPLATETYPE1" localSheetId="20">#REF!</definedName>
    <definedName name="TEMPLATETYPE1" localSheetId="12">#REF!</definedName>
    <definedName name="TEMPLATETYPE1">#REF!</definedName>
  </definedNames>
  <calcPr calcId="125725"/>
</workbook>
</file>

<file path=xl/calcChain.xml><?xml version="1.0" encoding="utf-8"?>
<calcChain xmlns="http://schemas.openxmlformats.org/spreadsheetml/2006/main">
  <c r="P53" i="65065"/>
  <c r="P52"/>
  <c r="P50"/>
  <c r="P49"/>
  <c r="P48"/>
  <c r="P47"/>
  <c r="P46"/>
  <c r="P45"/>
  <c r="P44"/>
  <c r="P43"/>
  <c r="P42"/>
  <c r="P41"/>
  <c r="P40"/>
  <c r="P39"/>
  <c r="P38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P19"/>
  <c r="P18"/>
  <c r="P17"/>
  <c r="P16"/>
  <c r="P15"/>
  <c r="P14"/>
  <c r="P13"/>
  <c r="P12"/>
  <c r="P11"/>
  <c r="P10"/>
  <c r="P9"/>
  <c r="P53" i="65067"/>
  <c r="P52"/>
  <c r="P51"/>
  <c r="P50"/>
  <c r="P49"/>
  <c r="P48"/>
  <c r="P47"/>
  <c r="P46"/>
  <c r="P45"/>
  <c r="P44"/>
  <c r="P43"/>
  <c r="P42"/>
  <c r="P41"/>
  <c r="P40"/>
  <c r="P39"/>
  <c r="P38"/>
  <c r="P37"/>
  <c r="P36"/>
  <c r="P35"/>
  <c r="P34"/>
  <c r="P33"/>
  <c r="P31"/>
  <c r="P30"/>
  <c r="P29"/>
  <c r="P28"/>
  <c r="P27"/>
  <c r="P26"/>
  <c r="P25"/>
  <c r="P24"/>
  <c r="P23"/>
  <c r="P22"/>
  <c r="P21"/>
  <c r="P20"/>
  <c r="P19"/>
  <c r="P18"/>
  <c r="P17"/>
  <c r="P16"/>
  <c r="P15"/>
  <c r="P14"/>
  <c r="P13"/>
  <c r="P12"/>
  <c r="P11"/>
  <c r="P10"/>
  <c r="P9"/>
  <c r="P53" i="65099"/>
  <c r="P52"/>
  <c r="P51"/>
  <c r="P50"/>
  <c r="P49"/>
  <c r="P48"/>
  <c r="P47"/>
  <c r="P46"/>
  <c r="P45"/>
  <c r="P44"/>
  <c r="P43"/>
  <c r="P42"/>
  <c r="P41"/>
  <c r="P40"/>
  <c r="P39"/>
  <c r="P38"/>
  <c r="P37"/>
  <c r="P36"/>
  <c r="P35"/>
  <c r="P34"/>
  <c r="P33"/>
  <c r="P31"/>
  <c r="P30"/>
  <c r="P29"/>
  <c r="P28"/>
  <c r="P27"/>
  <c r="P26"/>
  <c r="P25"/>
  <c r="P24"/>
  <c r="P23"/>
  <c r="P22"/>
  <c r="P21"/>
  <c r="P20"/>
  <c r="P19"/>
  <c r="P18"/>
  <c r="P17"/>
  <c r="P16"/>
  <c r="P15"/>
  <c r="P14"/>
  <c r="P13"/>
  <c r="P12"/>
  <c r="P11"/>
  <c r="P10"/>
  <c r="P9"/>
  <c r="P53" i="65123"/>
  <c r="P52"/>
  <c r="P51"/>
  <c r="P50"/>
  <c r="P49"/>
  <c r="P48"/>
  <c r="P47"/>
  <c r="P46"/>
  <c r="P45"/>
  <c r="P44"/>
  <c r="P43"/>
  <c r="P42"/>
  <c r="P41"/>
  <c r="P40"/>
  <c r="P39"/>
  <c r="P38"/>
  <c r="P37"/>
  <c r="P36"/>
  <c r="P35"/>
  <c r="P34"/>
  <c r="P33"/>
  <c r="P31"/>
  <c r="P30"/>
  <c r="P29"/>
  <c r="P28"/>
  <c r="P27"/>
  <c r="P26"/>
  <c r="P25"/>
  <c r="P24"/>
  <c r="P23"/>
  <c r="P22"/>
  <c r="P21"/>
  <c r="P20"/>
  <c r="P19"/>
  <c r="P18"/>
  <c r="P17"/>
  <c r="P16"/>
  <c r="P15"/>
  <c r="P14"/>
  <c r="P13"/>
  <c r="P12"/>
  <c r="P11"/>
  <c r="P10"/>
  <c r="P9"/>
  <c r="P53" i="65140"/>
  <c r="P52"/>
  <c r="P51"/>
  <c r="P50"/>
  <c r="P49"/>
  <c r="P48"/>
  <c r="P47"/>
  <c r="P46"/>
  <c r="P45"/>
  <c r="P44"/>
  <c r="P43"/>
  <c r="P42"/>
  <c r="P41"/>
  <c r="P40"/>
  <c r="P39"/>
  <c r="P36"/>
  <c r="P34"/>
  <c r="P33"/>
  <c r="P32"/>
  <c r="P31"/>
  <c r="P30"/>
  <c r="P29"/>
  <c r="P28"/>
  <c r="P27"/>
  <c r="P26"/>
  <c r="P25"/>
  <c r="P24"/>
  <c r="P23"/>
  <c r="P22"/>
  <c r="P21"/>
  <c r="P20"/>
  <c r="P19"/>
  <c r="P18"/>
  <c r="P17"/>
  <c r="P16"/>
  <c r="P15"/>
  <c r="P14"/>
  <c r="P13"/>
  <c r="P12"/>
  <c r="P11"/>
  <c r="P10"/>
  <c r="P9"/>
  <c r="P53" i="65068"/>
  <c r="P52"/>
  <c r="P51"/>
  <c r="P50"/>
  <c r="P49"/>
  <c r="P48"/>
  <c r="P47"/>
  <c r="P46"/>
  <c r="P45"/>
  <c r="P44"/>
  <c r="P43"/>
  <c r="P42"/>
  <c r="P41"/>
  <c r="P40"/>
  <c r="P39"/>
  <c r="P38"/>
  <c r="P37"/>
  <c r="P36"/>
  <c r="P35"/>
  <c r="P34"/>
  <c r="P33"/>
  <c r="P31"/>
  <c r="P30"/>
  <c r="P29"/>
  <c r="P28"/>
  <c r="P27"/>
  <c r="P26"/>
  <c r="P25"/>
  <c r="P24"/>
  <c r="P23"/>
  <c r="P22"/>
  <c r="P21"/>
  <c r="P20"/>
  <c r="P19"/>
  <c r="P18"/>
  <c r="P17"/>
  <c r="P16"/>
  <c r="P15"/>
  <c r="P14"/>
  <c r="P13"/>
  <c r="P12"/>
  <c r="P11"/>
  <c r="P10"/>
  <c r="P9"/>
  <c r="P53" i="65069"/>
  <c r="P52"/>
  <c r="P51"/>
  <c r="P50"/>
  <c r="P49"/>
  <c r="P48"/>
  <c r="P47"/>
  <c r="P46"/>
  <c r="P45"/>
  <c r="P44"/>
  <c r="P43"/>
  <c r="P42"/>
  <c r="P41"/>
  <c r="P40"/>
  <c r="P39"/>
  <c r="P38"/>
  <c r="P37"/>
  <c r="P36"/>
  <c r="P35"/>
  <c r="P34"/>
  <c r="P32"/>
  <c r="P31"/>
  <c r="P30"/>
  <c r="P29"/>
  <c r="P28"/>
  <c r="P27"/>
  <c r="P26"/>
  <c r="P25"/>
  <c r="P24"/>
  <c r="P23"/>
  <c r="P22"/>
  <c r="P21"/>
  <c r="P20"/>
  <c r="P19"/>
  <c r="P18"/>
  <c r="P17"/>
  <c r="P16"/>
  <c r="P15"/>
  <c r="P14"/>
  <c r="P13"/>
  <c r="P12"/>
  <c r="P11"/>
  <c r="P10"/>
  <c r="P9"/>
  <c r="P53" i="65070"/>
  <c r="P52"/>
  <c r="P51"/>
  <c r="P50"/>
  <c r="P49"/>
  <c r="P48"/>
  <c r="P47"/>
  <c r="P46"/>
  <c r="P45"/>
  <c r="P44"/>
  <c r="P43"/>
  <c r="P42"/>
  <c r="P41"/>
  <c r="P40"/>
  <c r="P39"/>
  <c r="P38"/>
  <c r="P37"/>
  <c r="P36"/>
  <c r="P35"/>
  <c r="P33"/>
  <c r="P32"/>
  <c r="P31"/>
  <c r="P30"/>
  <c r="P29"/>
  <c r="P28"/>
  <c r="P27"/>
  <c r="P26"/>
  <c r="P25"/>
  <c r="P24"/>
  <c r="P23"/>
  <c r="P22"/>
  <c r="P21"/>
  <c r="P20"/>
  <c r="P19"/>
  <c r="P18"/>
  <c r="P17"/>
  <c r="P16"/>
  <c r="P15"/>
  <c r="P14"/>
  <c r="P13"/>
  <c r="P12"/>
  <c r="P11"/>
  <c r="P10"/>
  <c r="P9"/>
  <c r="P53" i="65071"/>
  <c r="P52"/>
  <c r="P51"/>
  <c r="P50"/>
  <c r="P49"/>
  <c r="P48"/>
  <c r="P47"/>
  <c r="P46"/>
  <c r="P45"/>
  <c r="P44"/>
  <c r="P43"/>
  <c r="P42"/>
  <c r="P41"/>
  <c r="P40"/>
  <c r="P39"/>
  <c r="P38"/>
  <c r="P37"/>
  <c r="P36"/>
  <c r="P35"/>
  <c r="P34"/>
  <c r="P32"/>
  <c r="P31"/>
  <c r="P30"/>
  <c r="P29"/>
  <c r="P28"/>
  <c r="P27"/>
  <c r="P26"/>
  <c r="P25"/>
  <c r="P24"/>
  <c r="P23"/>
  <c r="P22"/>
  <c r="P21"/>
  <c r="P20"/>
  <c r="P19"/>
  <c r="P18"/>
  <c r="P17"/>
  <c r="P16"/>
  <c r="P15"/>
  <c r="P14"/>
  <c r="P13"/>
  <c r="P12"/>
  <c r="P11"/>
  <c r="P10"/>
  <c r="P9"/>
  <c r="P53" i="65074"/>
  <c r="P52"/>
  <c r="P51"/>
  <c r="P50"/>
  <c r="P49"/>
  <c r="P48"/>
  <c r="P47"/>
  <c r="P46"/>
  <c r="P45"/>
  <c r="P44"/>
  <c r="P43"/>
  <c r="P42"/>
  <c r="P41"/>
  <c r="P40"/>
  <c r="P39"/>
  <c r="P38"/>
  <c r="P37"/>
  <c r="P36"/>
  <c r="P35"/>
  <c r="P34"/>
  <c r="P33"/>
  <c r="P31"/>
  <c r="P30"/>
  <c r="P29"/>
  <c r="P28"/>
  <c r="P27"/>
  <c r="P26"/>
  <c r="P25"/>
  <c r="P24"/>
  <c r="P23"/>
  <c r="P22"/>
  <c r="P21"/>
  <c r="P20"/>
  <c r="P19"/>
  <c r="P18"/>
  <c r="P17"/>
  <c r="P16"/>
  <c r="P15"/>
  <c r="P14"/>
  <c r="P13"/>
  <c r="P12"/>
  <c r="P11"/>
  <c r="P10"/>
  <c r="P9"/>
  <c r="P53" i="65100"/>
  <c r="P52"/>
  <c r="P51"/>
  <c r="P50"/>
  <c r="P49"/>
  <c r="P48"/>
  <c r="P47"/>
  <c r="P46"/>
  <c r="P45"/>
  <c r="P44"/>
  <c r="P43"/>
  <c r="P42"/>
  <c r="P41"/>
  <c r="P40"/>
  <c r="P39"/>
  <c r="P38"/>
  <c r="P37"/>
  <c r="P36"/>
  <c r="P35"/>
  <c r="P33"/>
  <c r="P31"/>
  <c r="P30"/>
  <c r="P29"/>
  <c r="P28"/>
  <c r="P27"/>
  <c r="P26"/>
  <c r="P25"/>
  <c r="P24"/>
  <c r="P23"/>
  <c r="P22"/>
  <c r="P21"/>
  <c r="P20"/>
  <c r="P19"/>
  <c r="P18"/>
  <c r="P17"/>
  <c r="P16"/>
  <c r="P15"/>
  <c r="P14"/>
  <c r="P13"/>
  <c r="P12"/>
  <c r="P11"/>
  <c r="P10"/>
  <c r="P9"/>
  <c r="P53" i="65115"/>
  <c r="P52"/>
  <c r="P51"/>
  <c r="P50"/>
  <c r="P49"/>
  <c r="P48"/>
  <c r="P47"/>
  <c r="P46"/>
  <c r="P45"/>
  <c r="P44"/>
  <c r="P43"/>
  <c r="P42"/>
  <c r="P41"/>
  <c r="P40"/>
  <c r="P39"/>
  <c r="P38"/>
  <c r="P37"/>
  <c r="P36"/>
  <c r="P35"/>
  <c r="P34"/>
  <c r="P33"/>
  <c r="P31"/>
  <c r="P30"/>
  <c r="P29"/>
  <c r="P28"/>
  <c r="P27"/>
  <c r="P26"/>
  <c r="P25"/>
  <c r="P24"/>
  <c r="P23"/>
  <c r="P22"/>
  <c r="P21"/>
  <c r="P20"/>
  <c r="P19"/>
  <c r="P18"/>
  <c r="P17"/>
  <c r="P16"/>
  <c r="P15"/>
  <c r="P14"/>
  <c r="P13"/>
  <c r="P12"/>
  <c r="P11"/>
  <c r="P10"/>
  <c r="P9"/>
  <c r="P53" i="65141"/>
  <c r="P52"/>
  <c r="P51"/>
  <c r="P50"/>
  <c r="P49"/>
  <c r="P48"/>
  <c r="P47"/>
  <c r="P46"/>
  <c r="P45"/>
  <c r="P44"/>
  <c r="P43"/>
  <c r="P42"/>
  <c r="P41"/>
  <c r="P40"/>
  <c r="P39"/>
  <c r="P38"/>
  <c r="P37"/>
  <c r="P36"/>
  <c r="P34"/>
  <c r="P33"/>
  <c r="P32"/>
  <c r="P31"/>
  <c r="P30"/>
  <c r="P29"/>
  <c r="P28"/>
  <c r="P27"/>
  <c r="P26"/>
  <c r="P25"/>
  <c r="P24"/>
  <c r="P23"/>
  <c r="P22"/>
  <c r="P21"/>
  <c r="P20"/>
  <c r="P19"/>
  <c r="P18"/>
  <c r="P17"/>
  <c r="P16"/>
  <c r="P15"/>
  <c r="P14"/>
  <c r="P13"/>
  <c r="P12"/>
  <c r="P11"/>
  <c r="P10"/>
  <c r="P9"/>
  <c r="P53" i="65075"/>
  <c r="P52"/>
  <c r="P51"/>
  <c r="P50"/>
  <c r="P49"/>
  <c r="P48"/>
  <c r="P47"/>
  <c r="P46"/>
  <c r="P45"/>
  <c r="P44"/>
  <c r="P43"/>
  <c r="P42"/>
  <c r="P40"/>
  <c r="P39"/>
  <c r="P38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P19"/>
  <c r="P18"/>
  <c r="P17"/>
  <c r="P16"/>
  <c r="P15"/>
  <c r="P14"/>
  <c r="P13"/>
  <c r="P12"/>
  <c r="P11"/>
  <c r="P10"/>
  <c r="P9"/>
  <c r="P53" i="65076"/>
  <c r="P52"/>
  <c r="P51"/>
  <c r="P50"/>
  <c r="P48"/>
  <c r="P47"/>
  <c r="P46"/>
  <c r="P45"/>
  <c r="P44"/>
  <c r="P43"/>
  <c r="P42"/>
  <c r="P41"/>
  <c r="P40"/>
  <c r="P39"/>
  <c r="P38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P19"/>
  <c r="P18"/>
  <c r="P17"/>
  <c r="P16"/>
  <c r="P15"/>
  <c r="P14"/>
  <c r="P13"/>
  <c r="P12"/>
  <c r="P11"/>
  <c r="P10"/>
  <c r="P9"/>
  <c r="P53" i="65077"/>
  <c r="P52"/>
  <c r="P51"/>
  <c r="P50"/>
  <c r="P49"/>
  <c r="P48"/>
  <c r="P47"/>
  <c r="P46"/>
  <c r="P45"/>
  <c r="P44"/>
  <c r="P43"/>
  <c r="P42"/>
  <c r="P41"/>
  <c r="P40"/>
  <c r="P39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P19"/>
  <c r="P18"/>
  <c r="P17"/>
  <c r="P16"/>
  <c r="P15"/>
  <c r="P14"/>
  <c r="P13"/>
  <c r="P12"/>
  <c r="P11"/>
  <c r="P10"/>
  <c r="P9"/>
  <c r="P53" i="65078"/>
  <c r="P52"/>
  <c r="P51"/>
  <c r="P50"/>
  <c r="P49"/>
  <c r="P48"/>
  <c r="P47"/>
  <c r="P46"/>
  <c r="P45"/>
  <c r="P44"/>
  <c r="P43"/>
  <c r="P42"/>
  <c r="P41"/>
  <c r="P40"/>
  <c r="P39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P19"/>
  <c r="P18"/>
  <c r="P17"/>
  <c r="P16"/>
  <c r="P15"/>
  <c r="P14"/>
  <c r="P13"/>
  <c r="P12"/>
  <c r="P11"/>
  <c r="P10"/>
  <c r="P9"/>
  <c r="P53" i="65079"/>
  <c r="P52"/>
  <c r="P51"/>
  <c r="P50"/>
  <c r="P49"/>
  <c r="P48"/>
  <c r="P47"/>
  <c r="P46"/>
  <c r="P45"/>
  <c r="P44"/>
  <c r="P43"/>
  <c r="P41"/>
  <c r="P40"/>
  <c r="P39"/>
  <c r="P38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P19"/>
  <c r="P18"/>
  <c r="P17"/>
  <c r="P16"/>
  <c r="P15"/>
  <c r="P14"/>
  <c r="P13"/>
  <c r="P12"/>
  <c r="P11"/>
  <c r="P10"/>
  <c r="P9"/>
  <c r="P53" i="65080"/>
  <c r="P52"/>
  <c r="P51"/>
  <c r="P50"/>
  <c r="P49"/>
  <c r="P48"/>
  <c r="P47"/>
  <c r="P46"/>
  <c r="P44"/>
  <c r="P43"/>
  <c r="P42"/>
  <c r="P41"/>
  <c r="P40"/>
  <c r="P39"/>
  <c r="P38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P19"/>
  <c r="P18"/>
  <c r="P17"/>
  <c r="P16"/>
  <c r="P15"/>
  <c r="P14"/>
  <c r="P13"/>
  <c r="P12"/>
  <c r="P11"/>
  <c r="P10"/>
  <c r="P9"/>
  <c r="P53" i="65082"/>
  <c r="P52"/>
  <c r="P51"/>
  <c r="P50"/>
  <c r="P49"/>
  <c r="P48"/>
  <c r="P47"/>
  <c r="P46"/>
  <c r="P45"/>
  <c r="P44"/>
  <c r="P43"/>
  <c r="P42"/>
  <c r="P41"/>
  <c r="P40"/>
  <c r="P39"/>
  <c r="P38"/>
  <c r="P37"/>
  <c r="P36"/>
  <c r="P35"/>
  <c r="P34"/>
  <c r="P33"/>
  <c r="P31"/>
  <c r="P30"/>
  <c r="P29"/>
  <c r="P28"/>
  <c r="P27"/>
  <c r="P26"/>
  <c r="P25"/>
  <c r="P24"/>
  <c r="P23"/>
  <c r="P22"/>
  <c r="P21"/>
  <c r="P20"/>
  <c r="P19"/>
  <c r="P18"/>
  <c r="P17"/>
  <c r="P16"/>
  <c r="P15"/>
  <c r="P14"/>
  <c r="P13"/>
  <c r="P12"/>
  <c r="P11"/>
  <c r="P10"/>
  <c r="P9"/>
  <c r="P53" i="65081"/>
  <c r="P52"/>
  <c r="P51"/>
  <c r="P50"/>
  <c r="P49"/>
  <c r="P48"/>
  <c r="P47"/>
  <c r="P46"/>
  <c r="P45"/>
  <c r="P44"/>
  <c r="P43"/>
  <c r="P42"/>
  <c r="P41"/>
  <c r="P40"/>
  <c r="P39"/>
  <c r="P38"/>
  <c r="P37"/>
  <c r="P36"/>
  <c r="P35"/>
  <c r="P34"/>
  <c r="P33"/>
  <c r="P31"/>
  <c r="P30"/>
  <c r="P29"/>
  <c r="P28"/>
  <c r="P27"/>
  <c r="P26"/>
  <c r="P25"/>
  <c r="P24"/>
  <c r="P23"/>
  <c r="P22"/>
  <c r="P21"/>
  <c r="P20"/>
  <c r="P19"/>
  <c r="P18"/>
  <c r="P17"/>
  <c r="P16"/>
  <c r="P15"/>
  <c r="P14"/>
  <c r="P13"/>
  <c r="P12"/>
  <c r="P11"/>
  <c r="P10"/>
  <c r="P9"/>
  <c r="P53" i="65122"/>
  <c r="P52"/>
  <c r="P51"/>
  <c r="P50"/>
  <c r="P49"/>
  <c r="P48"/>
  <c r="P47"/>
  <c r="P46"/>
  <c r="P45"/>
  <c r="P44"/>
  <c r="P43"/>
  <c r="P42"/>
  <c r="P41"/>
  <c r="P40"/>
  <c r="P39"/>
  <c r="P38"/>
  <c r="P37"/>
  <c r="P36"/>
  <c r="P35"/>
  <c r="P33"/>
  <c r="P31"/>
  <c r="P30"/>
  <c r="P29"/>
  <c r="P28"/>
  <c r="P27"/>
  <c r="P26"/>
  <c r="P25"/>
  <c r="P24"/>
  <c r="P23"/>
  <c r="P22"/>
  <c r="P21"/>
  <c r="P20"/>
  <c r="P19"/>
  <c r="P18"/>
  <c r="P17"/>
  <c r="P16"/>
  <c r="P15"/>
  <c r="P14"/>
  <c r="P13"/>
  <c r="P12"/>
  <c r="P11"/>
  <c r="P10"/>
  <c r="P9"/>
  <c r="P53" i="65083"/>
  <c r="P52"/>
  <c r="P51"/>
  <c r="P50"/>
  <c r="P49"/>
  <c r="P48"/>
  <c r="P47"/>
  <c r="P46"/>
  <c r="P45"/>
  <c r="P44"/>
  <c r="P43"/>
  <c r="P42"/>
  <c r="P41"/>
  <c r="P40"/>
  <c r="P39"/>
  <c r="P38"/>
  <c r="P37"/>
  <c r="P36"/>
  <c r="P35"/>
  <c r="P34"/>
  <c r="P33"/>
  <c r="P31"/>
  <c r="P30"/>
  <c r="P29"/>
  <c r="P28"/>
  <c r="P27"/>
  <c r="P26"/>
  <c r="P25"/>
  <c r="P24"/>
  <c r="P23"/>
  <c r="P22"/>
  <c r="P21"/>
  <c r="P20"/>
  <c r="P19"/>
  <c r="P18"/>
  <c r="P17"/>
  <c r="P16"/>
  <c r="P15"/>
  <c r="P14"/>
  <c r="P13"/>
  <c r="P12"/>
  <c r="P11"/>
  <c r="P10"/>
  <c r="P9"/>
  <c r="P53" i="65084"/>
  <c r="P52"/>
  <c r="P51"/>
  <c r="P50"/>
  <c r="P49"/>
  <c r="P48"/>
  <c r="P47"/>
  <c r="P46"/>
  <c r="P45"/>
  <c r="P44"/>
  <c r="P43"/>
  <c r="P42"/>
  <c r="P41"/>
  <c r="P40"/>
  <c r="P39"/>
  <c r="P38"/>
  <c r="P37"/>
  <c r="P36"/>
  <c r="P35"/>
  <c r="P34"/>
  <c r="P33"/>
  <c r="P31"/>
  <c r="P30"/>
  <c r="P29"/>
  <c r="P28"/>
  <c r="P27"/>
  <c r="P26"/>
  <c r="P25"/>
  <c r="P24"/>
  <c r="P23"/>
  <c r="P22"/>
  <c r="P21"/>
  <c r="P20"/>
  <c r="P19"/>
  <c r="P18"/>
  <c r="P17"/>
  <c r="P16"/>
  <c r="P15"/>
  <c r="P14"/>
  <c r="P13"/>
  <c r="P12"/>
  <c r="P11"/>
  <c r="P10"/>
  <c r="P9"/>
  <c r="P53" i="65085"/>
  <c r="P52"/>
  <c r="P51"/>
  <c r="P50"/>
  <c r="P49"/>
  <c r="P48"/>
  <c r="P47"/>
  <c r="P46"/>
  <c r="P45"/>
  <c r="P44"/>
  <c r="P43"/>
  <c r="P42"/>
  <c r="P41"/>
  <c r="P40"/>
  <c r="P39"/>
  <c r="P38"/>
  <c r="P37"/>
  <c r="P36"/>
  <c r="P35"/>
  <c r="P34"/>
  <c r="P33"/>
  <c r="P31"/>
  <c r="P30"/>
  <c r="P29"/>
  <c r="P28"/>
  <c r="P27"/>
  <c r="P26"/>
  <c r="P25"/>
  <c r="P24"/>
  <c r="P23"/>
  <c r="P22"/>
  <c r="P21"/>
  <c r="P20"/>
  <c r="P19"/>
  <c r="P18"/>
  <c r="P17"/>
  <c r="P16"/>
  <c r="P15"/>
  <c r="P14"/>
  <c r="P13"/>
  <c r="P12"/>
  <c r="P11"/>
  <c r="P10"/>
  <c r="P9"/>
  <c r="P53" i="65086"/>
  <c r="P52"/>
  <c r="P51"/>
  <c r="P50"/>
  <c r="P49"/>
  <c r="P48"/>
  <c r="P47"/>
  <c r="P46"/>
  <c r="P45"/>
  <c r="P44"/>
  <c r="P43"/>
  <c r="P42"/>
  <c r="P41"/>
  <c r="P40"/>
  <c r="P39"/>
  <c r="P38"/>
  <c r="P37"/>
  <c r="P36"/>
  <c r="P35"/>
  <c r="P34"/>
  <c r="P33"/>
  <c r="P31"/>
  <c r="P30"/>
  <c r="P29"/>
  <c r="P28"/>
  <c r="P27"/>
  <c r="P26"/>
  <c r="P25"/>
  <c r="P24"/>
  <c r="P23"/>
  <c r="P22"/>
  <c r="P21"/>
  <c r="P20"/>
  <c r="P19"/>
  <c r="P18"/>
  <c r="P17"/>
  <c r="P16"/>
  <c r="P15"/>
  <c r="P14"/>
  <c r="P13"/>
  <c r="P12"/>
  <c r="P11"/>
  <c r="P10"/>
  <c r="P9"/>
  <c r="P53" i="65087"/>
  <c r="P52"/>
  <c r="P51"/>
  <c r="P50"/>
  <c r="P49"/>
  <c r="P48"/>
  <c r="P47"/>
  <c r="P46"/>
  <c r="P45"/>
  <c r="P44"/>
  <c r="P43"/>
  <c r="P42"/>
  <c r="P41"/>
  <c r="P40"/>
  <c r="P39"/>
  <c r="P38"/>
  <c r="P37"/>
  <c r="P36"/>
  <c r="P35"/>
  <c r="P34"/>
  <c r="P33"/>
  <c r="P31"/>
  <c r="P30"/>
  <c r="P29"/>
  <c r="P28"/>
  <c r="P27"/>
  <c r="P26"/>
  <c r="P25"/>
  <c r="P24"/>
  <c r="P23"/>
  <c r="P22"/>
  <c r="P21"/>
  <c r="P20"/>
  <c r="P19"/>
  <c r="P18"/>
  <c r="P17"/>
  <c r="P16"/>
  <c r="P15"/>
  <c r="P14"/>
  <c r="P13"/>
  <c r="P12"/>
  <c r="P11"/>
  <c r="P10"/>
  <c r="P9"/>
  <c r="P53" i="65088"/>
  <c r="P52"/>
  <c r="P51"/>
  <c r="P50"/>
  <c r="P49"/>
  <c r="P48"/>
  <c r="P47"/>
  <c r="P46"/>
  <c r="P45"/>
  <c r="P44"/>
  <c r="P43"/>
  <c r="P42"/>
  <c r="P41"/>
  <c r="P40"/>
  <c r="P39"/>
  <c r="P38"/>
  <c r="P37"/>
  <c r="P36"/>
  <c r="P35"/>
  <c r="P34"/>
  <c r="P33"/>
  <c r="P31"/>
  <c r="P30"/>
  <c r="P29"/>
  <c r="P28"/>
  <c r="P27"/>
  <c r="P26"/>
  <c r="P25"/>
  <c r="P24"/>
  <c r="P23"/>
  <c r="P22"/>
  <c r="P21"/>
  <c r="P20"/>
  <c r="P19"/>
  <c r="P18"/>
  <c r="P17"/>
  <c r="P16"/>
  <c r="P15"/>
  <c r="P14"/>
  <c r="P13"/>
  <c r="P12"/>
  <c r="P11"/>
  <c r="P10"/>
  <c r="P9"/>
  <c r="P53" i="65089"/>
  <c r="P52"/>
  <c r="P51"/>
  <c r="P50"/>
  <c r="P49"/>
  <c r="P48"/>
  <c r="P47"/>
  <c r="P46"/>
  <c r="P45"/>
  <c r="P44"/>
  <c r="P43"/>
  <c r="P42"/>
  <c r="P41"/>
  <c r="P40"/>
  <c r="P39"/>
  <c r="P38"/>
  <c r="P37"/>
  <c r="P36"/>
  <c r="P33"/>
  <c r="P31"/>
  <c r="P30"/>
  <c r="P29"/>
  <c r="P28"/>
  <c r="P27"/>
  <c r="P26"/>
  <c r="P25"/>
  <c r="P24"/>
  <c r="P23"/>
  <c r="P22"/>
  <c r="P21"/>
  <c r="P20"/>
  <c r="P19"/>
  <c r="P18"/>
  <c r="P17"/>
  <c r="P16"/>
  <c r="P15"/>
  <c r="P14"/>
  <c r="P13"/>
  <c r="P12"/>
  <c r="P11"/>
  <c r="P10"/>
  <c r="P9"/>
  <c r="P53" i="65093"/>
  <c r="P52"/>
  <c r="P51"/>
  <c r="P50"/>
  <c r="P49"/>
  <c r="P48"/>
  <c r="P47"/>
  <c r="P46"/>
  <c r="P45"/>
  <c r="P44"/>
  <c r="P43"/>
  <c r="P42"/>
  <c r="P41"/>
  <c r="P40"/>
  <c r="P39"/>
  <c r="P38"/>
  <c r="P37"/>
  <c r="P36"/>
  <c r="P34"/>
  <c r="P33"/>
  <c r="P32"/>
  <c r="P31"/>
  <c r="P30"/>
  <c r="P29"/>
  <c r="P28"/>
  <c r="P27"/>
  <c r="P26"/>
  <c r="P25"/>
  <c r="P24"/>
  <c r="P23"/>
  <c r="P22"/>
  <c r="P21"/>
  <c r="P20"/>
  <c r="P19"/>
  <c r="P18"/>
  <c r="P17"/>
  <c r="P16"/>
  <c r="P15"/>
  <c r="P14"/>
  <c r="P13"/>
  <c r="P12"/>
  <c r="P11"/>
  <c r="P10"/>
  <c r="P9"/>
  <c r="P53" i="65094"/>
  <c r="P52"/>
  <c r="P51"/>
  <c r="P50"/>
  <c r="P49"/>
  <c r="P48"/>
  <c r="P47"/>
  <c r="P46"/>
  <c r="P45"/>
  <c r="P44"/>
  <c r="P43"/>
  <c r="P42"/>
  <c r="P41"/>
  <c r="P40"/>
  <c r="P39"/>
  <c r="P38"/>
  <c r="P37"/>
  <c r="P36"/>
  <c r="P35"/>
  <c r="P34"/>
  <c r="P33"/>
  <c r="P31"/>
  <c r="P30"/>
  <c r="P29"/>
  <c r="P28"/>
  <c r="P27"/>
  <c r="P26"/>
  <c r="P25"/>
  <c r="P24"/>
  <c r="P23"/>
  <c r="P22"/>
  <c r="P21"/>
  <c r="P20"/>
  <c r="P19"/>
  <c r="P18"/>
  <c r="P17"/>
  <c r="P16"/>
  <c r="P15"/>
  <c r="P14"/>
  <c r="P13"/>
  <c r="P12"/>
  <c r="P11"/>
  <c r="P10"/>
  <c r="P9"/>
  <c r="P53" i="65095"/>
  <c r="P52"/>
  <c r="P51"/>
  <c r="P50"/>
  <c r="P49"/>
  <c r="P48"/>
  <c r="P47"/>
  <c r="P46"/>
  <c r="P45"/>
  <c r="P44"/>
  <c r="P43"/>
  <c r="P42"/>
  <c r="P41"/>
  <c r="P40"/>
  <c r="P39"/>
  <c r="P38"/>
  <c r="P36"/>
  <c r="P35"/>
  <c r="P34"/>
  <c r="P33"/>
  <c r="P32"/>
  <c r="P31"/>
  <c r="P30"/>
  <c r="P29"/>
  <c r="P28"/>
  <c r="P27"/>
  <c r="P26"/>
  <c r="P25"/>
  <c r="P24"/>
  <c r="P23"/>
  <c r="P22"/>
  <c r="P21"/>
  <c r="P20"/>
  <c r="P19"/>
  <c r="P18"/>
  <c r="P17"/>
  <c r="P16"/>
  <c r="P15"/>
  <c r="P14"/>
  <c r="P13"/>
  <c r="P12"/>
  <c r="P11"/>
  <c r="P10"/>
  <c r="P9"/>
  <c r="P53" i="65096"/>
  <c r="P52"/>
  <c r="P51"/>
  <c r="P50"/>
  <c r="P49"/>
  <c r="P48"/>
  <c r="P47"/>
  <c r="P46"/>
  <c r="P45"/>
  <c r="P44"/>
  <c r="P43"/>
  <c r="P42"/>
  <c r="P41"/>
  <c r="P40"/>
  <c r="P39"/>
  <c r="P38"/>
  <c r="P37"/>
  <c r="P36"/>
  <c r="P35"/>
  <c r="P34"/>
  <c r="P33"/>
  <c r="P31"/>
  <c r="P30"/>
  <c r="P29"/>
  <c r="P28"/>
  <c r="P27"/>
  <c r="P26"/>
  <c r="P25"/>
  <c r="P24"/>
  <c r="P23"/>
  <c r="P22"/>
  <c r="P21"/>
  <c r="P20"/>
  <c r="P19"/>
  <c r="P18"/>
  <c r="P17"/>
  <c r="P16"/>
  <c r="P15"/>
  <c r="P14"/>
  <c r="P13"/>
  <c r="P12"/>
  <c r="P11"/>
  <c r="P10"/>
  <c r="P9"/>
  <c r="P53" i="65097"/>
  <c r="P52"/>
  <c r="P51"/>
  <c r="P50"/>
  <c r="P49"/>
  <c r="P48"/>
  <c r="P47"/>
  <c r="P46"/>
  <c r="P45"/>
  <c r="P44"/>
  <c r="P43"/>
  <c r="P42"/>
  <c r="P41"/>
  <c r="P40"/>
  <c r="P39"/>
  <c r="P38"/>
  <c r="P37"/>
  <c r="P36"/>
  <c r="P35"/>
  <c r="P34"/>
  <c r="P33"/>
  <c r="P31"/>
  <c r="P30"/>
  <c r="P29"/>
  <c r="P28"/>
  <c r="P27"/>
  <c r="P26"/>
  <c r="P25"/>
  <c r="P24"/>
  <c r="P23"/>
  <c r="P22"/>
  <c r="P21"/>
  <c r="P20"/>
  <c r="P19"/>
  <c r="P18"/>
  <c r="P17"/>
  <c r="P16"/>
  <c r="P15"/>
  <c r="P14"/>
  <c r="P13"/>
  <c r="P12"/>
  <c r="P11"/>
  <c r="P10"/>
  <c r="P9"/>
  <c r="P53" i="65098"/>
  <c r="P52"/>
  <c r="P51"/>
  <c r="P50"/>
  <c r="P49"/>
  <c r="P48"/>
  <c r="P47"/>
  <c r="P46"/>
  <c r="P45"/>
  <c r="P44"/>
  <c r="P43"/>
  <c r="P42"/>
  <c r="P41"/>
  <c r="P40"/>
  <c r="P39"/>
  <c r="P38"/>
  <c r="P37"/>
  <c r="P36"/>
  <c r="P35"/>
  <c r="P34"/>
  <c r="P33"/>
  <c r="P31"/>
  <c r="P30"/>
  <c r="P29"/>
  <c r="P28"/>
  <c r="P27"/>
  <c r="P26"/>
  <c r="P25"/>
  <c r="P24"/>
  <c r="P23"/>
  <c r="P22"/>
  <c r="P21"/>
  <c r="P20"/>
  <c r="P19"/>
  <c r="P18"/>
  <c r="P17"/>
  <c r="P16"/>
  <c r="P15"/>
  <c r="P14"/>
  <c r="P13"/>
  <c r="P12"/>
  <c r="P11"/>
  <c r="P10"/>
  <c r="P9"/>
  <c r="P53" i="65105"/>
  <c r="P52"/>
  <c r="P51"/>
  <c r="P50"/>
  <c r="P49"/>
  <c r="P48"/>
  <c r="P47"/>
  <c r="P46"/>
  <c r="P45"/>
  <c r="P44"/>
  <c r="P43"/>
  <c r="P42"/>
  <c r="P41"/>
  <c r="P40"/>
  <c r="P39"/>
  <c r="P38"/>
  <c r="P37"/>
  <c r="P36"/>
  <c r="P35"/>
  <c r="P34"/>
  <c r="P33"/>
  <c r="P31"/>
  <c r="P30"/>
  <c r="P29"/>
  <c r="P28"/>
  <c r="P27"/>
  <c r="P26"/>
  <c r="P25"/>
  <c r="P24"/>
  <c r="P23"/>
  <c r="P22"/>
  <c r="P21"/>
  <c r="P20"/>
  <c r="P19"/>
  <c r="P18"/>
  <c r="P17"/>
  <c r="P16"/>
  <c r="P15"/>
  <c r="P14"/>
  <c r="P13"/>
  <c r="P12"/>
  <c r="P11"/>
  <c r="P10"/>
  <c r="P9"/>
  <c r="P53" i="16"/>
  <c r="P52"/>
  <c r="P51"/>
  <c r="P50"/>
  <c r="P49"/>
  <c r="P48"/>
  <c r="P47"/>
  <c r="P46"/>
  <c r="P45"/>
  <c r="P44"/>
  <c r="P43"/>
  <c r="P42"/>
  <c r="P41"/>
  <c r="P40"/>
  <c r="P39"/>
  <c r="P38"/>
  <c r="P37"/>
  <c r="P36"/>
  <c r="P35"/>
  <c r="P34"/>
  <c r="P32"/>
  <c r="P31"/>
  <c r="P30"/>
  <c r="P29"/>
  <c r="P28"/>
  <c r="P27"/>
  <c r="P26"/>
  <c r="P25"/>
  <c r="P24"/>
  <c r="P23"/>
  <c r="P22"/>
  <c r="P21"/>
  <c r="P20"/>
  <c r="P19"/>
  <c r="P18"/>
  <c r="P17"/>
  <c r="P16"/>
  <c r="P15"/>
  <c r="P14"/>
  <c r="P13"/>
  <c r="P12"/>
  <c r="P11"/>
  <c r="P10"/>
  <c r="P9"/>
  <c r="P8" i="65065"/>
  <c r="P8" i="65067"/>
  <c r="P8" i="65099"/>
  <c r="P8" i="65123"/>
  <c r="P8" i="65140"/>
  <c r="P8" i="65068"/>
  <c r="P8" i="65069"/>
  <c r="P8" i="65070"/>
  <c r="P8" i="65071"/>
  <c r="P8" i="65074"/>
  <c r="P8" i="65100"/>
  <c r="P8" i="65115"/>
  <c r="P8" i="65141"/>
  <c r="P8" i="65075"/>
  <c r="P8" i="65076"/>
  <c r="P8" i="65077"/>
  <c r="P8" i="65078"/>
  <c r="P8" i="65079"/>
  <c r="P8" i="65080"/>
  <c r="P8" i="65082"/>
  <c r="P8" i="65081"/>
  <c r="P8" i="65122"/>
  <c r="P8" i="65083"/>
  <c r="P8" i="65084"/>
  <c r="P8" i="65085"/>
  <c r="P8" i="65086"/>
  <c r="P8" i="65087"/>
  <c r="P8" i="65088"/>
  <c r="P8" i="65089"/>
  <c r="P8" i="65093"/>
  <c r="P8" i="65094"/>
  <c r="P8" i="65095"/>
  <c r="P8" i="65096"/>
  <c r="P8" i="65097"/>
  <c r="P8" i="65098"/>
  <c r="P8" i="65105"/>
  <c r="P8" i="16"/>
  <c r="M115" i="300"/>
  <c r="M112"/>
  <c r="M108"/>
  <c r="M100"/>
  <c r="M96"/>
  <c r="M89"/>
  <c r="M49"/>
  <c r="M24"/>
  <c r="M20"/>
  <c r="M14"/>
  <c r="M8"/>
  <c r="I264" i="65139"/>
  <c r="I263"/>
  <c r="I262"/>
  <c r="I261"/>
  <c r="I260"/>
  <c r="I259"/>
  <c r="I258"/>
  <c r="I257"/>
  <c r="I256"/>
  <c r="I255"/>
  <c r="I254"/>
  <c r="I253"/>
  <c r="I252"/>
  <c r="I251"/>
  <c r="I250"/>
  <c r="I249"/>
  <c r="I248"/>
  <c r="I247"/>
  <c r="I246"/>
  <c r="I245"/>
  <c r="I244"/>
  <c r="I243"/>
  <c r="I242"/>
  <c r="I241"/>
  <c r="I240"/>
  <c r="I239"/>
  <c r="I238"/>
  <c r="I237"/>
  <c r="I236"/>
  <c r="I235"/>
  <c r="I234"/>
  <c r="I233"/>
  <c r="I232"/>
  <c r="I231"/>
  <c r="I230"/>
  <c r="I229"/>
  <c r="I228"/>
  <c r="I227"/>
  <c r="I226"/>
  <c r="I225"/>
  <c r="I224"/>
  <c r="I223"/>
  <c r="I222"/>
  <c r="I221"/>
  <c r="I220"/>
  <c r="I219"/>
  <c r="I218"/>
  <c r="I217"/>
  <c r="I216"/>
  <c r="I215"/>
  <c r="I214"/>
  <c r="I213"/>
  <c r="I212"/>
  <c r="I211"/>
  <c r="I210"/>
  <c r="I209"/>
  <c r="I208"/>
  <c r="I207"/>
  <c r="I206"/>
  <c r="I205"/>
  <c r="I204"/>
  <c r="I203"/>
  <c r="I202"/>
  <c r="I201"/>
  <c r="I200"/>
  <c r="I199"/>
  <c r="I198"/>
  <c r="I197"/>
  <c r="I196"/>
  <c r="I195"/>
  <c r="I194"/>
  <c r="I193"/>
  <c r="I192"/>
  <c r="I191"/>
  <c r="I190"/>
  <c r="I189"/>
  <c r="I188"/>
  <c r="I187"/>
  <c r="I186"/>
  <c r="I185"/>
  <c r="I184"/>
  <c r="I183"/>
  <c r="I182"/>
  <c r="I181"/>
  <c r="I180"/>
  <c r="I179"/>
  <c r="I178"/>
  <c r="I177"/>
  <c r="I176"/>
  <c r="I175"/>
  <c r="I174"/>
  <c r="I173"/>
  <c r="I172"/>
  <c r="I171"/>
  <c r="I170"/>
  <c r="I169"/>
  <c r="I168"/>
  <c r="I167"/>
  <c r="I166"/>
  <c r="I165"/>
  <c r="I164"/>
  <c r="I163"/>
  <c r="I162"/>
  <c r="I161"/>
  <c r="I160"/>
  <c r="I159"/>
  <c r="I158"/>
  <c r="I157"/>
  <c r="I156"/>
  <c r="I155"/>
  <c r="I154"/>
  <c r="I153"/>
  <c r="I152"/>
  <c r="I151"/>
  <c r="I150"/>
  <c r="I149"/>
  <c r="I148"/>
  <c r="I147"/>
  <c r="I146"/>
  <c r="I145"/>
  <c r="I144"/>
  <c r="I143"/>
  <c r="I142"/>
  <c r="I141"/>
  <c r="I140"/>
  <c r="I139"/>
  <c r="I138"/>
  <c r="I137"/>
  <c r="I136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  <c r="I32" i="304"/>
  <c r="G144" i="65139" l="1"/>
  <c r="L20" i="65095" l="1"/>
  <c r="L31" i="65077" l="1"/>
  <c r="L14" i="65098"/>
  <c r="L10"/>
  <c r="G101" i="65139" l="1"/>
  <c r="G92"/>
  <c r="L25" i="65098" l="1"/>
  <c r="L17"/>
  <c r="L29" i="65081" l="1"/>
  <c r="L29" i="65082"/>
  <c r="M29"/>
  <c r="L43" i="65080" l="1"/>
  <c r="M43"/>
  <c r="M42"/>
  <c r="L20"/>
  <c r="M35" i="65079" l="1"/>
  <c r="M36" i="65078"/>
  <c r="L29" i="65077"/>
  <c r="L47" i="65076"/>
  <c r="L33"/>
  <c r="L31" i="65075"/>
  <c r="L30" i="65069"/>
  <c r="L9" i="65065"/>
  <c r="M29" i="65077" l="1"/>
  <c r="M31" i="65075"/>
  <c r="J28" i="65105" l="1"/>
  <c r="I28"/>
  <c r="J16"/>
  <c r="I16"/>
  <c r="J14"/>
  <c r="I14"/>
  <c r="J13"/>
  <c r="I13"/>
  <c r="I10"/>
  <c r="I9"/>
  <c r="J8"/>
  <c r="I8"/>
  <c r="J28" i="65098"/>
  <c r="I28"/>
  <c r="J16"/>
  <c r="I16"/>
  <c r="J13"/>
  <c r="I13"/>
  <c r="J8"/>
  <c r="I8"/>
  <c r="J28" i="65097"/>
  <c r="I28"/>
  <c r="J16"/>
  <c r="I16"/>
  <c r="J14"/>
  <c r="I14"/>
  <c r="J13"/>
  <c r="I13"/>
  <c r="J10"/>
  <c r="I10"/>
  <c r="J9"/>
  <c r="I9"/>
  <c r="J8"/>
  <c r="I8"/>
  <c r="J28" i="65096"/>
  <c r="I28"/>
  <c r="J16"/>
  <c r="I16"/>
  <c r="J14"/>
  <c r="I14"/>
  <c r="J13"/>
  <c r="I13"/>
  <c r="J10"/>
  <c r="I10"/>
  <c r="J9"/>
  <c r="I9"/>
  <c r="J8"/>
  <c r="I8"/>
  <c r="J32" i="65095"/>
  <c r="I32"/>
  <c r="J28"/>
  <c r="I28"/>
  <c r="J16"/>
  <c r="I16"/>
  <c r="I14"/>
  <c r="J13"/>
  <c r="I13"/>
  <c r="J10"/>
  <c r="I10"/>
  <c r="I9"/>
  <c r="J8"/>
  <c r="I8"/>
  <c r="J28" i="65094"/>
  <c r="I28"/>
  <c r="J16"/>
  <c r="I16"/>
  <c r="J14"/>
  <c r="I14"/>
  <c r="J13"/>
  <c r="I13"/>
  <c r="J10"/>
  <c r="I10"/>
  <c r="J9"/>
  <c r="I9"/>
  <c r="J8"/>
  <c r="I8"/>
  <c r="J31" i="65093"/>
  <c r="I31"/>
  <c r="J28"/>
  <c r="I28"/>
  <c r="J16"/>
  <c r="I16"/>
  <c r="J14"/>
  <c r="I14"/>
  <c r="J13"/>
  <c r="I13"/>
  <c r="J10"/>
  <c r="I10"/>
  <c r="J9"/>
  <c r="I9"/>
  <c r="J8"/>
  <c r="I8"/>
  <c r="J28" i="65089"/>
  <c r="I28"/>
  <c r="J16"/>
  <c r="I16"/>
  <c r="J14"/>
  <c r="I14"/>
  <c r="J13"/>
  <c r="I13"/>
  <c r="J10"/>
  <c r="I10"/>
  <c r="J9"/>
  <c r="I9"/>
  <c r="J8"/>
  <c r="I8"/>
  <c r="J28" i="65088"/>
  <c r="I28"/>
  <c r="J16"/>
  <c r="I16"/>
  <c r="J14"/>
  <c r="I14"/>
  <c r="J13"/>
  <c r="I13"/>
  <c r="J10"/>
  <c r="I10"/>
  <c r="J9"/>
  <c r="I9"/>
  <c r="J8"/>
  <c r="I8"/>
  <c r="J28" i="65087"/>
  <c r="I28"/>
  <c r="J16"/>
  <c r="I16"/>
  <c r="J14"/>
  <c r="I14"/>
  <c r="J13"/>
  <c r="I13"/>
  <c r="J10"/>
  <c r="I10"/>
  <c r="J9"/>
  <c r="I9"/>
  <c r="J8"/>
  <c r="I8"/>
  <c r="J28" i="65086"/>
  <c r="I28"/>
  <c r="J16"/>
  <c r="I16"/>
  <c r="J14"/>
  <c r="I14"/>
  <c r="J13"/>
  <c r="I13"/>
  <c r="J10"/>
  <c r="I10"/>
  <c r="J9"/>
  <c r="I9"/>
  <c r="J8"/>
  <c r="I8"/>
  <c r="J28" i="65085"/>
  <c r="I28"/>
  <c r="J16"/>
  <c r="I16"/>
  <c r="J14"/>
  <c r="I14"/>
  <c r="J13"/>
  <c r="I13"/>
  <c r="J10"/>
  <c r="I10"/>
  <c r="J9"/>
  <c r="I9"/>
  <c r="J8"/>
  <c r="I8"/>
  <c r="J28" i="65084"/>
  <c r="I28"/>
  <c r="J16"/>
  <c r="I16"/>
  <c r="I14"/>
  <c r="J13"/>
  <c r="I13"/>
  <c r="J10"/>
  <c r="I10"/>
  <c r="I9"/>
  <c r="J8"/>
  <c r="I8"/>
  <c r="J28" i="65083"/>
  <c r="I28"/>
  <c r="J16"/>
  <c r="I16"/>
  <c r="J14"/>
  <c r="I14"/>
  <c r="J13"/>
  <c r="I13"/>
  <c r="J10"/>
  <c r="I10"/>
  <c r="J9"/>
  <c r="I9"/>
  <c r="J8"/>
  <c r="I8"/>
  <c r="J28" i="65122"/>
  <c r="I28"/>
  <c r="J16"/>
  <c r="I16"/>
  <c r="J14"/>
  <c r="I14"/>
  <c r="J13"/>
  <c r="I13"/>
  <c r="J10"/>
  <c r="I10"/>
  <c r="J9"/>
  <c r="I9"/>
  <c r="J8"/>
  <c r="I8"/>
  <c r="J28" i="65081"/>
  <c r="I28"/>
  <c r="J16"/>
  <c r="I16"/>
  <c r="J14"/>
  <c r="I14"/>
  <c r="J13"/>
  <c r="I13"/>
  <c r="J10"/>
  <c r="I10"/>
  <c r="J9"/>
  <c r="I9"/>
  <c r="J8"/>
  <c r="I8"/>
  <c r="J28" i="65082"/>
  <c r="I28"/>
  <c r="J16"/>
  <c r="I16"/>
  <c r="J14"/>
  <c r="I14"/>
  <c r="J13"/>
  <c r="I13"/>
  <c r="J10"/>
  <c r="I10"/>
  <c r="J9"/>
  <c r="I9"/>
  <c r="J8"/>
  <c r="I8"/>
  <c r="J41" i="65080"/>
  <c r="I41"/>
  <c r="J37"/>
  <c r="I37"/>
  <c r="J31"/>
  <c r="I31"/>
  <c r="J16"/>
  <c r="I16"/>
  <c r="J14"/>
  <c r="I14"/>
  <c r="J13"/>
  <c r="I13"/>
  <c r="J10"/>
  <c r="I10"/>
  <c r="J9"/>
  <c r="I9"/>
  <c r="J8"/>
  <c r="I8"/>
  <c r="J38" i="65079"/>
  <c r="I38"/>
  <c r="J34"/>
  <c r="I34"/>
  <c r="J28"/>
  <c r="I28"/>
  <c r="J16"/>
  <c r="I16"/>
  <c r="I14"/>
  <c r="J13"/>
  <c r="I13"/>
  <c r="I10"/>
  <c r="I9"/>
  <c r="J8"/>
  <c r="I8"/>
  <c r="J32" i="65078"/>
  <c r="I32"/>
  <c r="J29"/>
  <c r="I29"/>
  <c r="J16"/>
  <c r="I16"/>
  <c r="J14"/>
  <c r="I14"/>
  <c r="J13"/>
  <c r="I13"/>
  <c r="J10"/>
  <c r="I10"/>
  <c r="J9"/>
  <c r="I9"/>
  <c r="J8"/>
  <c r="I8"/>
  <c r="J34" i="65077"/>
  <c r="I34"/>
  <c r="J28"/>
  <c r="I28"/>
  <c r="J16"/>
  <c r="I16"/>
  <c r="J14"/>
  <c r="I14"/>
  <c r="J13"/>
  <c r="I13"/>
  <c r="J10"/>
  <c r="I10"/>
  <c r="J9"/>
  <c r="I9"/>
  <c r="J8"/>
  <c r="I8"/>
  <c r="J45" i="65076"/>
  <c r="I45"/>
  <c r="J41"/>
  <c r="I41"/>
  <c r="J37"/>
  <c r="I37"/>
  <c r="J32"/>
  <c r="I32"/>
  <c r="J19"/>
  <c r="I19"/>
  <c r="J16"/>
  <c r="I16"/>
  <c r="J13"/>
  <c r="I13"/>
  <c r="J12"/>
  <c r="I12"/>
  <c r="J11"/>
  <c r="I11"/>
  <c r="J8"/>
  <c r="I8"/>
  <c r="J37" i="65075"/>
  <c r="I37"/>
  <c r="J33"/>
  <c r="I33"/>
  <c r="J29"/>
  <c r="I29"/>
  <c r="J16"/>
  <c r="I16"/>
  <c r="J14"/>
  <c r="I14"/>
  <c r="J13"/>
  <c r="I13"/>
  <c r="J10"/>
  <c r="I10"/>
  <c r="J9"/>
  <c r="I9"/>
  <c r="J8"/>
  <c r="I8"/>
  <c r="J28" i="65141"/>
  <c r="I28"/>
  <c r="J16"/>
  <c r="I16"/>
  <c r="J14"/>
  <c r="I14"/>
  <c r="J13"/>
  <c r="I13"/>
  <c r="J10"/>
  <c r="I10"/>
  <c r="J9"/>
  <c r="I9"/>
  <c r="J8"/>
  <c r="I8"/>
  <c r="J28" i="65115"/>
  <c r="I28"/>
  <c r="J16"/>
  <c r="I16"/>
  <c r="J14"/>
  <c r="I14"/>
  <c r="J13"/>
  <c r="I13"/>
  <c r="I10"/>
  <c r="J9"/>
  <c r="I9"/>
  <c r="J8"/>
  <c r="I8"/>
  <c r="J28" i="65100"/>
  <c r="I28"/>
  <c r="J16"/>
  <c r="I16"/>
  <c r="J14"/>
  <c r="I14"/>
  <c r="J13"/>
  <c r="I13"/>
  <c r="J10"/>
  <c r="I10"/>
  <c r="J8"/>
  <c r="I8"/>
  <c r="J28" i="65074"/>
  <c r="I28"/>
  <c r="J16"/>
  <c r="I16"/>
  <c r="J14"/>
  <c r="I14"/>
  <c r="J13"/>
  <c r="I13"/>
  <c r="J10"/>
  <c r="I10"/>
  <c r="J9"/>
  <c r="I9"/>
  <c r="J8"/>
  <c r="I8"/>
  <c r="J29" i="65071"/>
  <c r="I29"/>
  <c r="J16"/>
  <c r="I16"/>
  <c r="J14"/>
  <c r="I14"/>
  <c r="J13"/>
  <c r="I13"/>
  <c r="J10"/>
  <c r="I10"/>
  <c r="I9"/>
  <c r="J8"/>
  <c r="I8"/>
  <c r="J30" i="65070"/>
  <c r="I30"/>
  <c r="J16"/>
  <c r="I16"/>
  <c r="J14"/>
  <c r="I14"/>
  <c r="J13"/>
  <c r="I13"/>
  <c r="J10"/>
  <c r="I10"/>
  <c r="J9"/>
  <c r="I9"/>
  <c r="J8"/>
  <c r="I8"/>
  <c r="J29" i="65069"/>
  <c r="I29"/>
  <c r="J17"/>
  <c r="I17"/>
  <c r="J14"/>
  <c r="I14"/>
  <c r="J13"/>
  <c r="I13"/>
  <c r="I10"/>
  <c r="I9"/>
  <c r="J8"/>
  <c r="I8"/>
  <c r="J28" i="65068"/>
  <c r="I28"/>
  <c r="J20"/>
  <c r="I20"/>
  <c r="J16"/>
  <c r="I16"/>
  <c r="J14"/>
  <c r="I14"/>
  <c r="J13"/>
  <c r="I13"/>
  <c r="J10"/>
  <c r="I10"/>
  <c r="J9"/>
  <c r="I9"/>
  <c r="J8"/>
  <c r="I8"/>
  <c r="J31" i="65140"/>
  <c r="I31"/>
  <c r="J28"/>
  <c r="I28"/>
  <c r="J16"/>
  <c r="I16"/>
  <c r="J14"/>
  <c r="I14"/>
  <c r="J13"/>
  <c r="I13"/>
  <c r="J10"/>
  <c r="I10"/>
  <c r="J8"/>
  <c r="I8"/>
  <c r="J28" i="65123"/>
  <c r="I28"/>
  <c r="J16"/>
  <c r="I16"/>
  <c r="J14"/>
  <c r="I14"/>
  <c r="J13"/>
  <c r="I13"/>
  <c r="J10"/>
  <c r="I10"/>
  <c r="J9"/>
  <c r="I9"/>
  <c r="J8"/>
  <c r="I8"/>
  <c r="J28" i="65099"/>
  <c r="I28"/>
  <c r="J16"/>
  <c r="I16"/>
  <c r="J14"/>
  <c r="I14"/>
  <c r="J13"/>
  <c r="I13"/>
  <c r="J10"/>
  <c r="I10"/>
  <c r="J9"/>
  <c r="I9"/>
  <c r="J8"/>
  <c r="I8"/>
  <c r="J28" i="65067"/>
  <c r="I28"/>
  <c r="J16"/>
  <c r="I16"/>
  <c r="J14"/>
  <c r="I14"/>
  <c r="J13"/>
  <c r="I13"/>
  <c r="J10"/>
  <c r="I10"/>
  <c r="J9"/>
  <c r="I9"/>
  <c r="J8"/>
  <c r="I8"/>
  <c r="J46" i="65065" l="1"/>
  <c r="J43"/>
  <c r="J34"/>
  <c r="J21"/>
  <c r="J18"/>
  <c r="J13"/>
  <c r="J8"/>
  <c r="J28" i="16"/>
  <c r="I28"/>
  <c r="J16"/>
  <c r="I16"/>
  <c r="J14"/>
  <c r="I14"/>
  <c r="J13"/>
  <c r="I13"/>
  <c r="J10"/>
  <c r="I10"/>
  <c r="J9"/>
  <c r="I9"/>
  <c r="I8" s="1"/>
  <c r="J8"/>
  <c r="K28" i="65105" l="1"/>
  <c r="K16"/>
  <c r="K13"/>
  <c r="K8"/>
  <c r="K28" i="65097"/>
  <c r="K16"/>
  <c r="K13"/>
  <c r="K8"/>
  <c r="K28" i="65098"/>
  <c r="K16"/>
  <c r="K13"/>
  <c r="K8"/>
  <c r="K28" i="65096"/>
  <c r="K16"/>
  <c r="K13"/>
  <c r="K8"/>
  <c r="K16" i="65095" l="1"/>
  <c r="K13"/>
  <c r="K8"/>
  <c r="K28" i="65094"/>
  <c r="K16"/>
  <c r="K13"/>
  <c r="K8"/>
  <c r="K31" i="65093"/>
  <c r="K28"/>
  <c r="K16"/>
  <c r="K13"/>
  <c r="K8"/>
  <c r="K28" i="65089"/>
  <c r="K16"/>
  <c r="K13"/>
  <c r="K8"/>
  <c r="K28" i="65088"/>
  <c r="K16"/>
  <c r="K13"/>
  <c r="K8"/>
  <c r="K28" i="65087"/>
  <c r="K16"/>
  <c r="K13"/>
  <c r="K8"/>
  <c r="K28" i="65086"/>
  <c r="K16"/>
  <c r="K13"/>
  <c r="K8"/>
  <c r="K28" i="65085"/>
  <c r="K16"/>
  <c r="K13"/>
  <c r="K8"/>
  <c r="K8" i="65084"/>
  <c r="K13"/>
  <c r="K16"/>
  <c r="K28"/>
  <c r="K28" i="65083"/>
  <c r="K16"/>
  <c r="K13"/>
  <c r="K8"/>
  <c r="K28" i="65122"/>
  <c r="K16"/>
  <c r="K13"/>
  <c r="K8"/>
  <c r="K28" i="65081"/>
  <c r="K16"/>
  <c r="K13"/>
  <c r="K8"/>
  <c r="K28" i="65082"/>
  <c r="K16"/>
  <c r="K13"/>
  <c r="K8"/>
  <c r="K41" i="65080"/>
  <c r="K38"/>
  <c r="K36"/>
  <c r="K31" s="1"/>
  <c r="K16"/>
  <c r="K13"/>
  <c r="K8"/>
  <c r="K38" i="65079"/>
  <c r="K34"/>
  <c r="K28"/>
  <c r="K16"/>
  <c r="K13"/>
  <c r="K8"/>
  <c r="K32" i="65078"/>
  <c r="K29"/>
  <c r="K16"/>
  <c r="K13"/>
  <c r="K8"/>
  <c r="K34" i="65077"/>
  <c r="K28"/>
  <c r="K16"/>
  <c r="K13"/>
  <c r="K8"/>
  <c r="K45" i="65076"/>
  <c r="K41"/>
  <c r="K37"/>
  <c r="K32"/>
  <c r="K19"/>
  <c r="K16"/>
  <c r="K11"/>
  <c r="K8"/>
  <c r="K29" i="65075"/>
  <c r="K16"/>
  <c r="K13"/>
  <c r="K8"/>
  <c r="K28" i="65115"/>
  <c r="K16"/>
  <c r="K13"/>
  <c r="K8"/>
  <c r="K28" i="65100"/>
  <c r="K16"/>
  <c r="K13"/>
  <c r="K8"/>
  <c r="K28" i="65074"/>
  <c r="K16"/>
  <c r="K13"/>
  <c r="K8"/>
  <c r="K29" i="65071"/>
  <c r="K16"/>
  <c r="K13"/>
  <c r="K8"/>
  <c r="K30" i="65070"/>
  <c r="K16"/>
  <c r="K13"/>
  <c r="K8"/>
  <c r="K29" i="65069"/>
  <c r="K17"/>
  <c r="K14"/>
  <c r="K13"/>
  <c r="K8"/>
  <c r="K28" i="65068"/>
  <c r="K16"/>
  <c r="K13"/>
  <c r="K8"/>
  <c r="K31" i="65140"/>
  <c r="K28"/>
  <c r="K16"/>
  <c r="K13"/>
  <c r="K8"/>
  <c r="K28" i="65123"/>
  <c r="K16"/>
  <c r="K13"/>
  <c r="K8"/>
  <c r="K28" i="65099"/>
  <c r="K16"/>
  <c r="K13"/>
  <c r="K8"/>
  <c r="K28" i="65067"/>
  <c r="K16"/>
  <c r="K13"/>
  <c r="K8"/>
  <c r="K21" i="65065"/>
  <c r="K18"/>
  <c r="K13"/>
  <c r="K8"/>
  <c r="K16" i="16"/>
  <c r="K13"/>
  <c r="K8"/>
  <c r="E195" i="65139"/>
  <c r="D195"/>
  <c r="G222"/>
  <c r="F222"/>
  <c r="E222"/>
  <c r="D222"/>
  <c r="G232"/>
  <c r="F232"/>
  <c r="E232"/>
  <c r="D232"/>
  <c r="H259"/>
  <c r="H258"/>
  <c r="G244"/>
  <c r="F244"/>
  <c r="E244"/>
  <c r="D244"/>
  <c r="H245"/>
  <c r="H239"/>
  <c r="H234"/>
  <c r="H233"/>
  <c r="H228"/>
  <c r="H227"/>
  <c r="H223"/>
  <c r="G214"/>
  <c r="F214"/>
  <c r="E214"/>
  <c r="D214"/>
  <c r="H216"/>
  <c r="H215"/>
  <c r="H205"/>
  <c r="H201"/>
  <c r="G192"/>
  <c r="F192"/>
  <c r="E192"/>
  <c r="D192"/>
  <c r="H193"/>
  <c r="H194"/>
  <c r="G185"/>
  <c r="F185"/>
  <c r="E185"/>
  <c r="D185"/>
  <c r="H186"/>
  <c r="G164"/>
  <c r="E164"/>
  <c r="D164"/>
  <c r="F164"/>
  <c r="H165"/>
  <c r="G68"/>
  <c r="F68"/>
  <c r="H72"/>
  <c r="H79"/>
  <c r="E256"/>
  <c r="D256"/>
  <c r="E255"/>
  <c r="D255"/>
  <c r="E254"/>
  <c r="D254"/>
  <c r="E253"/>
  <c r="D253"/>
  <c r="E247"/>
  <c r="D247"/>
  <c r="E243"/>
  <c r="D243"/>
  <c r="E231"/>
  <c r="D231"/>
  <c r="E230"/>
  <c r="D230"/>
  <c r="E221"/>
  <c r="D221"/>
  <c r="E220"/>
  <c r="D220"/>
  <c r="E219"/>
  <c r="D219"/>
  <c r="E213"/>
  <c r="D213"/>
  <c r="E212"/>
  <c r="D212"/>
  <c r="E210"/>
  <c r="D210"/>
  <c r="E209"/>
  <c r="D209"/>
  <c r="E207"/>
  <c r="D207"/>
  <c r="E203"/>
  <c r="D203"/>
  <c r="E202"/>
  <c r="D202"/>
  <c r="E191"/>
  <c r="D191"/>
  <c r="E190"/>
  <c r="D190"/>
  <c r="E189"/>
  <c r="D189"/>
  <c r="E172"/>
  <c r="D172"/>
  <c r="E171"/>
  <c r="D171"/>
  <c r="E156"/>
  <c r="D156"/>
  <c r="E152"/>
  <c r="D152"/>
  <c r="E149"/>
  <c r="D149"/>
  <c r="E146"/>
  <c r="D146"/>
  <c r="E142"/>
  <c r="D142"/>
  <c r="E141"/>
  <c r="D141"/>
  <c r="E138"/>
  <c r="D138"/>
  <c r="E136"/>
  <c r="D136"/>
  <c r="E134"/>
  <c r="D134"/>
  <c r="E132"/>
  <c r="D132"/>
  <c r="E131"/>
  <c r="D131"/>
  <c r="E129"/>
  <c r="D129"/>
  <c r="E124"/>
  <c r="D124"/>
  <c r="E119"/>
  <c r="D119"/>
  <c r="E111"/>
  <c r="D111"/>
  <c r="E110"/>
  <c r="D110"/>
  <c r="E105"/>
  <c r="D105"/>
  <c r="E104"/>
  <c r="D104"/>
  <c r="E99"/>
  <c r="D99"/>
  <c r="E98"/>
  <c r="D98"/>
  <c r="E95"/>
  <c r="D95"/>
  <c r="E90"/>
  <c r="D90"/>
  <c r="E88"/>
  <c r="D88"/>
  <c r="E87"/>
  <c r="D87"/>
  <c r="E85"/>
  <c r="D85"/>
  <c r="E83"/>
  <c r="D83"/>
  <c r="E80"/>
  <c r="D80"/>
  <c r="E78"/>
  <c r="D78"/>
  <c r="E76"/>
  <c r="D76"/>
  <c r="E73"/>
  <c r="D73"/>
  <c r="E71"/>
  <c r="E68" s="1"/>
  <c r="D71"/>
  <c r="D68" s="1"/>
  <c r="E64"/>
  <c r="D64"/>
  <c r="E54"/>
  <c r="D54"/>
  <c r="E53"/>
  <c r="D53"/>
  <c r="E49"/>
  <c r="D49"/>
  <c r="E48"/>
  <c r="D48"/>
  <c r="E39"/>
  <c r="D39"/>
  <c r="E36"/>
  <c r="D36"/>
  <c r="E34"/>
  <c r="D34"/>
  <c r="E29"/>
  <c r="D29"/>
  <c r="D20" i="65125" l="1"/>
  <c r="H237" i="65139" l="1"/>
  <c r="L16" i="65096" l="1"/>
  <c r="L8" i="65105" l="1"/>
  <c r="L13"/>
  <c r="L16"/>
  <c r="L28"/>
  <c r="K32" i="65095"/>
  <c r="K28"/>
  <c r="K33" i="65094"/>
  <c r="K50" i="65076"/>
  <c r="K51" s="1"/>
  <c r="K52" s="1"/>
  <c r="K37" i="65075"/>
  <c r="K33"/>
  <c r="K46" i="65065"/>
  <c r="K43"/>
  <c r="K34"/>
  <c r="K28" i="16"/>
  <c r="H261" i="65139" l="1"/>
  <c r="H238"/>
  <c r="G172"/>
  <c r="F172"/>
  <c r="H175"/>
  <c r="G256" l="1"/>
  <c r="F256"/>
  <c r="H260"/>
  <c r="H257"/>
  <c r="H225"/>
  <c r="H198"/>
  <c r="H241" l="1"/>
  <c r="H240"/>
  <c r="F247" l="1"/>
  <c r="F243"/>
  <c r="F221"/>
  <c r="F220" s="1"/>
  <c r="F213"/>
  <c r="F212" s="1"/>
  <c r="F209"/>
  <c r="F202"/>
  <c r="F195" s="1"/>
  <c r="F53"/>
  <c r="F49"/>
  <c r="F142"/>
  <c r="F138"/>
  <c r="F136"/>
  <c r="F134"/>
  <c r="F132"/>
  <c r="F129"/>
  <c r="F124"/>
  <c r="F119"/>
  <c r="F111"/>
  <c r="F105"/>
  <c r="F90"/>
  <c r="F88" s="1"/>
  <c r="F99"/>
  <c r="F98" s="1"/>
  <c r="F95"/>
  <c r="F85"/>
  <c r="F83"/>
  <c r="F80"/>
  <c r="F78"/>
  <c r="F76"/>
  <c r="F73"/>
  <c r="F64"/>
  <c r="F57"/>
  <c r="F56" s="1"/>
  <c r="F39"/>
  <c r="F38" s="1"/>
  <c r="F36"/>
  <c r="F34"/>
  <c r="F29"/>
  <c r="F21"/>
  <c r="F20" s="1"/>
  <c r="F17"/>
  <c r="F16" s="1"/>
  <c r="F13"/>
  <c r="F7"/>
  <c r="F171"/>
  <c r="H169"/>
  <c r="F156"/>
  <c r="F152"/>
  <c r="F149"/>
  <c r="F146"/>
  <c r="F183" l="1"/>
  <c r="F182" s="1"/>
  <c r="F48"/>
  <c r="F47" s="1"/>
  <c r="F5" s="1"/>
  <c r="F28"/>
  <c r="F110"/>
  <c r="F141"/>
  <c r="F131"/>
  <c r="F87"/>
  <c r="F63"/>
  <c r="F6"/>
  <c r="F231"/>
  <c r="F230" s="1"/>
  <c r="F219" s="1"/>
  <c r="K33" i="65074"/>
  <c r="K34" i="65071"/>
  <c r="K33" i="65123"/>
  <c r="K33" i="65099"/>
  <c r="K33" i="65067"/>
  <c r="K52" i="65065"/>
  <c r="M29" i="65078"/>
  <c r="L29"/>
  <c r="M8" i="65075"/>
  <c r="L8"/>
  <c r="M13"/>
  <c r="L13"/>
  <c r="M16"/>
  <c r="L16"/>
  <c r="M29"/>
  <c r="L29"/>
  <c r="M33"/>
  <c r="L33"/>
  <c r="M35" i="65070"/>
  <c r="E57" i="65139"/>
  <c r="E56" s="1"/>
  <c r="E38"/>
  <c r="E21"/>
  <c r="E20" s="1"/>
  <c r="E17"/>
  <c r="E16" s="1"/>
  <c r="E13"/>
  <c r="E7"/>
  <c r="E28" l="1"/>
  <c r="F104"/>
  <c r="F82" s="1"/>
  <c r="F62" s="1"/>
  <c r="F179" s="1"/>
  <c r="E6"/>
  <c r="E47"/>
  <c r="E63"/>
  <c r="E183"/>
  <c r="E182" s="1"/>
  <c r="K33" i="65115"/>
  <c r="K33" i="65100"/>
  <c r="K35" i="65070"/>
  <c r="K34" i="65069"/>
  <c r="K33" i="65068"/>
  <c r="K36" i="65140"/>
  <c r="G119" i="65139"/>
  <c r="H121"/>
  <c r="H120"/>
  <c r="E181" l="1"/>
  <c r="E82"/>
  <c r="E5"/>
  <c r="E62"/>
  <c r="E179" l="1"/>
  <c r="E92" i="300"/>
  <c r="G202" i="65139"/>
  <c r="G195" s="1"/>
  <c r="F191"/>
  <c r="F190" s="1"/>
  <c r="F189" s="1"/>
  <c r="F181" s="1"/>
  <c r="F251" s="1"/>
  <c r="H203"/>
  <c r="H204"/>
  <c r="E251" l="1"/>
  <c r="E264" s="1"/>
  <c r="J92" i="300"/>
  <c r="I92"/>
  <c r="H92"/>
  <c r="M92" s="1"/>
  <c r="G92"/>
  <c r="F92"/>
  <c r="N34" i="65075"/>
  <c r="K92" i="300" s="1"/>
  <c r="O34" i="65075" l="1"/>
  <c r="L92" i="300"/>
  <c r="H187" i="65139"/>
  <c r="G111" l="1"/>
  <c r="G110" s="1"/>
  <c r="N25" i="65085" l="1"/>
  <c r="H229" i="65139" l="1"/>
  <c r="I21" i="65065" l="1"/>
  <c r="I18"/>
  <c r="F32" i="304"/>
  <c r="F17"/>
  <c r="H111" i="300"/>
  <c r="H110"/>
  <c r="H107"/>
  <c r="H106"/>
  <c r="H105"/>
  <c r="M105" s="1"/>
  <c r="H104"/>
  <c r="M104" s="1"/>
  <c r="H103"/>
  <c r="H102"/>
  <c r="H99"/>
  <c r="H98"/>
  <c r="H95"/>
  <c r="H94"/>
  <c r="H93"/>
  <c r="H91"/>
  <c r="H88"/>
  <c r="H87"/>
  <c r="H85"/>
  <c r="H84"/>
  <c r="H83"/>
  <c r="H82"/>
  <c r="H80"/>
  <c r="H79"/>
  <c r="H78"/>
  <c r="M78" s="1"/>
  <c r="H77"/>
  <c r="H76"/>
  <c r="H75"/>
  <c r="H74"/>
  <c r="H73"/>
  <c r="H72"/>
  <c r="H71"/>
  <c r="H70"/>
  <c r="H68"/>
  <c r="H66"/>
  <c r="H65"/>
  <c r="H64"/>
  <c r="H63"/>
  <c r="H62"/>
  <c r="H61"/>
  <c r="H59"/>
  <c r="H58"/>
  <c r="H57"/>
  <c r="H56"/>
  <c r="H55"/>
  <c r="H54"/>
  <c r="H53"/>
  <c r="M53" s="1"/>
  <c r="H52"/>
  <c r="H48"/>
  <c r="H47"/>
  <c r="H46"/>
  <c r="H45"/>
  <c r="H44"/>
  <c r="H43"/>
  <c r="H42"/>
  <c r="H41"/>
  <c r="H39"/>
  <c r="M39" s="1"/>
  <c r="H38"/>
  <c r="H36"/>
  <c r="H35"/>
  <c r="H33"/>
  <c r="H32"/>
  <c r="H31"/>
  <c r="M31" s="1"/>
  <c r="H30"/>
  <c r="H28"/>
  <c r="H27"/>
  <c r="H26"/>
  <c r="H23"/>
  <c r="H22"/>
  <c r="H18"/>
  <c r="H16"/>
  <c r="H13"/>
  <c r="H12"/>
  <c r="H11"/>
  <c r="H10"/>
  <c r="L19" i="65076"/>
  <c r="L17" i="65069"/>
  <c r="L18" i="65065"/>
  <c r="L21"/>
  <c r="L31" i="65093"/>
  <c r="I102" i="300"/>
  <c r="L31" i="65080"/>
  <c r="L29" i="65071"/>
  <c r="L30" i="65070"/>
  <c r="L29" i="65069"/>
  <c r="L31" i="65140"/>
  <c r="N33" i="65095"/>
  <c r="N33" i="65093"/>
  <c r="N33" i="65080"/>
  <c r="N33" i="65078"/>
  <c r="N33" i="65076"/>
  <c r="N33" i="65140"/>
  <c r="J33" i="65074"/>
  <c r="J33" i="65100"/>
  <c r="J33" i="65115"/>
  <c r="J34" s="1"/>
  <c r="J33" i="65141"/>
  <c r="J34" s="1"/>
  <c r="J33" i="65081"/>
  <c r="J33" i="65122"/>
  <c r="J33" i="65083"/>
  <c r="J33" i="65094"/>
  <c r="J34" s="1"/>
  <c r="J35" s="1"/>
  <c r="J33" i="65097"/>
  <c r="J34" s="1"/>
  <c r="J35" s="1"/>
  <c r="K28" i="65141"/>
  <c r="K16"/>
  <c r="K13"/>
  <c r="K8"/>
  <c r="K33" i="65097"/>
  <c r="K34" s="1"/>
  <c r="H122" i="65139"/>
  <c r="H119"/>
  <c r="H118"/>
  <c r="H117"/>
  <c r="H116"/>
  <c r="J103" i="300"/>
  <c r="I103"/>
  <c r="G103"/>
  <c r="J102"/>
  <c r="G102"/>
  <c r="F103"/>
  <c r="F102"/>
  <c r="J48"/>
  <c r="I48"/>
  <c r="G48"/>
  <c r="J47"/>
  <c r="I47"/>
  <c r="G47"/>
  <c r="J46"/>
  <c r="I46"/>
  <c r="G46"/>
  <c r="J45"/>
  <c r="I45"/>
  <c r="G45"/>
  <c r="J44"/>
  <c r="I44"/>
  <c r="G44"/>
  <c r="J43"/>
  <c r="I43"/>
  <c r="G43"/>
  <c r="J42"/>
  <c r="I42"/>
  <c r="G42"/>
  <c r="J41"/>
  <c r="I41"/>
  <c r="G41"/>
  <c r="J39"/>
  <c r="I39"/>
  <c r="G39"/>
  <c r="J38"/>
  <c r="I38"/>
  <c r="G38"/>
  <c r="J36"/>
  <c r="I36"/>
  <c r="G36"/>
  <c r="J35"/>
  <c r="I35"/>
  <c r="G35"/>
  <c r="J33"/>
  <c r="I33"/>
  <c r="G33"/>
  <c r="J32"/>
  <c r="I32"/>
  <c r="G32"/>
  <c r="J31"/>
  <c r="I31"/>
  <c r="G31"/>
  <c r="J30"/>
  <c r="I30"/>
  <c r="G30"/>
  <c r="J28"/>
  <c r="I28"/>
  <c r="G28"/>
  <c r="J27"/>
  <c r="I27"/>
  <c r="G27"/>
  <c r="J26"/>
  <c r="I26"/>
  <c r="G26"/>
  <c r="F41"/>
  <c r="F38"/>
  <c r="F35"/>
  <c r="F33"/>
  <c r="F32"/>
  <c r="F30"/>
  <c r="F28"/>
  <c r="F27"/>
  <c r="F26"/>
  <c r="J22"/>
  <c r="I22"/>
  <c r="G22"/>
  <c r="F22"/>
  <c r="J19"/>
  <c r="I19"/>
  <c r="J18"/>
  <c r="I18"/>
  <c r="G18"/>
  <c r="F18"/>
  <c r="J16"/>
  <c r="I16"/>
  <c r="G16"/>
  <c r="F16"/>
  <c r="J33" i="65082" l="1"/>
  <c r="G29" i="300"/>
  <c r="G34"/>
  <c r="G37"/>
  <c r="G40"/>
  <c r="J40"/>
  <c r="H37"/>
  <c r="J33" i="65105"/>
  <c r="J34" s="1"/>
  <c r="J35" s="1"/>
  <c r="J33" i="65096"/>
  <c r="J34" s="1"/>
  <c r="J35" s="1"/>
  <c r="J33" i="65068"/>
  <c r="J33" i="65123"/>
  <c r="J33" i="65099"/>
  <c r="J33" i="65067"/>
  <c r="H81" i="300"/>
  <c r="H86"/>
  <c r="J33" i="65089"/>
  <c r="J33" i="65088"/>
  <c r="J33" i="65087"/>
  <c r="J33" i="65086"/>
  <c r="J33" i="65085"/>
  <c r="J33" i="65084"/>
  <c r="I34" i="300"/>
  <c r="F16" i="304"/>
  <c r="K33" i="65105"/>
  <c r="K34" s="1"/>
  <c r="K35" s="1"/>
  <c r="K33" i="65098"/>
  <c r="K34" s="1"/>
  <c r="K35" i="65097"/>
  <c r="K33" i="65096"/>
  <c r="K34" s="1"/>
  <c r="K35" s="1"/>
  <c r="K38" i="65095"/>
  <c r="K34" i="65094"/>
  <c r="K35" s="1"/>
  <c r="H67" i="300"/>
  <c r="K33" i="65089"/>
  <c r="K33" i="65088"/>
  <c r="K33" i="65087"/>
  <c r="K33" i="65086"/>
  <c r="K33" i="65085"/>
  <c r="K33" i="65084"/>
  <c r="K33" i="65083"/>
  <c r="K33" i="65122"/>
  <c r="K33" i="65081"/>
  <c r="K33" i="65082"/>
  <c r="H29" i="300"/>
  <c r="K46" i="65080"/>
  <c r="K43" i="65079"/>
  <c r="H34" i="300"/>
  <c r="K39" i="65078"/>
  <c r="K39" i="65077"/>
  <c r="H109" i="300"/>
  <c r="K42" i="65075"/>
  <c r="K43" s="1"/>
  <c r="K44" s="1"/>
  <c r="K33" i="65141"/>
  <c r="K34" s="1"/>
  <c r="K34" i="65115"/>
  <c r="K34" i="65100"/>
  <c r="K34" i="65068"/>
  <c r="K35" s="1"/>
  <c r="H40" i="300"/>
  <c r="F14" i="304"/>
  <c r="J33" i="65098"/>
  <c r="J34" s="1"/>
  <c r="J35" s="1"/>
  <c r="K35"/>
  <c r="K36" i="65093"/>
  <c r="J34" i="300"/>
  <c r="K35" i="65071"/>
  <c r="H51" i="300"/>
  <c r="H90"/>
  <c r="H69"/>
  <c r="H9"/>
  <c r="J37"/>
  <c r="H21"/>
  <c r="H60"/>
  <c r="H97"/>
  <c r="H101"/>
  <c r="I29"/>
  <c r="I37"/>
  <c r="I40"/>
  <c r="J29"/>
  <c r="F31"/>
  <c r="N21" i="65080"/>
  <c r="K31" i="300" s="1"/>
  <c r="L31" s="1"/>
  <c r="F29" i="304" l="1"/>
  <c r="F21"/>
  <c r="F19"/>
  <c r="F34"/>
  <c r="F28"/>
  <c r="F33"/>
  <c r="E69" i="65137"/>
  <c r="J34" i="65122"/>
  <c r="E70" i="65137"/>
  <c r="K34" i="65089"/>
  <c r="H25" i="300"/>
  <c r="K34" i="65122"/>
  <c r="J34" i="65089"/>
  <c r="F25" i="304"/>
  <c r="K35" i="65141"/>
  <c r="F24" i="304"/>
  <c r="F15"/>
  <c r="F13"/>
  <c r="K39" i="65095"/>
  <c r="K44" i="65079"/>
  <c r="K40" i="65078"/>
  <c r="K41" s="1"/>
  <c r="K40" i="65077"/>
  <c r="K35" i="65069"/>
  <c r="K37" i="65140"/>
  <c r="K37" i="65093"/>
  <c r="H50" i="300"/>
  <c r="O21" i="65080"/>
  <c r="H155" i="65139"/>
  <c r="F22" i="304" l="1"/>
  <c r="F35"/>
  <c r="K35" i="65089"/>
  <c r="F12" i="304"/>
  <c r="F23"/>
  <c r="K40" i="65095"/>
  <c r="K45" i="65079"/>
  <c r="K41" i="65077"/>
  <c r="K36" i="65069"/>
  <c r="K38" i="65140"/>
  <c r="K38" i="65093"/>
  <c r="J104" i="300"/>
  <c r="I104"/>
  <c r="G104"/>
  <c r="F104"/>
  <c r="G105"/>
  <c r="I105"/>
  <c r="J105"/>
  <c r="N35" i="65095" l="1"/>
  <c r="F105" i="300"/>
  <c r="E11" i="65137"/>
  <c r="E18" i="65124"/>
  <c r="D18"/>
  <c r="C18"/>
  <c r="J25" i="300"/>
  <c r="G25"/>
  <c r="F29"/>
  <c r="J23"/>
  <c r="I23"/>
  <c r="G23"/>
  <c r="F23"/>
  <c r="O31" i="65141"/>
  <c r="N30"/>
  <c r="O30" s="1"/>
  <c r="O29"/>
  <c r="N29"/>
  <c r="M28"/>
  <c r="L28"/>
  <c r="O27"/>
  <c r="O26"/>
  <c r="N26"/>
  <c r="N25"/>
  <c r="O25" s="1"/>
  <c r="O24"/>
  <c r="N24"/>
  <c r="O23"/>
  <c r="N23"/>
  <c r="O22"/>
  <c r="N22"/>
  <c r="O21"/>
  <c r="N21"/>
  <c r="O20"/>
  <c r="N20"/>
  <c r="O19"/>
  <c r="N19"/>
  <c r="O18"/>
  <c r="N18"/>
  <c r="N17"/>
  <c r="M16"/>
  <c r="L16"/>
  <c r="F18" i="65124" s="1"/>
  <c r="O15" i="65141"/>
  <c r="N14"/>
  <c r="O14" s="1"/>
  <c r="M13"/>
  <c r="L13"/>
  <c r="O12"/>
  <c r="O11"/>
  <c r="N11"/>
  <c r="N10"/>
  <c r="O10" s="1"/>
  <c r="N9"/>
  <c r="M8"/>
  <c r="L8"/>
  <c r="N28" l="1"/>
  <c r="I33"/>
  <c r="I34" s="1"/>
  <c r="M33"/>
  <c r="M34" s="1"/>
  <c r="N16"/>
  <c r="O16" s="1"/>
  <c r="L33"/>
  <c r="L34" s="1"/>
  <c r="J18" i="65124"/>
  <c r="L18" s="1"/>
  <c r="C20" i="65125"/>
  <c r="O28" i="65141"/>
  <c r="O17"/>
  <c r="J17" i="300"/>
  <c r="I25"/>
  <c r="O35" i="65095"/>
  <c r="K104" i="300"/>
  <c r="L104" s="1"/>
  <c r="O9" i="65141"/>
  <c r="N8"/>
  <c r="N13"/>
  <c r="O13" s="1"/>
  <c r="N33" l="1"/>
  <c r="O8"/>
  <c r="N34" l="1"/>
  <c r="H200" i="65139"/>
  <c r="M28" i="16" l="1"/>
  <c r="L28"/>
  <c r="N31"/>
  <c r="H123" i="65139"/>
  <c r="H115"/>
  <c r="H114"/>
  <c r="D57"/>
  <c r="D56" s="1"/>
  <c r="D21"/>
  <c r="D20" s="1"/>
  <c r="D17"/>
  <c r="D16" s="1"/>
  <c r="D13"/>
  <c r="D7"/>
  <c r="D63" l="1"/>
  <c r="D28"/>
  <c r="D6"/>
  <c r="O31" i="16"/>
  <c r="D38" i="65139"/>
  <c r="D183"/>
  <c r="D182" s="1"/>
  <c r="D47"/>
  <c r="M13" i="65069"/>
  <c r="L13"/>
  <c r="N15"/>
  <c r="D181" i="65139" l="1"/>
  <c r="D5"/>
  <c r="D82"/>
  <c r="D62" s="1"/>
  <c r="O15" i="65069"/>
  <c r="K23" i="300"/>
  <c r="L23" l="1"/>
  <c r="M23"/>
  <c r="D179" i="65139"/>
  <c r="D251" l="1"/>
  <c r="D264" s="1"/>
  <c r="G146"/>
  <c r="G149"/>
  <c r="G152"/>
  <c r="H154"/>
  <c r="H153"/>
  <c r="H151"/>
  <c r="H150"/>
  <c r="H148"/>
  <c r="H147"/>
  <c r="G78" l="1"/>
  <c r="H78" s="1"/>
  <c r="G138" l="1"/>
  <c r="H263" l="1"/>
  <c r="H262"/>
  <c r="G255"/>
  <c r="G254" s="1"/>
  <c r="G253" s="1"/>
  <c r="G27" i="304" s="1"/>
  <c r="H255" i="65139"/>
  <c r="H253"/>
  <c r="H252"/>
  <c r="H250"/>
  <c r="H249"/>
  <c r="H248"/>
  <c r="G247"/>
  <c r="G17" i="304" s="1"/>
  <c r="I17" s="1"/>
  <c r="H246" i="65139"/>
  <c r="G243"/>
  <c r="H244"/>
  <c r="H243"/>
  <c r="H242"/>
  <c r="H236"/>
  <c r="H235"/>
  <c r="H226"/>
  <c r="H224"/>
  <c r="G221"/>
  <c r="G220" s="1"/>
  <c r="H218"/>
  <c r="H217"/>
  <c r="H214"/>
  <c r="G213"/>
  <c r="G212" s="1"/>
  <c r="H211"/>
  <c r="H210"/>
  <c r="G209"/>
  <c r="H208"/>
  <c r="G207"/>
  <c r="H207" s="1"/>
  <c r="H206"/>
  <c r="H202"/>
  <c r="H199"/>
  <c r="H197"/>
  <c r="H196"/>
  <c r="H188"/>
  <c r="G183"/>
  <c r="G182" s="1"/>
  <c r="H184"/>
  <c r="H180"/>
  <c r="H178"/>
  <c r="H177"/>
  <c r="H176"/>
  <c r="H174"/>
  <c r="H173"/>
  <c r="G171"/>
  <c r="H170"/>
  <c r="H168"/>
  <c r="H167"/>
  <c r="H166"/>
  <c r="H163"/>
  <c r="H162"/>
  <c r="H161"/>
  <c r="H160"/>
  <c r="H159"/>
  <c r="H158"/>
  <c r="H157"/>
  <c r="G156"/>
  <c r="H152"/>
  <c r="H149"/>
  <c r="H146"/>
  <c r="H145"/>
  <c r="H144"/>
  <c r="H143"/>
  <c r="G142"/>
  <c r="H140"/>
  <c r="H139"/>
  <c r="H137"/>
  <c r="G136"/>
  <c r="H135"/>
  <c r="G134"/>
  <c r="H133"/>
  <c r="G132"/>
  <c r="H130"/>
  <c r="G129"/>
  <c r="H128"/>
  <c r="H127"/>
  <c r="H126"/>
  <c r="H125"/>
  <c r="G124"/>
  <c r="H113"/>
  <c r="H112"/>
  <c r="H109"/>
  <c r="H108"/>
  <c r="H107"/>
  <c r="H106"/>
  <c r="G105"/>
  <c r="H103"/>
  <c r="H102"/>
  <c r="H101"/>
  <c r="H100"/>
  <c r="G99"/>
  <c r="G98" s="1"/>
  <c r="H97"/>
  <c r="H96"/>
  <c r="G95"/>
  <c r="H94"/>
  <c r="H93"/>
  <c r="H92"/>
  <c r="H91"/>
  <c r="G90"/>
  <c r="G88" s="1"/>
  <c r="H89"/>
  <c r="H86"/>
  <c r="G85"/>
  <c r="H84"/>
  <c r="G83"/>
  <c r="H81"/>
  <c r="G80"/>
  <c r="H77"/>
  <c r="G76"/>
  <c r="H75"/>
  <c r="H74"/>
  <c r="G73"/>
  <c r="H71"/>
  <c r="H70"/>
  <c r="H69"/>
  <c r="H67"/>
  <c r="H66"/>
  <c r="H65"/>
  <c r="G64"/>
  <c r="H61"/>
  <c r="H60"/>
  <c r="H59"/>
  <c r="H58"/>
  <c r="G57"/>
  <c r="G56" s="1"/>
  <c r="H55"/>
  <c r="H54"/>
  <c r="H52"/>
  <c r="H51"/>
  <c r="H50"/>
  <c r="G49"/>
  <c r="H46"/>
  <c r="H45"/>
  <c r="H44"/>
  <c r="H43"/>
  <c r="H42"/>
  <c r="H41"/>
  <c r="H40"/>
  <c r="G39"/>
  <c r="G38" s="1"/>
  <c r="H37"/>
  <c r="G36"/>
  <c r="H35"/>
  <c r="G34"/>
  <c r="H33"/>
  <c r="H32"/>
  <c r="H31"/>
  <c r="H30"/>
  <c r="G29"/>
  <c r="H27"/>
  <c r="H26"/>
  <c r="H25"/>
  <c r="H24"/>
  <c r="H23"/>
  <c r="H22"/>
  <c r="G21"/>
  <c r="G20" s="1"/>
  <c r="H19"/>
  <c r="H18"/>
  <c r="G17"/>
  <c r="G16" s="1"/>
  <c r="H15"/>
  <c r="H14"/>
  <c r="G13"/>
  <c r="H12"/>
  <c r="H11"/>
  <c r="H10"/>
  <c r="H9"/>
  <c r="H8"/>
  <c r="G7"/>
  <c r="G191" l="1"/>
  <c r="G141"/>
  <c r="H254"/>
  <c r="H256"/>
  <c r="G131"/>
  <c r="H213"/>
  <c r="G190"/>
  <c r="G189" s="1"/>
  <c r="G181" s="1"/>
  <c r="G28"/>
  <c r="H28" s="1"/>
  <c r="H34"/>
  <c r="H36"/>
  <c r="G63"/>
  <c r="H76"/>
  <c r="H80"/>
  <c r="H185"/>
  <c r="H192"/>
  <c r="G231"/>
  <c r="G230" s="1"/>
  <c r="G219" s="1"/>
  <c r="G16" i="304" s="1"/>
  <c r="I16" s="1"/>
  <c r="H232" i="65139"/>
  <c r="H57"/>
  <c r="H49"/>
  <c r="G6"/>
  <c r="H209"/>
  <c r="H164"/>
  <c r="H156"/>
  <c r="H141"/>
  <c r="H138"/>
  <c r="H136"/>
  <c r="H134"/>
  <c r="H132"/>
  <c r="H124"/>
  <c r="H88"/>
  <c r="H90"/>
  <c r="G87"/>
  <c r="H87" s="1"/>
  <c r="H73"/>
  <c r="H68"/>
  <c r="H247"/>
  <c r="H195"/>
  <c r="H172"/>
  <c r="H6"/>
  <c r="H16"/>
  <c r="H20"/>
  <c r="H38"/>
  <c r="H64"/>
  <c r="H83"/>
  <c r="H98"/>
  <c r="H110"/>
  <c r="H142"/>
  <c r="H183"/>
  <c r="H7"/>
  <c r="H13"/>
  <c r="H17"/>
  <c r="H21"/>
  <c r="H29"/>
  <c r="H39"/>
  <c r="H56"/>
  <c r="H85"/>
  <c r="H95"/>
  <c r="H99"/>
  <c r="H105"/>
  <c r="H111"/>
  <c r="H129"/>
  <c r="H212"/>
  <c r="H222"/>
  <c r="H231" l="1"/>
  <c r="G104"/>
  <c r="G82" s="1"/>
  <c r="G15" i="304"/>
  <c r="I15" s="1"/>
  <c r="H230" i="65139"/>
  <c r="H63"/>
  <c r="H131"/>
  <c r="H191"/>
  <c r="H171"/>
  <c r="H182"/>
  <c r="H221"/>
  <c r="H104" l="1"/>
  <c r="G62"/>
  <c r="G14" i="304" s="1"/>
  <c r="I14" s="1"/>
  <c r="H220" i="65139"/>
  <c r="H219"/>
  <c r="H190"/>
  <c r="H82" l="1"/>
  <c r="H62"/>
  <c r="H189"/>
  <c r="H181"/>
  <c r="M28" i="65105" l="1"/>
  <c r="M16"/>
  <c r="M13"/>
  <c r="M8"/>
  <c r="M28" i="65098"/>
  <c r="L28"/>
  <c r="M16"/>
  <c r="L16"/>
  <c r="M13"/>
  <c r="L13"/>
  <c r="L8"/>
  <c r="M8"/>
  <c r="M28" i="65097"/>
  <c r="L28"/>
  <c r="M16"/>
  <c r="L16"/>
  <c r="M13"/>
  <c r="L13"/>
  <c r="L8"/>
  <c r="M8"/>
  <c r="I33"/>
  <c r="I34" s="1"/>
  <c r="I35" s="1"/>
  <c r="M28" i="65096"/>
  <c r="L28"/>
  <c r="M16"/>
  <c r="M13"/>
  <c r="L13"/>
  <c r="L8"/>
  <c r="M8"/>
  <c r="M32" i="65095"/>
  <c r="L32"/>
  <c r="M28"/>
  <c r="L28"/>
  <c r="M16"/>
  <c r="L16"/>
  <c r="M13"/>
  <c r="L13"/>
  <c r="L8"/>
  <c r="M8"/>
  <c r="M28" i="65094"/>
  <c r="L28"/>
  <c r="M16"/>
  <c r="L16"/>
  <c r="M13"/>
  <c r="L13"/>
  <c r="L8"/>
  <c r="M8"/>
  <c r="M31" i="65093"/>
  <c r="M28"/>
  <c r="L28"/>
  <c r="M16"/>
  <c r="L16"/>
  <c r="M13"/>
  <c r="L13"/>
  <c r="L8"/>
  <c r="M8"/>
  <c r="M28" i="65089"/>
  <c r="L28"/>
  <c r="M16"/>
  <c r="L16"/>
  <c r="M13"/>
  <c r="L13"/>
  <c r="L8"/>
  <c r="M8"/>
  <c r="M28" i="65088"/>
  <c r="L28"/>
  <c r="M16"/>
  <c r="L16"/>
  <c r="M13"/>
  <c r="L13"/>
  <c r="L8"/>
  <c r="M8"/>
  <c r="M28" i="65087"/>
  <c r="L28"/>
  <c r="M16"/>
  <c r="L16"/>
  <c r="M13"/>
  <c r="L13"/>
  <c r="L8"/>
  <c r="M8"/>
  <c r="M28" i="65086"/>
  <c r="L28"/>
  <c r="M16"/>
  <c r="L16"/>
  <c r="M13"/>
  <c r="L13"/>
  <c r="L8"/>
  <c r="M8"/>
  <c r="M28" i="65085"/>
  <c r="L28"/>
  <c r="M16"/>
  <c r="L16"/>
  <c r="M13"/>
  <c r="L13"/>
  <c r="L8"/>
  <c r="M8"/>
  <c r="M28" i="65084"/>
  <c r="L28"/>
  <c r="M16"/>
  <c r="L16"/>
  <c r="M13"/>
  <c r="L13"/>
  <c r="L8"/>
  <c r="M8"/>
  <c r="M28" i="65083"/>
  <c r="L28"/>
  <c r="M16"/>
  <c r="L16"/>
  <c r="M13"/>
  <c r="L13"/>
  <c r="L8"/>
  <c r="M8"/>
  <c r="I33"/>
  <c r="M28" i="65122"/>
  <c r="L28"/>
  <c r="M16"/>
  <c r="L16"/>
  <c r="M13"/>
  <c r="L13"/>
  <c r="L8"/>
  <c r="M8"/>
  <c r="I33"/>
  <c r="M28" i="65081"/>
  <c r="L28"/>
  <c r="M16"/>
  <c r="L16"/>
  <c r="M13"/>
  <c r="L13"/>
  <c r="L8"/>
  <c r="M8"/>
  <c r="I33"/>
  <c r="M28" i="65082"/>
  <c r="L28"/>
  <c r="M16"/>
  <c r="L16"/>
  <c r="M13"/>
  <c r="L13"/>
  <c r="L8"/>
  <c r="M8"/>
  <c r="I33"/>
  <c r="M41" i="65080"/>
  <c r="L41"/>
  <c r="M31"/>
  <c r="M16"/>
  <c r="L16"/>
  <c r="M13"/>
  <c r="L13"/>
  <c r="L8"/>
  <c r="M8"/>
  <c r="M38" i="65079"/>
  <c r="L38"/>
  <c r="M34"/>
  <c r="L34"/>
  <c r="M28"/>
  <c r="L28"/>
  <c r="M16"/>
  <c r="L16"/>
  <c r="M13"/>
  <c r="L13"/>
  <c r="L8"/>
  <c r="M8"/>
  <c r="M32" i="65078"/>
  <c r="L32"/>
  <c r="M16"/>
  <c r="L16"/>
  <c r="M13"/>
  <c r="L13"/>
  <c r="L8"/>
  <c r="M8"/>
  <c r="M34" i="65077"/>
  <c r="L34"/>
  <c r="M28"/>
  <c r="L28"/>
  <c r="M16"/>
  <c r="L16"/>
  <c r="M13"/>
  <c r="L13"/>
  <c r="L8"/>
  <c r="M8"/>
  <c r="M45" i="65076"/>
  <c r="L45"/>
  <c r="M41"/>
  <c r="L41"/>
  <c r="M37"/>
  <c r="L37"/>
  <c r="M32"/>
  <c r="L32"/>
  <c r="M19"/>
  <c r="M16"/>
  <c r="L16"/>
  <c r="L11"/>
  <c r="M11"/>
  <c r="M8"/>
  <c r="L8"/>
  <c r="M37" i="65075"/>
  <c r="L37"/>
  <c r="M28" i="65115"/>
  <c r="L28"/>
  <c r="M16"/>
  <c r="L16"/>
  <c r="M13"/>
  <c r="L13"/>
  <c r="L8"/>
  <c r="M8"/>
  <c r="M28" i="65100"/>
  <c r="L28"/>
  <c r="M16"/>
  <c r="L16"/>
  <c r="M13"/>
  <c r="L13"/>
  <c r="L8"/>
  <c r="M8"/>
  <c r="M28" i="65074"/>
  <c r="L28"/>
  <c r="M16"/>
  <c r="L16"/>
  <c r="M13"/>
  <c r="L13"/>
  <c r="L8"/>
  <c r="M8"/>
  <c r="M29" i="65071"/>
  <c r="M16"/>
  <c r="L16"/>
  <c r="M13"/>
  <c r="L13"/>
  <c r="L8"/>
  <c r="M8"/>
  <c r="M30" i="65070"/>
  <c r="M16"/>
  <c r="L16"/>
  <c r="M13"/>
  <c r="L13"/>
  <c r="L8"/>
  <c r="M8"/>
  <c r="M29" i="65069"/>
  <c r="M17"/>
  <c r="L8"/>
  <c r="M8"/>
  <c r="M28" i="65068"/>
  <c r="L28"/>
  <c r="M16"/>
  <c r="L16"/>
  <c r="M13"/>
  <c r="L13"/>
  <c r="L8"/>
  <c r="M8"/>
  <c r="M31" i="65140"/>
  <c r="M28"/>
  <c r="L28"/>
  <c r="M16"/>
  <c r="L16"/>
  <c r="M13"/>
  <c r="L13"/>
  <c r="L8"/>
  <c r="M8"/>
  <c r="M28" i="65123"/>
  <c r="L28"/>
  <c r="M16"/>
  <c r="L16"/>
  <c r="M13"/>
  <c r="L13"/>
  <c r="L8"/>
  <c r="M8"/>
  <c r="M28" i="65099"/>
  <c r="L28"/>
  <c r="M16"/>
  <c r="L16"/>
  <c r="M13"/>
  <c r="L13"/>
  <c r="L8"/>
  <c r="M8"/>
  <c r="M28" i="65067"/>
  <c r="L28"/>
  <c r="M16"/>
  <c r="L16"/>
  <c r="M13"/>
  <c r="L13"/>
  <c r="L8"/>
  <c r="M8"/>
  <c r="L46" i="65065"/>
  <c r="L43"/>
  <c r="L34"/>
  <c r="L13"/>
  <c r="L8"/>
  <c r="I46"/>
  <c r="I43"/>
  <c r="I34"/>
  <c r="I13"/>
  <c r="I8"/>
  <c r="L16" i="16"/>
  <c r="L13"/>
  <c r="L8"/>
  <c r="L35" i="65070" l="1"/>
  <c r="L52" i="65065"/>
  <c r="I33" i="65115"/>
  <c r="I34" s="1"/>
  <c r="I33" i="65100"/>
  <c r="I33" i="65074"/>
  <c r="I33" i="65123"/>
  <c r="I33" i="65099"/>
  <c r="I33" i="65067"/>
  <c r="I33" i="65068"/>
  <c r="I33" i="65084"/>
  <c r="I33" i="65085"/>
  <c r="I33" i="65086"/>
  <c r="I33" i="65087"/>
  <c r="I33" i="65088"/>
  <c r="I33" i="65089"/>
  <c r="I33" i="65094"/>
  <c r="I34" s="1"/>
  <c r="I35" s="1"/>
  <c r="I33" i="65096"/>
  <c r="I34" s="1"/>
  <c r="I35" s="1"/>
  <c r="I33" i="65105"/>
  <c r="I34" s="1"/>
  <c r="I35" s="1"/>
  <c r="I34" i="65122"/>
  <c r="I33" i="65098"/>
  <c r="I34" s="1"/>
  <c r="I35" s="1"/>
  <c r="L33" i="65067"/>
  <c r="L33" i="65099"/>
  <c r="L33" i="65123"/>
  <c r="L33" i="65074"/>
  <c r="L33" i="65100"/>
  <c r="L33" i="65115"/>
  <c r="L33" i="65094"/>
  <c r="L33" i="65068"/>
  <c r="L33" i="65082"/>
  <c r="L33" i="65081"/>
  <c r="L33" i="65122"/>
  <c r="L33" i="65083"/>
  <c r="L33" i="65084"/>
  <c r="L33" i="65085"/>
  <c r="L33" i="65086"/>
  <c r="L33" i="65087"/>
  <c r="L33" i="65088"/>
  <c r="L33" i="65089"/>
  <c r="L33" i="65096"/>
  <c r="L33" i="65097"/>
  <c r="L33" i="65098"/>
  <c r="L33" i="65105"/>
  <c r="J50" i="65076"/>
  <c r="I34" i="65089" l="1"/>
  <c r="J75" i="300"/>
  <c r="I75"/>
  <c r="G75"/>
  <c r="F75"/>
  <c r="N32" i="65077"/>
  <c r="O32" l="1"/>
  <c r="K75" i="300"/>
  <c r="M75" s="1"/>
  <c r="L75" l="1"/>
  <c r="E63" i="65137"/>
  <c r="E62"/>
  <c r="F53" i="300" l="1"/>
  <c r="G53"/>
  <c r="I53"/>
  <c r="J53"/>
  <c r="F46"/>
  <c r="F47"/>
  <c r="N31" i="65065"/>
  <c r="F43" i="300"/>
  <c r="J35" i="65070"/>
  <c r="N27"/>
  <c r="F19" i="300" l="1"/>
  <c r="O27" i="65070"/>
  <c r="K43" i="300"/>
  <c r="M43" s="1"/>
  <c r="K46"/>
  <c r="M46" s="1"/>
  <c r="I35" i="65070"/>
  <c r="O31" i="65065"/>
  <c r="J51" i="65076"/>
  <c r="J52" s="1"/>
  <c r="I46" i="65080"/>
  <c r="I35" i="65089" s="1"/>
  <c r="J46" i="65080"/>
  <c r="L46" i="300"/>
  <c r="E76" i="65137" l="1"/>
  <c r="J35" i="65089"/>
  <c r="G19" i="300"/>
  <c r="H19"/>
  <c r="K34" i="16"/>
  <c r="L43" i="300"/>
  <c r="I34" i="16"/>
  <c r="I35" s="1"/>
  <c r="I36" s="1"/>
  <c r="I50" i="65076"/>
  <c r="I51" s="1"/>
  <c r="I52" s="1"/>
  <c r="E72" i="65137"/>
  <c r="E65"/>
  <c r="E64"/>
  <c r="E29"/>
  <c r="I93" i="300"/>
  <c r="G93"/>
  <c r="F93"/>
  <c r="N35" i="65079"/>
  <c r="O35" s="1"/>
  <c r="H17" i="300" l="1"/>
  <c r="K35" i="16"/>
  <c r="K36" s="1"/>
  <c r="H114" i="300"/>
  <c r="K93"/>
  <c r="J93"/>
  <c r="J62"/>
  <c r="I62"/>
  <c r="G62"/>
  <c r="F62"/>
  <c r="J21"/>
  <c r="I21"/>
  <c r="F21"/>
  <c r="O34" i="65140"/>
  <c r="O33"/>
  <c r="O32"/>
  <c r="N32"/>
  <c r="O30"/>
  <c r="N29"/>
  <c r="K62" i="300" s="1"/>
  <c r="M62" s="1"/>
  <c r="O27" i="65140"/>
  <c r="O26"/>
  <c r="N26"/>
  <c r="N25"/>
  <c r="O24"/>
  <c r="N24"/>
  <c r="N23"/>
  <c r="O23" s="1"/>
  <c r="O22"/>
  <c r="N22"/>
  <c r="O21"/>
  <c r="N21"/>
  <c r="N20"/>
  <c r="O20" s="1"/>
  <c r="N19"/>
  <c r="O18"/>
  <c r="N18"/>
  <c r="N17"/>
  <c r="O15"/>
  <c r="N14"/>
  <c r="O12"/>
  <c r="O11"/>
  <c r="N11"/>
  <c r="N10"/>
  <c r="N9"/>
  <c r="L93" i="300" l="1"/>
  <c r="M93"/>
  <c r="H15"/>
  <c r="O25" i="65140"/>
  <c r="O19"/>
  <c r="O17"/>
  <c r="O14"/>
  <c r="D10" i="65124"/>
  <c r="C10"/>
  <c r="N28" i="65140"/>
  <c r="N31"/>
  <c r="D12" i="65125" s="1"/>
  <c r="C12" s="1"/>
  <c r="O29" i="65140"/>
  <c r="N16"/>
  <c r="N13"/>
  <c r="O10"/>
  <c r="O13"/>
  <c r="J36"/>
  <c r="M36"/>
  <c r="I36"/>
  <c r="L36"/>
  <c r="N8"/>
  <c r="O9"/>
  <c r="H7" i="300" l="1"/>
  <c r="F20" i="304"/>
  <c r="F10" i="65124"/>
  <c r="E10"/>
  <c r="O8" i="65140"/>
  <c r="J10" i="65124"/>
  <c r="O31" i="65140"/>
  <c r="G10" i="65124"/>
  <c r="O28" i="65140"/>
  <c r="O16"/>
  <c r="N36"/>
  <c r="L10" i="65124" l="1"/>
  <c r="O36" i="65140"/>
  <c r="J94" i="300"/>
  <c r="I94"/>
  <c r="G94"/>
  <c r="F94"/>
  <c r="N36" i="65079"/>
  <c r="O33"/>
  <c r="F42" i="300"/>
  <c r="N26" i="65070"/>
  <c r="L13" i="65066"/>
  <c r="L8"/>
  <c r="L62" i="300"/>
  <c r="M28" i="65066"/>
  <c r="L28"/>
  <c r="K28"/>
  <c r="J28"/>
  <c r="I28"/>
  <c r="F67" i="300"/>
  <c r="L31" i="65066"/>
  <c r="L16"/>
  <c r="O26" i="65070" l="1"/>
  <c r="K42" i="300"/>
  <c r="M42" s="1"/>
  <c r="O36" i="65079"/>
  <c r="N34"/>
  <c r="K94" i="300"/>
  <c r="L42"/>
  <c r="L94" l="1"/>
  <c r="M94"/>
  <c r="H23" i="65124"/>
  <c r="O34" i="65079"/>
  <c r="G107" i="300"/>
  <c r="I107"/>
  <c r="J107"/>
  <c r="F107"/>
  <c r="G106"/>
  <c r="I106"/>
  <c r="J106"/>
  <c r="F106"/>
  <c r="N36" i="65078"/>
  <c r="O36" s="1"/>
  <c r="N35"/>
  <c r="O35" s="1"/>
  <c r="G95" i="300"/>
  <c r="I95"/>
  <c r="J95"/>
  <c r="F95"/>
  <c r="J42" i="65075"/>
  <c r="I42"/>
  <c r="N35"/>
  <c r="O32"/>
  <c r="N30"/>
  <c r="J67" i="300"/>
  <c r="I67"/>
  <c r="J79"/>
  <c r="J80"/>
  <c r="I80"/>
  <c r="I79"/>
  <c r="G80"/>
  <c r="G79"/>
  <c r="F80"/>
  <c r="F79"/>
  <c r="N39" i="65080"/>
  <c r="O39" s="1"/>
  <c r="N38"/>
  <c r="N31" i="65079"/>
  <c r="G67" i="300"/>
  <c r="N33" i="65075" l="1"/>
  <c r="H19" i="65124" s="1"/>
  <c r="O35" i="65075"/>
  <c r="O30"/>
  <c r="K53" i="300"/>
  <c r="L53" s="1"/>
  <c r="K80"/>
  <c r="M80" s="1"/>
  <c r="F63" i="65137"/>
  <c r="O38" i="65080"/>
  <c r="F62" i="65137"/>
  <c r="K95" i="300"/>
  <c r="K79"/>
  <c r="M79" s="1"/>
  <c r="K107"/>
  <c r="K106"/>
  <c r="J34" i="65071"/>
  <c r="J31" i="65066"/>
  <c r="J16"/>
  <c r="J13"/>
  <c r="I32"/>
  <c r="I31" s="1"/>
  <c r="I26"/>
  <c r="I24"/>
  <c r="I22"/>
  <c r="I21"/>
  <c r="I20"/>
  <c r="I18"/>
  <c r="I13"/>
  <c r="I11"/>
  <c r="I8" s="1"/>
  <c r="L106" i="300" l="1"/>
  <c r="M106"/>
  <c r="L107"/>
  <c r="M107"/>
  <c r="L95"/>
  <c r="M95"/>
  <c r="L80"/>
  <c r="O33" i="65075"/>
  <c r="L79" i="300"/>
  <c r="I16" i="65066"/>
  <c r="I43" i="65079"/>
  <c r="G21" i="300"/>
  <c r="J8" i="65066"/>
  <c r="J43" i="65079" l="1"/>
  <c r="E32" i="65137" s="1"/>
  <c r="N29" i="65093" l="1"/>
  <c r="O29" l="1"/>
  <c r="N9" i="65065"/>
  <c r="G91" i="300" l="1"/>
  <c r="G90" s="1"/>
  <c r="I91"/>
  <c r="I90" s="1"/>
  <c r="J91"/>
  <c r="J90" s="1"/>
  <c r="F91"/>
  <c r="F90" s="1"/>
  <c r="N30" i="16"/>
  <c r="N29"/>
  <c r="N26"/>
  <c r="N25"/>
  <c r="N24"/>
  <c r="N23"/>
  <c r="N22"/>
  <c r="N21"/>
  <c r="N20"/>
  <c r="N19"/>
  <c r="N18"/>
  <c r="N17"/>
  <c r="N11"/>
  <c r="N49" i="65065"/>
  <c r="K105" i="300" s="1"/>
  <c r="N48" i="65065"/>
  <c r="N47"/>
  <c r="N44"/>
  <c r="K91" i="300" s="1"/>
  <c r="N41" i="65065"/>
  <c r="N40"/>
  <c r="N39"/>
  <c r="N38"/>
  <c r="N37"/>
  <c r="N36"/>
  <c r="N35"/>
  <c r="N32"/>
  <c r="N30"/>
  <c r="N29"/>
  <c r="N28"/>
  <c r="N27"/>
  <c r="N26"/>
  <c r="N25"/>
  <c r="N24"/>
  <c r="N23"/>
  <c r="N22"/>
  <c r="N16"/>
  <c r="N11"/>
  <c r="N10"/>
  <c r="N33" i="65066"/>
  <c r="N32"/>
  <c r="N29"/>
  <c r="N28" s="1"/>
  <c r="N26"/>
  <c r="N25"/>
  <c r="N24"/>
  <c r="N23"/>
  <c r="N22"/>
  <c r="N21"/>
  <c r="N20"/>
  <c r="N19"/>
  <c r="N18"/>
  <c r="N17"/>
  <c r="N11"/>
  <c r="N30" i="65067"/>
  <c r="N29"/>
  <c r="N26"/>
  <c r="N25"/>
  <c r="N24"/>
  <c r="N23"/>
  <c r="N22"/>
  <c r="N21"/>
  <c r="N20"/>
  <c r="N19"/>
  <c r="N18"/>
  <c r="N17"/>
  <c r="N11"/>
  <c r="N30" i="65099"/>
  <c r="N29"/>
  <c r="N26"/>
  <c r="N25"/>
  <c r="N24"/>
  <c r="N23"/>
  <c r="N22"/>
  <c r="N21"/>
  <c r="N20"/>
  <c r="N19"/>
  <c r="N18"/>
  <c r="N17"/>
  <c r="N11"/>
  <c r="N30" i="65123"/>
  <c r="N29"/>
  <c r="N26"/>
  <c r="N25"/>
  <c r="N24"/>
  <c r="N23"/>
  <c r="N22"/>
  <c r="N21"/>
  <c r="N20"/>
  <c r="N19"/>
  <c r="N18"/>
  <c r="N17"/>
  <c r="N11"/>
  <c r="N30" i="65068"/>
  <c r="N29"/>
  <c r="N26"/>
  <c r="N25"/>
  <c r="N24"/>
  <c r="N23"/>
  <c r="N22"/>
  <c r="N21"/>
  <c r="N20"/>
  <c r="N19"/>
  <c r="N18"/>
  <c r="N17"/>
  <c r="N11"/>
  <c r="N31" i="65069"/>
  <c r="N30"/>
  <c r="N27"/>
  <c r="N26"/>
  <c r="N25"/>
  <c r="N24"/>
  <c r="N23"/>
  <c r="N22"/>
  <c r="N21"/>
  <c r="N20"/>
  <c r="N19"/>
  <c r="N18"/>
  <c r="N11"/>
  <c r="N32" i="65070"/>
  <c r="N31"/>
  <c r="N28"/>
  <c r="N25"/>
  <c r="N24"/>
  <c r="N23"/>
  <c r="N22"/>
  <c r="N21"/>
  <c r="N20"/>
  <c r="N19"/>
  <c r="N18"/>
  <c r="N17"/>
  <c r="N11"/>
  <c r="N31" i="65071"/>
  <c r="N30"/>
  <c r="N26"/>
  <c r="N25"/>
  <c r="N24"/>
  <c r="N23"/>
  <c r="N22"/>
  <c r="N21"/>
  <c r="N20"/>
  <c r="N19"/>
  <c r="N18"/>
  <c r="N17"/>
  <c r="N11"/>
  <c r="N30" i="65074"/>
  <c r="N29"/>
  <c r="N26"/>
  <c r="N25"/>
  <c r="N24"/>
  <c r="N23"/>
  <c r="N22"/>
  <c r="N21"/>
  <c r="N20"/>
  <c r="N19"/>
  <c r="N18"/>
  <c r="N17"/>
  <c r="N11"/>
  <c r="N30" i="65100"/>
  <c r="N29"/>
  <c r="N26"/>
  <c r="N25"/>
  <c r="N24"/>
  <c r="N23"/>
  <c r="N22"/>
  <c r="N21"/>
  <c r="N20"/>
  <c r="N19"/>
  <c r="N18"/>
  <c r="N17"/>
  <c r="N11"/>
  <c r="N30" i="65115"/>
  <c r="N29"/>
  <c r="N26"/>
  <c r="N25"/>
  <c r="N24"/>
  <c r="N23"/>
  <c r="N22"/>
  <c r="N21"/>
  <c r="N20"/>
  <c r="N19"/>
  <c r="N18"/>
  <c r="N17"/>
  <c r="N11"/>
  <c r="N39" i="65075"/>
  <c r="N38"/>
  <c r="N31"/>
  <c r="N29" s="1"/>
  <c r="N27"/>
  <c r="K48" i="300" s="1"/>
  <c r="M48" s="1"/>
  <c r="N26" i="65075"/>
  <c r="N25"/>
  <c r="N24"/>
  <c r="N23"/>
  <c r="N22"/>
  <c r="N21"/>
  <c r="N20"/>
  <c r="N19"/>
  <c r="N18"/>
  <c r="N17"/>
  <c r="N11"/>
  <c r="N47" i="65076"/>
  <c r="N46"/>
  <c r="N43"/>
  <c r="N42"/>
  <c r="N39"/>
  <c r="N38"/>
  <c r="N35"/>
  <c r="N34"/>
  <c r="N30"/>
  <c r="N26"/>
  <c r="N25"/>
  <c r="N24"/>
  <c r="N21"/>
  <c r="N20"/>
  <c r="O21"/>
  <c r="O24"/>
  <c r="O25"/>
  <c r="O26"/>
  <c r="O30"/>
  <c r="N14"/>
  <c r="N9"/>
  <c r="N36" i="65077"/>
  <c r="N35"/>
  <c r="N31"/>
  <c r="N30"/>
  <c r="N29"/>
  <c r="N26"/>
  <c r="N25"/>
  <c r="N24"/>
  <c r="N23"/>
  <c r="N22"/>
  <c r="N21"/>
  <c r="N20"/>
  <c r="N19"/>
  <c r="N18"/>
  <c r="N17"/>
  <c r="N11"/>
  <c r="N34" i="65078"/>
  <c r="N30"/>
  <c r="N29" s="1"/>
  <c r="N27"/>
  <c r="N26"/>
  <c r="N25"/>
  <c r="N24"/>
  <c r="N23"/>
  <c r="N22"/>
  <c r="N21"/>
  <c r="N20"/>
  <c r="N19"/>
  <c r="N18"/>
  <c r="N17"/>
  <c r="N11"/>
  <c r="N40" i="65079"/>
  <c r="N39"/>
  <c r="N32"/>
  <c r="N30"/>
  <c r="N29"/>
  <c r="N26"/>
  <c r="N25"/>
  <c r="N24"/>
  <c r="N23"/>
  <c r="N22"/>
  <c r="N21"/>
  <c r="N20"/>
  <c r="N19"/>
  <c r="N18"/>
  <c r="N17"/>
  <c r="N11"/>
  <c r="N43" i="65080"/>
  <c r="N42"/>
  <c r="N37"/>
  <c r="F65" i="65137" s="1"/>
  <c r="N36" i="65080"/>
  <c r="N35"/>
  <c r="N34"/>
  <c r="N32"/>
  <c r="N29"/>
  <c r="N28"/>
  <c r="N27"/>
  <c r="N26"/>
  <c r="K39" i="300" s="1"/>
  <c r="N25" i="65080"/>
  <c r="N24"/>
  <c r="N23"/>
  <c r="N22"/>
  <c r="N20"/>
  <c r="N19"/>
  <c r="N18"/>
  <c r="N17"/>
  <c r="N11"/>
  <c r="N30" i="65082"/>
  <c r="N29"/>
  <c r="N26"/>
  <c r="N25"/>
  <c r="N24"/>
  <c r="N23"/>
  <c r="N22"/>
  <c r="N21"/>
  <c r="N20"/>
  <c r="N19"/>
  <c r="N18"/>
  <c r="N17"/>
  <c r="N11"/>
  <c r="N30" i="65081"/>
  <c r="N29"/>
  <c r="N26"/>
  <c r="N25"/>
  <c r="N24"/>
  <c r="N23"/>
  <c r="N22"/>
  <c r="N21"/>
  <c r="N20"/>
  <c r="N19"/>
  <c r="N18"/>
  <c r="N17"/>
  <c r="N11"/>
  <c r="N30" i="65122"/>
  <c r="N29"/>
  <c r="N26"/>
  <c r="N25"/>
  <c r="N24"/>
  <c r="N23"/>
  <c r="N22"/>
  <c r="N21"/>
  <c r="N20"/>
  <c r="N19"/>
  <c r="N18"/>
  <c r="N17"/>
  <c r="N11"/>
  <c r="N30" i="65083"/>
  <c r="N29"/>
  <c r="N26"/>
  <c r="N25"/>
  <c r="N24"/>
  <c r="N23"/>
  <c r="N22"/>
  <c r="N21"/>
  <c r="N20"/>
  <c r="N19"/>
  <c r="N18"/>
  <c r="N17"/>
  <c r="N11"/>
  <c r="N30" i="65084"/>
  <c r="N29"/>
  <c r="N26"/>
  <c r="N25"/>
  <c r="N24"/>
  <c r="N23"/>
  <c r="N22"/>
  <c r="N21"/>
  <c r="N20"/>
  <c r="N19"/>
  <c r="N18"/>
  <c r="N17"/>
  <c r="N11"/>
  <c r="N30" i="65085"/>
  <c r="N29"/>
  <c r="N26"/>
  <c r="N24"/>
  <c r="N23"/>
  <c r="N22"/>
  <c r="N21"/>
  <c r="N20"/>
  <c r="N19"/>
  <c r="N18"/>
  <c r="N17"/>
  <c r="N11"/>
  <c r="N30" i="65086"/>
  <c r="N29"/>
  <c r="N26"/>
  <c r="N25"/>
  <c r="N24"/>
  <c r="N23"/>
  <c r="N22"/>
  <c r="N21"/>
  <c r="N20"/>
  <c r="N19"/>
  <c r="N18"/>
  <c r="N17"/>
  <c r="N11"/>
  <c r="N30" i="65087"/>
  <c r="N29"/>
  <c r="N26"/>
  <c r="N25"/>
  <c r="N24"/>
  <c r="N23"/>
  <c r="N22"/>
  <c r="N21"/>
  <c r="N20"/>
  <c r="N19"/>
  <c r="N18"/>
  <c r="N17"/>
  <c r="N11"/>
  <c r="N30" i="65088"/>
  <c r="N29"/>
  <c r="N26"/>
  <c r="N25"/>
  <c r="N24"/>
  <c r="N23"/>
  <c r="N22"/>
  <c r="N21"/>
  <c r="N20"/>
  <c r="N19"/>
  <c r="N18"/>
  <c r="N17"/>
  <c r="N11"/>
  <c r="N30" i="65089"/>
  <c r="N29"/>
  <c r="N26"/>
  <c r="N25"/>
  <c r="N24"/>
  <c r="N23"/>
  <c r="N22"/>
  <c r="N21"/>
  <c r="N20"/>
  <c r="N19"/>
  <c r="N18"/>
  <c r="N17"/>
  <c r="N11"/>
  <c r="N32" i="65093"/>
  <c r="N26"/>
  <c r="N25"/>
  <c r="N24"/>
  <c r="N23"/>
  <c r="N22"/>
  <c r="N21"/>
  <c r="N20"/>
  <c r="N19"/>
  <c r="N18"/>
  <c r="N17"/>
  <c r="N11"/>
  <c r="N30" i="65094"/>
  <c r="N29"/>
  <c r="N26"/>
  <c r="N25"/>
  <c r="N24"/>
  <c r="N23"/>
  <c r="N22"/>
  <c r="N21"/>
  <c r="N20"/>
  <c r="N19"/>
  <c r="N18"/>
  <c r="N17"/>
  <c r="N11"/>
  <c r="N34" i="65095"/>
  <c r="N30"/>
  <c r="N29"/>
  <c r="N26"/>
  <c r="N25"/>
  <c r="N24"/>
  <c r="N23"/>
  <c r="N22"/>
  <c r="N21"/>
  <c r="N20"/>
  <c r="N19"/>
  <c r="N18"/>
  <c r="N17"/>
  <c r="N11"/>
  <c r="N30" i="65096"/>
  <c r="N29"/>
  <c r="N26"/>
  <c r="N25"/>
  <c r="N24"/>
  <c r="N23"/>
  <c r="N22"/>
  <c r="N21"/>
  <c r="N20"/>
  <c r="N19"/>
  <c r="N18"/>
  <c r="N17"/>
  <c r="N11"/>
  <c r="N30" i="65097"/>
  <c r="N29"/>
  <c r="N26"/>
  <c r="N25"/>
  <c r="N24"/>
  <c r="N23"/>
  <c r="N22"/>
  <c r="N21"/>
  <c r="N20"/>
  <c r="N19"/>
  <c r="N18"/>
  <c r="N17"/>
  <c r="N11"/>
  <c r="N30" i="65098"/>
  <c r="N29"/>
  <c r="N26"/>
  <c r="N25"/>
  <c r="N24"/>
  <c r="N23"/>
  <c r="N22"/>
  <c r="N21"/>
  <c r="N20"/>
  <c r="N19"/>
  <c r="N18"/>
  <c r="N17"/>
  <c r="N11"/>
  <c r="N30" i="65105"/>
  <c r="N29"/>
  <c r="N26"/>
  <c r="N25"/>
  <c r="N24"/>
  <c r="N23"/>
  <c r="N22"/>
  <c r="N21"/>
  <c r="N20"/>
  <c r="N19"/>
  <c r="N18"/>
  <c r="N17"/>
  <c r="N11"/>
  <c r="O12" i="65065"/>
  <c r="O17"/>
  <c r="O20"/>
  <c r="O33"/>
  <c r="O42"/>
  <c r="O45"/>
  <c r="I111" i="300"/>
  <c r="I110"/>
  <c r="I99"/>
  <c r="I98"/>
  <c r="I88"/>
  <c r="I87"/>
  <c r="I85"/>
  <c r="I84"/>
  <c r="I83"/>
  <c r="I82"/>
  <c r="I78"/>
  <c r="I77"/>
  <c r="I76"/>
  <c r="I74"/>
  <c r="I73"/>
  <c r="I72"/>
  <c r="I71"/>
  <c r="I70"/>
  <c r="I68"/>
  <c r="I66"/>
  <c r="I65"/>
  <c r="I64"/>
  <c r="I63"/>
  <c r="I61"/>
  <c r="I59"/>
  <c r="I58"/>
  <c r="I57"/>
  <c r="I56"/>
  <c r="I55"/>
  <c r="I54"/>
  <c r="I52"/>
  <c r="I13"/>
  <c r="I12"/>
  <c r="I11"/>
  <c r="I10"/>
  <c r="J111"/>
  <c r="J110"/>
  <c r="J99"/>
  <c r="J98"/>
  <c r="J88"/>
  <c r="J87"/>
  <c r="J85"/>
  <c r="J84"/>
  <c r="J83"/>
  <c r="J82"/>
  <c r="J78"/>
  <c r="J77"/>
  <c r="J76"/>
  <c r="J74"/>
  <c r="J73"/>
  <c r="J72"/>
  <c r="J71"/>
  <c r="J70"/>
  <c r="J68"/>
  <c r="J66"/>
  <c r="J65"/>
  <c r="J64"/>
  <c r="J63"/>
  <c r="J61"/>
  <c r="J59"/>
  <c r="J58"/>
  <c r="J57"/>
  <c r="J56"/>
  <c r="J55"/>
  <c r="J54"/>
  <c r="J52"/>
  <c r="J13"/>
  <c r="J12"/>
  <c r="J11"/>
  <c r="J10"/>
  <c r="N19" i="65065"/>
  <c r="N15"/>
  <c r="N14"/>
  <c r="N14" i="65066"/>
  <c r="N10"/>
  <c r="N14" i="65067"/>
  <c r="N10"/>
  <c r="N14" i="65099"/>
  <c r="N10"/>
  <c r="N14" i="65123"/>
  <c r="N10"/>
  <c r="N14" i="65068"/>
  <c r="N10"/>
  <c r="N14" i="65069"/>
  <c r="N10"/>
  <c r="N14" i="65070"/>
  <c r="N10"/>
  <c r="N14" i="65071"/>
  <c r="N10"/>
  <c r="N14" i="65074"/>
  <c r="N10"/>
  <c r="N14" i="65100"/>
  <c r="N10"/>
  <c r="N14" i="65115"/>
  <c r="N10"/>
  <c r="N14" i="65075"/>
  <c r="N13" s="1"/>
  <c r="N10"/>
  <c r="N29" i="65076"/>
  <c r="N28"/>
  <c r="N27"/>
  <c r="N22"/>
  <c r="N17"/>
  <c r="N13"/>
  <c r="N14" i="65077"/>
  <c r="N10"/>
  <c r="N14" i="65078"/>
  <c r="N10"/>
  <c r="N14" i="65079"/>
  <c r="N10"/>
  <c r="N14" i="65080"/>
  <c r="N10"/>
  <c r="N14" i="65082"/>
  <c r="N10"/>
  <c r="N14" i="65081"/>
  <c r="N10"/>
  <c r="N14" i="65122"/>
  <c r="N10"/>
  <c r="N14" i="65083"/>
  <c r="N10"/>
  <c r="N14" i="65084"/>
  <c r="N10"/>
  <c r="N14" i="65085"/>
  <c r="N10"/>
  <c r="N14" i="65086"/>
  <c r="N10"/>
  <c r="N14" i="65087"/>
  <c r="N10"/>
  <c r="N14" i="65088"/>
  <c r="N10"/>
  <c r="N14" i="65089"/>
  <c r="N10"/>
  <c r="N14" i="65093"/>
  <c r="N10"/>
  <c r="N14" i="65094"/>
  <c r="N10"/>
  <c r="N14" i="65095"/>
  <c r="N10"/>
  <c r="N14" i="65096"/>
  <c r="N10"/>
  <c r="N14" i="65097"/>
  <c r="N10"/>
  <c r="N14" i="65098"/>
  <c r="N10"/>
  <c r="N14" i="65105"/>
  <c r="N10"/>
  <c r="N14" i="16"/>
  <c r="N10"/>
  <c r="M46" i="65065"/>
  <c r="M52" s="1"/>
  <c r="M43"/>
  <c r="M34"/>
  <c r="M21"/>
  <c r="M18"/>
  <c r="M8"/>
  <c r="M31" i="65066"/>
  <c r="M16"/>
  <c r="M13"/>
  <c r="M8"/>
  <c r="M16" i="16"/>
  <c r="M13"/>
  <c r="M8"/>
  <c r="K90" i="300" l="1"/>
  <c r="M90" s="1"/>
  <c r="M91"/>
  <c r="N16" i="65075"/>
  <c r="K19" i="300"/>
  <c r="M19" s="1"/>
  <c r="F64" i="65137"/>
  <c r="K45" i="300"/>
  <c r="M45" s="1"/>
  <c r="K36"/>
  <c r="M36" s="1"/>
  <c r="O30" i="65077"/>
  <c r="O28" i="65076"/>
  <c r="O27"/>
  <c r="O22"/>
  <c r="O20"/>
  <c r="N13" i="65069"/>
  <c r="K47" i="300"/>
  <c r="M47" s="1"/>
  <c r="K18"/>
  <c r="M18" s="1"/>
  <c r="O29" i="65076"/>
  <c r="K44" i="300"/>
  <c r="M44" s="1"/>
  <c r="N28" i="16"/>
  <c r="K103" i="300"/>
  <c r="M103" s="1"/>
  <c r="K102"/>
  <c r="M102" s="1"/>
  <c r="K28"/>
  <c r="M28" s="1"/>
  <c r="K32"/>
  <c r="M32" s="1"/>
  <c r="K35"/>
  <c r="M35" s="1"/>
  <c r="K41"/>
  <c r="M41" s="1"/>
  <c r="K27"/>
  <c r="M27" s="1"/>
  <c r="K33"/>
  <c r="M33" s="1"/>
  <c r="K38"/>
  <c r="M38" s="1"/>
  <c r="K22"/>
  <c r="M22" s="1"/>
  <c r="K26"/>
  <c r="M26" s="1"/>
  <c r="M46" i="65080"/>
  <c r="M42" i="65075"/>
  <c r="M43" s="1"/>
  <c r="M44" s="1"/>
  <c r="O31" i="65077"/>
  <c r="N28"/>
  <c r="L36" i="65093"/>
  <c r="L37" s="1"/>
  <c r="L38" s="1"/>
  <c r="L42" i="65075"/>
  <c r="L43" s="1"/>
  <c r="L44" s="1"/>
  <c r="F72" i="65137"/>
  <c r="M43" i="65079"/>
  <c r="M44" s="1"/>
  <c r="M45" s="1"/>
  <c r="N28" i="65074"/>
  <c r="J101" i="300"/>
  <c r="I101"/>
  <c r="L43" i="65079"/>
  <c r="L44" s="1"/>
  <c r="L45" s="1"/>
  <c r="I69" i="300"/>
  <c r="I81"/>
  <c r="J60"/>
  <c r="J81"/>
  <c r="J86"/>
  <c r="I86"/>
  <c r="N31" i="65080"/>
  <c r="J51" i="300"/>
  <c r="J69"/>
  <c r="I51"/>
  <c r="I60"/>
  <c r="N32" i="65078"/>
  <c r="N28" i="65093"/>
  <c r="L34" i="65094"/>
  <c r="L35" s="1"/>
  <c r="J109" i="300"/>
  <c r="L34" i="65068"/>
  <c r="L35" s="1"/>
  <c r="L34" i="65071"/>
  <c r="L35" s="1"/>
  <c r="L34" i="65069"/>
  <c r="L35" s="1"/>
  <c r="L36" s="1"/>
  <c r="L39" i="65077"/>
  <c r="L40" s="1"/>
  <c r="L41" s="1"/>
  <c r="N9" i="65089"/>
  <c r="N9" i="65088"/>
  <c r="N9" i="65087"/>
  <c r="N9" i="65086"/>
  <c r="N9" i="65085"/>
  <c r="N9" i="65084"/>
  <c r="N9" i="65083"/>
  <c r="N9" i="65122"/>
  <c r="N12" i="65076"/>
  <c r="N23"/>
  <c r="N9" i="65105"/>
  <c r="N9" i="65098"/>
  <c r="N9" i="65097"/>
  <c r="N9" i="65096"/>
  <c r="N9" i="65095"/>
  <c r="N9" i="65094"/>
  <c r="N9" i="65093"/>
  <c r="N9" i="65081"/>
  <c r="N9" i="65082"/>
  <c r="N9" i="65079"/>
  <c r="N9" i="65078"/>
  <c r="N9" i="65077"/>
  <c r="N9" i="65075"/>
  <c r="N8" s="1"/>
  <c r="N9" i="65115"/>
  <c r="N9" i="65100"/>
  <c r="N9" i="65074"/>
  <c r="N9" i="65071"/>
  <c r="N9" i="65070"/>
  <c r="N9" i="65069"/>
  <c r="N9" i="65068"/>
  <c r="N9" i="65123"/>
  <c r="N9" i="65099"/>
  <c r="N9" i="65067"/>
  <c r="N9" i="65066"/>
  <c r="N9" i="16"/>
  <c r="I109" i="300"/>
  <c r="I17"/>
  <c r="N9" i="65080"/>
  <c r="M33" i="65105"/>
  <c r="M34" s="1"/>
  <c r="M35" s="1"/>
  <c r="M33" i="65098"/>
  <c r="M34" s="1"/>
  <c r="M35" s="1"/>
  <c r="M33" i="65097"/>
  <c r="M34" s="1"/>
  <c r="M35" s="1"/>
  <c r="M33" i="65096"/>
  <c r="M34" s="1"/>
  <c r="M35" s="1"/>
  <c r="M38" i="65095"/>
  <c r="M39" s="1"/>
  <c r="M40" s="1"/>
  <c r="M33" i="65094"/>
  <c r="M34" s="1"/>
  <c r="M35" s="1"/>
  <c r="M36" i="65093"/>
  <c r="M37" s="1"/>
  <c r="M38" s="1"/>
  <c r="M33" i="65089"/>
  <c r="M33" i="65088"/>
  <c r="M33" i="65087"/>
  <c r="M33" i="65086"/>
  <c r="M33" i="65085"/>
  <c r="M33" i="65084"/>
  <c r="M33" i="65083"/>
  <c r="M33" i="65122"/>
  <c r="M33" i="65081"/>
  <c r="M33" i="65082"/>
  <c r="M39" i="65078"/>
  <c r="M40" s="1"/>
  <c r="M41" s="1"/>
  <c r="M39" i="65077"/>
  <c r="M33" i="65115"/>
  <c r="M34" s="1"/>
  <c r="M33" i="65100"/>
  <c r="M33" i="65074"/>
  <c r="M34" i="65071"/>
  <c r="M35" s="1"/>
  <c r="M34" i="65069"/>
  <c r="M35" s="1"/>
  <c r="M36" s="1"/>
  <c r="M33" i="65068"/>
  <c r="M34" s="1"/>
  <c r="M35" s="1"/>
  <c r="M33" i="65123"/>
  <c r="M33" i="65099"/>
  <c r="M33" i="65067"/>
  <c r="M36" i="65066"/>
  <c r="M13" i="65065"/>
  <c r="J9" i="300"/>
  <c r="I9"/>
  <c r="M34" i="16"/>
  <c r="M35" s="1"/>
  <c r="M36" s="1"/>
  <c r="I97" i="300"/>
  <c r="J15"/>
  <c r="J97"/>
  <c r="L50" i="65076"/>
  <c r="L36" i="65066"/>
  <c r="M50" i="65076"/>
  <c r="M51" s="1"/>
  <c r="M52" s="1"/>
  <c r="K17" i="300" l="1"/>
  <c r="M17" s="1"/>
  <c r="K67"/>
  <c r="M67" s="1"/>
  <c r="O23" i="65076"/>
  <c r="K21" i="300"/>
  <c r="M21" s="1"/>
  <c r="K40"/>
  <c r="M40" s="1"/>
  <c r="K37"/>
  <c r="M37" s="1"/>
  <c r="K34"/>
  <c r="M34" s="1"/>
  <c r="K30"/>
  <c r="M30" s="1"/>
  <c r="K16"/>
  <c r="M16" s="1"/>
  <c r="M40" i="65077"/>
  <c r="M41" s="1"/>
  <c r="J114" i="300"/>
  <c r="M34" i="65122"/>
  <c r="M37" i="65140"/>
  <c r="M38" s="1"/>
  <c r="M34" i="65100"/>
  <c r="M35" i="65141" s="1"/>
  <c r="L46" i="65080"/>
  <c r="L34" i="65105"/>
  <c r="L35" s="1"/>
  <c r="L38" i="65095"/>
  <c r="L39" s="1"/>
  <c r="L40" s="1"/>
  <c r="L34" i="65115"/>
  <c r="L34" i="65097"/>
  <c r="L35" s="1"/>
  <c r="L39" i="65078"/>
  <c r="L40" s="1"/>
  <c r="L41" s="1"/>
  <c r="L51" i="65076"/>
  <c r="L52" s="1"/>
  <c r="M34" i="65089"/>
  <c r="M35" s="1"/>
  <c r="L34" i="16"/>
  <c r="L35" s="1"/>
  <c r="L36" s="1"/>
  <c r="L34" i="65098"/>
  <c r="L35" s="1"/>
  <c r="I15" i="300"/>
  <c r="L34" i="65096"/>
  <c r="L35" s="1"/>
  <c r="J50" i="300"/>
  <c r="F18" i="304" s="1"/>
  <c r="I50" i="300"/>
  <c r="K29" l="1"/>
  <c r="M29" s="1"/>
  <c r="F26" i="304"/>
  <c r="F39"/>
  <c r="L16" i="300"/>
  <c r="K25"/>
  <c r="M25" s="1"/>
  <c r="L37" i="65140"/>
  <c r="L38" s="1"/>
  <c r="I114" i="300"/>
  <c r="L34" i="65100"/>
  <c r="L35" i="65141" s="1"/>
  <c r="L34" i="65089"/>
  <c r="I7" i="300"/>
  <c r="J7"/>
  <c r="L34" i="65122"/>
  <c r="G63" i="300"/>
  <c r="K63"/>
  <c r="M63" s="1"/>
  <c r="G64"/>
  <c r="K64"/>
  <c r="M64" s="1"/>
  <c r="F64"/>
  <c r="F63"/>
  <c r="J52" i="65065"/>
  <c r="I34" i="65069"/>
  <c r="I35" s="1"/>
  <c r="I36" s="1"/>
  <c r="I34" i="65071"/>
  <c r="I35" s="1"/>
  <c r="I43" i="65075"/>
  <c r="I44" s="1"/>
  <c r="I39" i="65078"/>
  <c r="I40" s="1"/>
  <c r="I41" s="1"/>
  <c r="E13" i="304"/>
  <c r="D17"/>
  <c r="K74" i="300"/>
  <c r="M74" s="1"/>
  <c r="G74"/>
  <c r="F74"/>
  <c r="O40" i="65065"/>
  <c r="D32" i="304"/>
  <c r="L14" i="300"/>
  <c r="L20"/>
  <c r="L24"/>
  <c r="L49"/>
  <c r="L89"/>
  <c r="L96"/>
  <c r="L100"/>
  <c r="L108"/>
  <c r="L112"/>
  <c r="O33" i="65095"/>
  <c r="O34"/>
  <c r="O36"/>
  <c r="O34" i="65093"/>
  <c r="O34" i="65080"/>
  <c r="O35"/>
  <c r="O36"/>
  <c r="O37"/>
  <c r="O40"/>
  <c r="O42"/>
  <c r="O43"/>
  <c r="O44"/>
  <c r="O29" i="65079"/>
  <c r="O30"/>
  <c r="O31"/>
  <c r="O32"/>
  <c r="O37"/>
  <c r="O39"/>
  <c r="O40"/>
  <c r="O41"/>
  <c r="O33" i="65078"/>
  <c r="O34"/>
  <c r="O37"/>
  <c r="O33" i="65077"/>
  <c r="O35"/>
  <c r="O36"/>
  <c r="O37"/>
  <c r="O35" i="65076"/>
  <c r="O36"/>
  <c r="O38"/>
  <c r="O39"/>
  <c r="O40"/>
  <c r="O42"/>
  <c r="O43"/>
  <c r="O44"/>
  <c r="O46"/>
  <c r="O47"/>
  <c r="O48"/>
  <c r="O35" i="65065"/>
  <c r="O36"/>
  <c r="O37"/>
  <c r="O38"/>
  <c r="O39"/>
  <c r="O41"/>
  <c r="O44"/>
  <c r="O47"/>
  <c r="O48"/>
  <c r="O49"/>
  <c r="O50"/>
  <c r="O32" i="65093"/>
  <c r="O31" i="65122"/>
  <c r="O31" i="65078"/>
  <c r="O32" i="65071"/>
  <c r="O32" i="65066"/>
  <c r="O34"/>
  <c r="O34" i="65067"/>
  <c r="O35"/>
  <c r="O34" i="65099"/>
  <c r="O35"/>
  <c r="O36" i="65070"/>
  <c r="O37"/>
  <c r="O35" i="65074"/>
  <c r="O39" i="65075"/>
  <c r="O40"/>
  <c r="O34" i="65076"/>
  <c r="O34" i="65082"/>
  <c r="O35"/>
  <c r="O34" i="65081"/>
  <c r="O35"/>
  <c r="O34" i="65083"/>
  <c r="O35"/>
  <c r="O34" i="65084"/>
  <c r="O35"/>
  <c r="O34" i="65085"/>
  <c r="O35"/>
  <c r="O34" i="65086"/>
  <c r="O35"/>
  <c r="O34" i="65087"/>
  <c r="O35"/>
  <c r="O34" i="65088"/>
  <c r="O35"/>
  <c r="O10" i="65065"/>
  <c r="O11"/>
  <c r="O22"/>
  <c r="O23"/>
  <c r="O24"/>
  <c r="O25"/>
  <c r="O26"/>
  <c r="O27"/>
  <c r="O28"/>
  <c r="O29"/>
  <c r="O30"/>
  <c r="O10" i="65066"/>
  <c r="O11"/>
  <c r="O12"/>
  <c r="O14"/>
  <c r="O15"/>
  <c r="O17"/>
  <c r="O18"/>
  <c r="O19"/>
  <c r="O20"/>
  <c r="O21"/>
  <c r="O22"/>
  <c r="O23"/>
  <c r="O24"/>
  <c r="O25"/>
  <c r="O26"/>
  <c r="O27"/>
  <c r="O29"/>
  <c r="O30"/>
  <c r="O33"/>
  <c r="O10" i="65067"/>
  <c r="O11"/>
  <c r="O12"/>
  <c r="O14"/>
  <c r="O15"/>
  <c r="O17"/>
  <c r="O18"/>
  <c r="O19"/>
  <c r="O20"/>
  <c r="O21"/>
  <c r="O22"/>
  <c r="O23"/>
  <c r="O24"/>
  <c r="O25"/>
  <c r="O26"/>
  <c r="O27"/>
  <c r="O29"/>
  <c r="O30"/>
  <c r="O31"/>
  <c r="O10" i="65099"/>
  <c r="O11"/>
  <c r="O12"/>
  <c r="O14"/>
  <c r="O15"/>
  <c r="O17"/>
  <c r="O18"/>
  <c r="O19"/>
  <c r="O20"/>
  <c r="O21"/>
  <c r="O22"/>
  <c r="O23"/>
  <c r="O24"/>
  <c r="O25"/>
  <c r="O26"/>
  <c r="O27"/>
  <c r="O29"/>
  <c r="O30"/>
  <c r="O31"/>
  <c r="O10" i="65123"/>
  <c r="O11"/>
  <c r="O12"/>
  <c r="O14"/>
  <c r="O15"/>
  <c r="O17"/>
  <c r="O18"/>
  <c r="O19"/>
  <c r="O20"/>
  <c r="O21"/>
  <c r="O22"/>
  <c r="O23"/>
  <c r="O24"/>
  <c r="O25"/>
  <c r="O26"/>
  <c r="O27"/>
  <c r="O29"/>
  <c r="O30"/>
  <c r="O31"/>
  <c r="O10" i="65068"/>
  <c r="O11"/>
  <c r="O12"/>
  <c r="O14"/>
  <c r="O15"/>
  <c r="O17"/>
  <c r="O18"/>
  <c r="O19"/>
  <c r="O20"/>
  <c r="O21"/>
  <c r="O22"/>
  <c r="O23"/>
  <c r="O24"/>
  <c r="O25"/>
  <c r="O26"/>
  <c r="O27"/>
  <c r="O29"/>
  <c r="O30"/>
  <c r="O31"/>
  <c r="O10" i="65069"/>
  <c r="O11"/>
  <c r="O12"/>
  <c r="O14"/>
  <c r="O16"/>
  <c r="O18"/>
  <c r="O19"/>
  <c r="O20"/>
  <c r="O21"/>
  <c r="O22"/>
  <c r="O23"/>
  <c r="O24"/>
  <c r="O25"/>
  <c r="O26"/>
  <c r="O27"/>
  <c r="O28"/>
  <c r="O30"/>
  <c r="O31"/>
  <c r="O32"/>
  <c r="O10" i="65070"/>
  <c r="O11"/>
  <c r="O12"/>
  <c r="O14"/>
  <c r="O15"/>
  <c r="O17"/>
  <c r="O18"/>
  <c r="O19"/>
  <c r="O20"/>
  <c r="O21"/>
  <c r="O22"/>
  <c r="O23"/>
  <c r="O24"/>
  <c r="O25"/>
  <c r="O28"/>
  <c r="O29"/>
  <c r="O31"/>
  <c r="O32"/>
  <c r="O33"/>
  <c r="O10" i="65071"/>
  <c r="O11"/>
  <c r="O12"/>
  <c r="O14"/>
  <c r="O15"/>
  <c r="O17"/>
  <c r="O18"/>
  <c r="O19"/>
  <c r="O20"/>
  <c r="O21"/>
  <c r="O22"/>
  <c r="O23"/>
  <c r="O24"/>
  <c r="O25"/>
  <c r="O26"/>
  <c r="O27"/>
  <c r="O28"/>
  <c r="O30"/>
  <c r="O31"/>
  <c r="O10" i="65074"/>
  <c r="O11"/>
  <c r="O12"/>
  <c r="O14"/>
  <c r="O15"/>
  <c r="O17"/>
  <c r="O18"/>
  <c r="O19"/>
  <c r="O20"/>
  <c r="O21"/>
  <c r="O22"/>
  <c r="O23"/>
  <c r="O24"/>
  <c r="O25"/>
  <c r="O26"/>
  <c r="O27"/>
  <c r="O29"/>
  <c r="O30"/>
  <c r="O31"/>
  <c r="O10" i="65100"/>
  <c r="O11"/>
  <c r="O12"/>
  <c r="O14"/>
  <c r="O15"/>
  <c r="O17"/>
  <c r="O18"/>
  <c r="O19"/>
  <c r="O20"/>
  <c r="O21"/>
  <c r="O22"/>
  <c r="O23"/>
  <c r="O24"/>
  <c r="O25"/>
  <c r="O26"/>
  <c r="O27"/>
  <c r="O29"/>
  <c r="O30"/>
  <c r="O31"/>
  <c r="O10" i="65115"/>
  <c r="O11"/>
  <c r="O12"/>
  <c r="O14"/>
  <c r="O15"/>
  <c r="O17"/>
  <c r="O18"/>
  <c r="O19"/>
  <c r="O20"/>
  <c r="O21"/>
  <c r="O22"/>
  <c r="O23"/>
  <c r="O24"/>
  <c r="O25"/>
  <c r="O26"/>
  <c r="O27"/>
  <c r="O29"/>
  <c r="O30"/>
  <c r="O31"/>
  <c r="O10" i="65075"/>
  <c r="O11"/>
  <c r="O12"/>
  <c r="O14"/>
  <c r="O15"/>
  <c r="O17"/>
  <c r="O18"/>
  <c r="O19"/>
  <c r="O20"/>
  <c r="O21"/>
  <c r="O22"/>
  <c r="O23"/>
  <c r="O24"/>
  <c r="O25"/>
  <c r="O26"/>
  <c r="O27"/>
  <c r="O28"/>
  <c r="O31"/>
  <c r="O36"/>
  <c r="O38"/>
  <c r="O10" i="65076"/>
  <c r="O14"/>
  <c r="O15"/>
  <c r="O18"/>
  <c r="O31"/>
  <c r="O33"/>
  <c r="O10" i="65077"/>
  <c r="O11"/>
  <c r="O12"/>
  <c r="O14"/>
  <c r="O15"/>
  <c r="O17"/>
  <c r="O18"/>
  <c r="O19"/>
  <c r="O20"/>
  <c r="O21"/>
  <c r="O22"/>
  <c r="O23"/>
  <c r="O24"/>
  <c r="O25"/>
  <c r="O26"/>
  <c r="O27"/>
  <c r="O29"/>
  <c r="O10" i="65078"/>
  <c r="O11"/>
  <c r="O12"/>
  <c r="O14"/>
  <c r="O15"/>
  <c r="O17"/>
  <c r="O18"/>
  <c r="O19"/>
  <c r="O20"/>
  <c r="O21"/>
  <c r="O22"/>
  <c r="O23"/>
  <c r="O24"/>
  <c r="O25"/>
  <c r="O26"/>
  <c r="O27"/>
  <c r="O28"/>
  <c r="O30"/>
  <c r="O10" i="65079"/>
  <c r="O11"/>
  <c r="O12"/>
  <c r="O14"/>
  <c r="O15"/>
  <c r="O17"/>
  <c r="O18"/>
  <c r="O19"/>
  <c r="O20"/>
  <c r="O21"/>
  <c r="O22"/>
  <c r="O23"/>
  <c r="O24"/>
  <c r="O25"/>
  <c r="O26"/>
  <c r="O27"/>
  <c r="O10" i="65080"/>
  <c r="O11"/>
  <c r="O12"/>
  <c r="O14"/>
  <c r="O15"/>
  <c r="O17"/>
  <c r="O18"/>
  <c r="O19"/>
  <c r="O20"/>
  <c r="O22"/>
  <c r="O23"/>
  <c r="O24"/>
  <c r="O25"/>
  <c r="O26"/>
  <c r="O27"/>
  <c r="O28"/>
  <c r="O29"/>
  <c r="O30"/>
  <c r="O32"/>
  <c r="O33"/>
  <c r="O10" i="65082"/>
  <c r="O11"/>
  <c r="O12"/>
  <c r="O14"/>
  <c r="O15"/>
  <c r="O17"/>
  <c r="O18"/>
  <c r="O19"/>
  <c r="O20"/>
  <c r="O21"/>
  <c r="O22"/>
  <c r="O23"/>
  <c r="O24"/>
  <c r="O25"/>
  <c r="O26"/>
  <c r="O27"/>
  <c r="O29"/>
  <c r="O30"/>
  <c r="O31"/>
  <c r="O10" i="65081"/>
  <c r="O11"/>
  <c r="O12"/>
  <c r="O14"/>
  <c r="O15"/>
  <c r="O17"/>
  <c r="O18"/>
  <c r="O19"/>
  <c r="O20"/>
  <c r="O21"/>
  <c r="O22"/>
  <c r="O23"/>
  <c r="O24"/>
  <c r="O25"/>
  <c r="O26"/>
  <c r="O27"/>
  <c r="O29"/>
  <c r="O30"/>
  <c r="O31"/>
  <c r="O10" i="65122"/>
  <c r="O11"/>
  <c r="O12"/>
  <c r="O14"/>
  <c r="O15"/>
  <c r="O17"/>
  <c r="O18"/>
  <c r="O19"/>
  <c r="O20"/>
  <c r="O21"/>
  <c r="O22"/>
  <c r="O23"/>
  <c r="O24"/>
  <c r="O25"/>
  <c r="O26"/>
  <c r="O27"/>
  <c r="O29"/>
  <c r="O30"/>
  <c r="O10" i="65083"/>
  <c r="O11"/>
  <c r="O12"/>
  <c r="O14"/>
  <c r="O15"/>
  <c r="O17"/>
  <c r="O18"/>
  <c r="O19"/>
  <c r="O20"/>
  <c r="O21"/>
  <c r="O22"/>
  <c r="O23"/>
  <c r="O24"/>
  <c r="O25"/>
  <c r="O26"/>
  <c r="O27"/>
  <c r="O29"/>
  <c r="O30"/>
  <c r="O31"/>
  <c r="O10" i="65084"/>
  <c r="O11"/>
  <c r="O12"/>
  <c r="O14"/>
  <c r="O15"/>
  <c r="O17"/>
  <c r="O18"/>
  <c r="O19"/>
  <c r="O20"/>
  <c r="O21"/>
  <c r="O22"/>
  <c r="O23"/>
  <c r="O24"/>
  <c r="O25"/>
  <c r="O26"/>
  <c r="O27"/>
  <c r="O29"/>
  <c r="O30"/>
  <c r="O31"/>
  <c r="O10" i="65085"/>
  <c r="O11"/>
  <c r="O12"/>
  <c r="O14"/>
  <c r="O15"/>
  <c r="O17"/>
  <c r="O18"/>
  <c r="O19"/>
  <c r="O20"/>
  <c r="O21"/>
  <c r="O22"/>
  <c r="O23"/>
  <c r="O24"/>
  <c r="O25"/>
  <c r="O26"/>
  <c r="O27"/>
  <c r="O29"/>
  <c r="O30"/>
  <c r="O31"/>
  <c r="O10" i="65086"/>
  <c r="O11"/>
  <c r="O12"/>
  <c r="O14"/>
  <c r="O15"/>
  <c r="O17"/>
  <c r="O18"/>
  <c r="O19"/>
  <c r="O20"/>
  <c r="O21"/>
  <c r="O22"/>
  <c r="O23"/>
  <c r="O24"/>
  <c r="O25"/>
  <c r="O26"/>
  <c r="O27"/>
  <c r="O29"/>
  <c r="O30"/>
  <c r="O31"/>
  <c r="O10" i="65087"/>
  <c r="O11"/>
  <c r="O12"/>
  <c r="O14"/>
  <c r="O15"/>
  <c r="O17"/>
  <c r="O18"/>
  <c r="O19"/>
  <c r="O20"/>
  <c r="O21"/>
  <c r="O22"/>
  <c r="O23"/>
  <c r="O24"/>
  <c r="O25"/>
  <c r="O26"/>
  <c r="O27"/>
  <c r="O29"/>
  <c r="O30"/>
  <c r="O31"/>
  <c r="O10" i="65088"/>
  <c r="O11"/>
  <c r="O12"/>
  <c r="O14"/>
  <c r="O15"/>
  <c r="O17"/>
  <c r="O18"/>
  <c r="O19"/>
  <c r="O20"/>
  <c r="O21"/>
  <c r="O22"/>
  <c r="O23"/>
  <c r="O24"/>
  <c r="O25"/>
  <c r="O26"/>
  <c r="O27"/>
  <c r="O29"/>
  <c r="O30"/>
  <c r="O31"/>
  <c r="O10" i="65089"/>
  <c r="O11"/>
  <c r="O12"/>
  <c r="O14"/>
  <c r="O15"/>
  <c r="O17"/>
  <c r="O18"/>
  <c r="O19"/>
  <c r="O20"/>
  <c r="O21"/>
  <c r="O22"/>
  <c r="O23"/>
  <c r="O24"/>
  <c r="O25"/>
  <c r="O26"/>
  <c r="O27"/>
  <c r="O29"/>
  <c r="O30"/>
  <c r="O31"/>
  <c r="O10" i="65093"/>
  <c r="O11"/>
  <c r="O12"/>
  <c r="O14"/>
  <c r="O15"/>
  <c r="O17"/>
  <c r="O18"/>
  <c r="O19"/>
  <c r="O20"/>
  <c r="O21"/>
  <c r="O22"/>
  <c r="O23"/>
  <c r="O24"/>
  <c r="O25"/>
  <c r="O26"/>
  <c r="O27"/>
  <c r="O30"/>
  <c r="O33"/>
  <c r="O10" i="65094"/>
  <c r="O11"/>
  <c r="O12"/>
  <c r="O14"/>
  <c r="O15"/>
  <c r="O17"/>
  <c r="O18"/>
  <c r="O19"/>
  <c r="O20"/>
  <c r="O21"/>
  <c r="O22"/>
  <c r="O23"/>
  <c r="O24"/>
  <c r="O25"/>
  <c r="O26"/>
  <c r="O27"/>
  <c r="O29"/>
  <c r="O30"/>
  <c r="O31"/>
  <c r="O10" i="65095"/>
  <c r="O11"/>
  <c r="O12"/>
  <c r="O14"/>
  <c r="O15"/>
  <c r="O17"/>
  <c r="O18"/>
  <c r="O19"/>
  <c r="O20"/>
  <c r="O21"/>
  <c r="O22"/>
  <c r="O23"/>
  <c r="O24"/>
  <c r="O25"/>
  <c r="O26"/>
  <c r="O27"/>
  <c r="O29"/>
  <c r="O30"/>
  <c r="O31"/>
  <c r="O10" i="65096"/>
  <c r="O11"/>
  <c r="O12"/>
  <c r="O14"/>
  <c r="O15"/>
  <c r="O17"/>
  <c r="O18"/>
  <c r="O19"/>
  <c r="O20"/>
  <c r="O21"/>
  <c r="O22"/>
  <c r="O23"/>
  <c r="O24"/>
  <c r="O25"/>
  <c r="O26"/>
  <c r="O27"/>
  <c r="O29"/>
  <c r="O30"/>
  <c r="O31"/>
  <c r="O10" i="65097"/>
  <c r="O11"/>
  <c r="O12"/>
  <c r="O14"/>
  <c r="O15"/>
  <c r="O17"/>
  <c r="O18"/>
  <c r="O19"/>
  <c r="O20"/>
  <c r="O21"/>
  <c r="O22"/>
  <c r="O23"/>
  <c r="O24"/>
  <c r="O25"/>
  <c r="O26"/>
  <c r="O27"/>
  <c r="O29"/>
  <c r="O30"/>
  <c r="O31"/>
  <c r="O10" i="65098"/>
  <c r="O11"/>
  <c r="O12"/>
  <c r="O14"/>
  <c r="O15"/>
  <c r="O17"/>
  <c r="O18"/>
  <c r="O19"/>
  <c r="O20"/>
  <c r="O21"/>
  <c r="O22"/>
  <c r="O23"/>
  <c r="O24"/>
  <c r="O25"/>
  <c r="O26"/>
  <c r="O27"/>
  <c r="O29"/>
  <c r="O30"/>
  <c r="O31"/>
  <c r="O10" i="65105"/>
  <c r="O11"/>
  <c r="O12"/>
  <c r="O14"/>
  <c r="O15"/>
  <c r="O17"/>
  <c r="O18"/>
  <c r="O19"/>
  <c r="O20"/>
  <c r="O21"/>
  <c r="O22"/>
  <c r="O23"/>
  <c r="O24"/>
  <c r="O25"/>
  <c r="O26"/>
  <c r="O27"/>
  <c r="O29"/>
  <c r="O30"/>
  <c r="O31"/>
  <c r="O10" i="16"/>
  <c r="O11"/>
  <c r="O12"/>
  <c r="O14"/>
  <c r="O15"/>
  <c r="O17"/>
  <c r="O18"/>
  <c r="O19"/>
  <c r="O20"/>
  <c r="O21"/>
  <c r="O22"/>
  <c r="O23"/>
  <c r="O24"/>
  <c r="O25"/>
  <c r="O26"/>
  <c r="O27"/>
  <c r="O29"/>
  <c r="O30"/>
  <c r="O32"/>
  <c r="O9" i="65065"/>
  <c r="O9" i="65066"/>
  <c r="O9" i="65067"/>
  <c r="O9" i="65099"/>
  <c r="O9" i="65123"/>
  <c r="O9" i="65068"/>
  <c r="O9" i="65069"/>
  <c r="O9" i="65070"/>
  <c r="O9" i="65071"/>
  <c r="O9" i="65074"/>
  <c r="O9" i="65100"/>
  <c r="O9" i="65115"/>
  <c r="O9" i="65075"/>
  <c r="O9" i="65076"/>
  <c r="O9" i="65077"/>
  <c r="O9" i="65078"/>
  <c r="O9" i="65079"/>
  <c r="O9" i="65080"/>
  <c r="O9" i="65082"/>
  <c r="O9" i="65081"/>
  <c r="O9" i="65122"/>
  <c r="O9" i="65083"/>
  <c r="O9" i="65084"/>
  <c r="O9" i="65085"/>
  <c r="O9" i="65086"/>
  <c r="O9" i="65087"/>
  <c r="O9" i="65088"/>
  <c r="O9" i="65089"/>
  <c r="O9" i="65093"/>
  <c r="O9" i="65094"/>
  <c r="O9" i="65095"/>
  <c r="O9" i="65096"/>
  <c r="O9" i="65097"/>
  <c r="O9" i="65098"/>
  <c r="O9" i="16"/>
  <c r="G78" i="300"/>
  <c r="K78"/>
  <c r="F78"/>
  <c r="N28" i="65095"/>
  <c r="O28" s="1"/>
  <c r="O17" i="65076"/>
  <c r="L29" i="300" l="1"/>
  <c r="L78"/>
  <c r="L74"/>
  <c r="L63"/>
  <c r="L64"/>
  <c r="L35" i="65089"/>
  <c r="I36" i="65093"/>
  <c r="I37" s="1"/>
  <c r="I38" s="1"/>
  <c r="D16" i="304"/>
  <c r="I34" i="65068"/>
  <c r="I35" s="1"/>
  <c r="I39" i="65077"/>
  <c r="I36" i="65066"/>
  <c r="I44" i="65079"/>
  <c r="I45" s="1"/>
  <c r="G17" i="300"/>
  <c r="J44" i="65079"/>
  <c r="J45" s="1"/>
  <c r="O12" i="65076"/>
  <c r="J34" i="16"/>
  <c r="J38" i="65095"/>
  <c r="J39" i="65078"/>
  <c r="J36" i="65093"/>
  <c r="J39" i="65077"/>
  <c r="J35" i="65071"/>
  <c r="J34" i="65069"/>
  <c r="E24" i="65137" s="1"/>
  <c r="J36" i="65066"/>
  <c r="I38" i="65095"/>
  <c r="D27" i="304"/>
  <c r="O14" i="65065"/>
  <c r="O19"/>
  <c r="I39" i="65095" l="1"/>
  <c r="I40" s="1"/>
  <c r="E25" i="65137"/>
  <c r="G114" i="300"/>
  <c r="I34" i="65100"/>
  <c r="I35" i="65141" s="1"/>
  <c r="J35" i="16"/>
  <c r="J36" s="1"/>
  <c r="E9" i="65137"/>
  <c r="J40" i="65078"/>
  <c r="J41" s="1"/>
  <c r="E39" i="65137"/>
  <c r="J34" i="65100"/>
  <c r="J35" i="65141" s="1"/>
  <c r="E26" i="65137"/>
  <c r="J37" i="65140"/>
  <c r="E86" i="65137"/>
  <c r="I40" i="65077"/>
  <c r="I41" s="1"/>
  <c r="I52" i="65065"/>
  <c r="I37" i="65140" s="1"/>
  <c r="I38" s="1"/>
  <c r="D14" i="304"/>
  <c r="D13"/>
  <c r="J37" i="65093"/>
  <c r="J43" i="65075"/>
  <c r="J44" s="1"/>
  <c r="J40" i="65077"/>
  <c r="J41" s="1"/>
  <c r="J34" i="65068"/>
  <c r="J39" i="65095"/>
  <c r="J40" s="1"/>
  <c r="J35" i="65069"/>
  <c r="O16" i="65065"/>
  <c r="O32"/>
  <c r="J38" i="65140" l="1"/>
  <c r="F114" i="300"/>
  <c r="D15" i="304"/>
  <c r="D12" s="1"/>
  <c r="J35" i="65068"/>
  <c r="J36" i="65069"/>
  <c r="J38" i="65093"/>
  <c r="O15" i="65065"/>
  <c r="D38" i="304" l="1"/>
  <c r="O13" i="65076"/>
  <c r="O28" i="65093"/>
  <c r="N28" i="65079"/>
  <c r="N28" i="65067"/>
  <c r="O28" l="1"/>
  <c r="O28" i="65079"/>
  <c r="G110" i="300"/>
  <c r="K110"/>
  <c r="M110" s="1"/>
  <c r="G111"/>
  <c r="K111"/>
  <c r="M111" s="1"/>
  <c r="F111"/>
  <c r="F110"/>
  <c r="N45" i="65076"/>
  <c r="O45" s="1"/>
  <c r="L111" i="300" l="1"/>
  <c r="L110"/>
  <c r="G98"/>
  <c r="G99"/>
  <c r="G87"/>
  <c r="G88"/>
  <c r="G82"/>
  <c r="G83"/>
  <c r="G84"/>
  <c r="G85"/>
  <c r="G70"/>
  <c r="G71"/>
  <c r="G72"/>
  <c r="G73"/>
  <c r="G76"/>
  <c r="G77"/>
  <c r="G61"/>
  <c r="G65"/>
  <c r="G66"/>
  <c r="G68"/>
  <c r="G52"/>
  <c r="G54"/>
  <c r="G55"/>
  <c r="G56"/>
  <c r="G57"/>
  <c r="G58"/>
  <c r="G59"/>
  <c r="L39"/>
  <c r="G10"/>
  <c r="G11"/>
  <c r="G12"/>
  <c r="G13"/>
  <c r="G101" l="1"/>
  <c r="G51"/>
  <c r="G60"/>
  <c r="G69"/>
  <c r="G81"/>
  <c r="G86"/>
  <c r="G109"/>
  <c r="E34" i="304" s="1"/>
  <c r="G97" i="300"/>
  <c r="G9"/>
  <c r="N13" i="65094"/>
  <c r="N32" i="65095"/>
  <c r="N31" i="65093"/>
  <c r="O31" s="1"/>
  <c r="O31" i="65080"/>
  <c r="O29" i="65078"/>
  <c r="O28" i="65077"/>
  <c r="N34"/>
  <c r="O34" s="1"/>
  <c r="N32" i="65076"/>
  <c r="O29" i="65075"/>
  <c r="N37"/>
  <c r="O28" i="65066"/>
  <c r="O32" i="65095" l="1"/>
  <c r="O13" i="65094"/>
  <c r="O32" i="65076"/>
  <c r="O37" i="65075"/>
  <c r="E22" i="304"/>
  <c r="E19"/>
  <c r="E21"/>
  <c r="E24"/>
  <c r="E25"/>
  <c r="E29"/>
  <c r="G15" i="300"/>
  <c r="G50"/>
  <c r="E23" i="304" l="1"/>
  <c r="E20"/>
  <c r="G7" i="300"/>
  <c r="E32" i="304" l="1"/>
  <c r="N16" i="65122"/>
  <c r="L48" i="300"/>
  <c r="F48"/>
  <c r="D28" i="65124"/>
  <c r="N8" i="65080"/>
  <c r="E17" i="304"/>
  <c r="N28" i="65085"/>
  <c r="N13" i="65098"/>
  <c r="N8"/>
  <c r="N13" i="65096"/>
  <c r="N8"/>
  <c r="N13" i="65071"/>
  <c r="N8"/>
  <c r="N13" i="65105"/>
  <c r="N13" i="65097"/>
  <c r="N8"/>
  <c r="N13" i="65095"/>
  <c r="E37" i="65124" s="1"/>
  <c r="N8" i="65095"/>
  <c r="N8" i="65094"/>
  <c r="N13" i="65093"/>
  <c r="N8"/>
  <c r="N13" i="65089"/>
  <c r="N8"/>
  <c r="N13" i="65088"/>
  <c r="N8"/>
  <c r="N13" i="65087"/>
  <c r="N8"/>
  <c r="N13" i="65086"/>
  <c r="N8"/>
  <c r="N13" i="65085"/>
  <c r="N8"/>
  <c r="N13" i="65084"/>
  <c r="N8"/>
  <c r="N13" i="65083"/>
  <c r="N8"/>
  <c r="N13" i="65122"/>
  <c r="N8"/>
  <c r="N13" i="65081"/>
  <c r="N8"/>
  <c r="N13" i="65082"/>
  <c r="N8"/>
  <c r="N13" i="65080"/>
  <c r="N13" i="65079"/>
  <c r="N8"/>
  <c r="N13" i="65078"/>
  <c r="N8"/>
  <c r="N13" i="65077"/>
  <c r="N8"/>
  <c r="N16" i="65076"/>
  <c r="N11"/>
  <c r="N13" i="65115"/>
  <c r="N8"/>
  <c r="N13" i="65100"/>
  <c r="N8"/>
  <c r="N13" i="65074"/>
  <c r="N8"/>
  <c r="N13" i="65070"/>
  <c r="N8"/>
  <c r="N8" i="65069"/>
  <c r="N13" i="65068"/>
  <c r="N8"/>
  <c r="N13" i="65123"/>
  <c r="N8"/>
  <c r="N13" i="65099"/>
  <c r="N8"/>
  <c r="N13" i="65067"/>
  <c r="N8"/>
  <c r="N13" i="65066"/>
  <c r="O13" s="1"/>
  <c r="N8"/>
  <c r="O8" s="1"/>
  <c r="N18" i="65065"/>
  <c r="N13"/>
  <c r="N13" i="16"/>
  <c r="N8"/>
  <c r="G72" i="65137"/>
  <c r="G65"/>
  <c r="G64"/>
  <c r="L18" i="300"/>
  <c r="L19"/>
  <c r="E44" i="65125"/>
  <c r="F44"/>
  <c r="G10" i="65137"/>
  <c r="G12"/>
  <c r="G13"/>
  <c r="G14"/>
  <c r="G15"/>
  <c r="G16"/>
  <c r="E17"/>
  <c r="G17" s="1"/>
  <c r="F17"/>
  <c r="G18"/>
  <c r="G19"/>
  <c r="G20"/>
  <c r="G21"/>
  <c r="G22"/>
  <c r="G27"/>
  <c r="G28"/>
  <c r="G31"/>
  <c r="G33"/>
  <c r="G34"/>
  <c r="G35"/>
  <c r="G36"/>
  <c r="G37"/>
  <c r="G38"/>
  <c r="E40"/>
  <c r="G40" s="1"/>
  <c r="F40"/>
  <c r="G41"/>
  <c r="G42"/>
  <c r="G43"/>
  <c r="G44"/>
  <c r="G45"/>
  <c r="G46"/>
  <c r="E47"/>
  <c r="F47"/>
  <c r="G47"/>
  <c r="G48"/>
  <c r="G49"/>
  <c r="G50"/>
  <c r="G51"/>
  <c r="G52"/>
  <c r="G53"/>
  <c r="E54"/>
  <c r="G54" s="1"/>
  <c r="F54"/>
  <c r="G55"/>
  <c r="G56"/>
  <c r="G57"/>
  <c r="G58"/>
  <c r="G59"/>
  <c r="G60"/>
  <c r="G62"/>
  <c r="G63"/>
  <c r="E61"/>
  <c r="G66"/>
  <c r="G67"/>
  <c r="G71"/>
  <c r="G73"/>
  <c r="G74"/>
  <c r="G75"/>
  <c r="G78"/>
  <c r="G79"/>
  <c r="G80"/>
  <c r="G81"/>
  <c r="G82"/>
  <c r="G83"/>
  <c r="G84"/>
  <c r="G85"/>
  <c r="C5" i="65124"/>
  <c r="D5"/>
  <c r="C6"/>
  <c r="D6"/>
  <c r="C7"/>
  <c r="D7"/>
  <c r="C8"/>
  <c r="D8"/>
  <c r="C9"/>
  <c r="D9"/>
  <c r="C11"/>
  <c r="D11"/>
  <c r="C12"/>
  <c r="D12"/>
  <c r="C13"/>
  <c r="D13"/>
  <c r="C14"/>
  <c r="D14"/>
  <c r="C15"/>
  <c r="D15"/>
  <c r="C16"/>
  <c r="D16"/>
  <c r="C17"/>
  <c r="D17"/>
  <c r="C19"/>
  <c r="D19"/>
  <c r="C20"/>
  <c r="D20"/>
  <c r="C21"/>
  <c r="D21"/>
  <c r="C22"/>
  <c r="D22"/>
  <c r="C23"/>
  <c r="D23"/>
  <c r="D24"/>
  <c r="C25"/>
  <c r="D25"/>
  <c r="C26"/>
  <c r="D26"/>
  <c r="C27"/>
  <c r="D27"/>
  <c r="C28"/>
  <c r="C29"/>
  <c r="D29"/>
  <c r="C30"/>
  <c r="D30"/>
  <c r="C31"/>
  <c r="D31"/>
  <c r="C32"/>
  <c r="D32"/>
  <c r="C33"/>
  <c r="D33"/>
  <c r="C34"/>
  <c r="D34"/>
  <c r="C35"/>
  <c r="D35"/>
  <c r="C36"/>
  <c r="D36"/>
  <c r="C37"/>
  <c r="D37"/>
  <c r="C38"/>
  <c r="D38"/>
  <c r="C39"/>
  <c r="D39"/>
  <c r="C40"/>
  <c r="D40"/>
  <c r="D41"/>
  <c r="N16" i="65105"/>
  <c r="F41" i="65124" s="1"/>
  <c r="N28" i="65105"/>
  <c r="N16" i="65098"/>
  <c r="N28"/>
  <c r="N16" i="65097"/>
  <c r="N28"/>
  <c r="J39" i="65124" s="1"/>
  <c r="N16" i="65096"/>
  <c r="N28"/>
  <c r="N16" i="65095"/>
  <c r="N16" i="65094"/>
  <c r="N28"/>
  <c r="N16" i="65093"/>
  <c r="G35" i="65124"/>
  <c r="N16" i="65089"/>
  <c r="N28"/>
  <c r="N16" i="65088"/>
  <c r="N28"/>
  <c r="N16" i="65087"/>
  <c r="F32" i="65124" s="1"/>
  <c r="N28" i="65087"/>
  <c r="J32" i="65124" s="1"/>
  <c r="N16" i="65086"/>
  <c r="N28"/>
  <c r="N16" i="65085"/>
  <c r="N16" i="65084"/>
  <c r="N28"/>
  <c r="N16" i="65083"/>
  <c r="N28"/>
  <c r="N28" i="65122"/>
  <c r="N16" i="65081"/>
  <c r="N28"/>
  <c r="N16" i="65082"/>
  <c r="N28"/>
  <c r="N16" i="65080"/>
  <c r="N41"/>
  <c r="O41" s="1"/>
  <c r="N16" i="65079"/>
  <c r="G23" i="65124"/>
  <c r="N38" i="65079"/>
  <c r="O38" s="1"/>
  <c r="N16" i="65078"/>
  <c r="O32"/>
  <c r="N16" i="65077"/>
  <c r="J21" i="65124"/>
  <c r="N8" i="65076"/>
  <c r="O8" s="1"/>
  <c r="N19"/>
  <c r="F20" i="65124" s="1"/>
  <c r="N37" i="65076"/>
  <c r="O37" s="1"/>
  <c r="N41"/>
  <c r="O41" s="1"/>
  <c r="K20" i="65124"/>
  <c r="J19"/>
  <c r="N16" i="65115"/>
  <c r="N28"/>
  <c r="N16" i="65100"/>
  <c r="N28"/>
  <c r="N16" i="65074"/>
  <c r="O28"/>
  <c r="N16" i="65071"/>
  <c r="N29"/>
  <c r="D16" i="65125" s="1"/>
  <c r="C16" s="1"/>
  <c r="N16" i="65070"/>
  <c r="N30"/>
  <c r="N17" i="65069"/>
  <c r="F12" i="65124" s="1"/>
  <c r="N29" i="65069"/>
  <c r="N16" i="65068"/>
  <c r="N28"/>
  <c r="D13" i="65125" s="1"/>
  <c r="C13" s="1"/>
  <c r="N16" i="65123"/>
  <c r="N28"/>
  <c r="N16" i="65099"/>
  <c r="N28"/>
  <c r="N16" i="65067"/>
  <c r="N16" i="65066"/>
  <c r="O16" s="1"/>
  <c r="N31"/>
  <c r="O31" s="1"/>
  <c r="N8" i="65065"/>
  <c r="N21"/>
  <c r="N34"/>
  <c r="N43"/>
  <c r="O43" s="1"/>
  <c r="N46"/>
  <c r="N16" i="16"/>
  <c r="J5" i="65124"/>
  <c r="L8" i="300"/>
  <c r="F10"/>
  <c r="K10"/>
  <c r="M10" s="1"/>
  <c r="F11"/>
  <c r="K11"/>
  <c r="M11" s="1"/>
  <c r="F12"/>
  <c r="K12"/>
  <c r="M12" s="1"/>
  <c r="F13"/>
  <c r="K13"/>
  <c r="M13" s="1"/>
  <c r="D21" i="304"/>
  <c r="L26" i="300"/>
  <c r="L27"/>
  <c r="L28"/>
  <c r="L30"/>
  <c r="L32"/>
  <c r="L33"/>
  <c r="L35"/>
  <c r="F36"/>
  <c r="L38"/>
  <c r="F39"/>
  <c r="L41"/>
  <c r="F44"/>
  <c r="L44"/>
  <c r="F45"/>
  <c r="L45"/>
  <c r="L47"/>
  <c r="F52"/>
  <c r="K52"/>
  <c r="M52" s="1"/>
  <c r="F54"/>
  <c r="K54"/>
  <c r="M54" s="1"/>
  <c r="F55"/>
  <c r="K55"/>
  <c r="M55" s="1"/>
  <c r="F56"/>
  <c r="K56"/>
  <c r="F57"/>
  <c r="K57"/>
  <c r="F58"/>
  <c r="K58"/>
  <c r="F59"/>
  <c r="K59"/>
  <c r="M59" s="1"/>
  <c r="F61"/>
  <c r="K61"/>
  <c r="F65"/>
  <c r="K65"/>
  <c r="M65" s="1"/>
  <c r="F66"/>
  <c r="K66"/>
  <c r="L67"/>
  <c r="F68"/>
  <c r="K68"/>
  <c r="F70"/>
  <c r="K70"/>
  <c r="M70" s="1"/>
  <c r="F71"/>
  <c r="K71"/>
  <c r="F72"/>
  <c r="K72"/>
  <c r="M72" s="1"/>
  <c r="F73"/>
  <c r="K73"/>
  <c r="M73" s="1"/>
  <c r="F76"/>
  <c r="K76"/>
  <c r="M76" s="1"/>
  <c r="F77"/>
  <c r="K77"/>
  <c r="F82"/>
  <c r="K82"/>
  <c r="M82" s="1"/>
  <c r="F83"/>
  <c r="K83"/>
  <c r="M83" s="1"/>
  <c r="F84"/>
  <c r="K84"/>
  <c r="F85"/>
  <c r="K85"/>
  <c r="F87"/>
  <c r="K87"/>
  <c r="M87" s="1"/>
  <c r="F88"/>
  <c r="K88"/>
  <c r="M88" s="1"/>
  <c r="D24" i="304"/>
  <c r="F98" i="300"/>
  <c r="K98"/>
  <c r="F99"/>
  <c r="K99"/>
  <c r="M99" s="1"/>
  <c r="L102"/>
  <c r="L103"/>
  <c r="G32" i="304"/>
  <c r="H32"/>
  <c r="J41" i="65124"/>
  <c r="D42" i="65125"/>
  <c r="C42" s="1"/>
  <c r="D39"/>
  <c r="C39" s="1"/>
  <c r="G37" i="65124"/>
  <c r="J35"/>
  <c r="D37" i="65125"/>
  <c r="C37" s="1"/>
  <c r="J30" i="65124"/>
  <c r="D32" i="65125"/>
  <c r="C32" s="1"/>
  <c r="D30"/>
  <c r="C30" s="1"/>
  <c r="J26" i="65124"/>
  <c r="D28" i="65125"/>
  <c r="C28" s="1"/>
  <c r="D24"/>
  <c r="C24" s="1"/>
  <c r="G22" i="65124"/>
  <c r="D21" i="65125"/>
  <c r="C21" s="1"/>
  <c r="F19" i="65124"/>
  <c r="D18" i="65125"/>
  <c r="C18" s="1"/>
  <c r="J15" i="65124"/>
  <c r="J11"/>
  <c r="E15"/>
  <c r="E5"/>
  <c r="E39"/>
  <c r="E36"/>
  <c r="E34"/>
  <c r="E28"/>
  <c r="E27"/>
  <c r="E26"/>
  <c r="E23"/>
  <c r="E19"/>
  <c r="E17"/>
  <c r="E9"/>
  <c r="E7"/>
  <c r="E6"/>
  <c r="E38"/>
  <c r="E16"/>
  <c r="G20"/>
  <c r="G21"/>
  <c r="J24"/>
  <c r="F27"/>
  <c r="F36"/>
  <c r="N34" i="65069"/>
  <c r="D8" i="65125"/>
  <c r="C8" s="1"/>
  <c r="D17"/>
  <c r="C17" s="1"/>
  <c r="D22"/>
  <c r="C22" s="1"/>
  <c r="J20" i="65124"/>
  <c r="D33" i="65125"/>
  <c r="C33" s="1"/>
  <c r="J31" i="65124"/>
  <c r="D9" i="65125"/>
  <c r="C9" s="1"/>
  <c r="J7" i="65124"/>
  <c r="D23" i="65125"/>
  <c r="C23" s="1"/>
  <c r="F21" i="65124"/>
  <c r="J28"/>
  <c r="J37"/>
  <c r="F37"/>
  <c r="D43" i="65125"/>
  <c r="C43" s="1"/>
  <c r="J6" i="65124"/>
  <c r="J17"/>
  <c r="D26" i="65125"/>
  <c r="C26" s="1"/>
  <c r="D25"/>
  <c r="C25" s="1"/>
  <c r="D41"/>
  <c r="C41" s="1"/>
  <c r="G24" i="65124"/>
  <c r="C24"/>
  <c r="G19"/>
  <c r="E15" i="304"/>
  <c r="E27"/>
  <c r="E16"/>
  <c r="E14"/>
  <c r="L85" i="300" l="1"/>
  <c r="M85"/>
  <c r="L84"/>
  <c r="M84"/>
  <c r="L77"/>
  <c r="M77"/>
  <c r="L71"/>
  <c r="M71"/>
  <c r="L68"/>
  <c r="M68"/>
  <c r="L98"/>
  <c r="M98"/>
  <c r="L66"/>
  <c r="M66"/>
  <c r="L61"/>
  <c r="M61"/>
  <c r="L58"/>
  <c r="M58"/>
  <c r="L57"/>
  <c r="M57"/>
  <c r="L56"/>
  <c r="M56"/>
  <c r="N33" i="65068"/>
  <c r="O46" i="65065"/>
  <c r="N52"/>
  <c r="L83" i="300"/>
  <c r="L55"/>
  <c r="L99"/>
  <c r="L13"/>
  <c r="L52"/>
  <c r="O16" i="65105"/>
  <c r="O13" i="65098"/>
  <c r="O8"/>
  <c r="O16" i="65097"/>
  <c r="O13"/>
  <c r="O8"/>
  <c r="O16" i="65096"/>
  <c r="O13"/>
  <c r="O8"/>
  <c r="O16" i="65095"/>
  <c r="O13"/>
  <c r="O8"/>
  <c r="O16" i="65094"/>
  <c r="O8"/>
  <c r="O16" i="65093"/>
  <c r="O13"/>
  <c r="O8"/>
  <c r="O16" i="65089"/>
  <c r="O13"/>
  <c r="O8"/>
  <c r="O16" i="65088"/>
  <c r="O13"/>
  <c r="O8"/>
  <c r="O16" i="65087"/>
  <c r="N33"/>
  <c r="O33" s="1"/>
  <c r="O8"/>
  <c r="O16" i="65086"/>
  <c r="O13"/>
  <c r="O8"/>
  <c r="O16" i="65085"/>
  <c r="O13"/>
  <c r="O8"/>
  <c r="O13" i="65084"/>
  <c r="O8"/>
  <c r="O13" i="65083"/>
  <c r="O8"/>
  <c r="O16" i="65122"/>
  <c r="O13"/>
  <c r="O8"/>
  <c r="O13" i="65081"/>
  <c r="O8"/>
  <c r="O16" i="65082"/>
  <c r="O13"/>
  <c r="O8"/>
  <c r="L76" i="300"/>
  <c r="L65"/>
  <c r="L59"/>
  <c r="O16" i="65079"/>
  <c r="O13"/>
  <c r="O13" i="65078"/>
  <c r="O8"/>
  <c r="O16" i="65077"/>
  <c r="O13"/>
  <c r="O8"/>
  <c r="L87" i="300"/>
  <c r="O19" i="65076"/>
  <c r="O13" i="65075"/>
  <c r="O16" i="65115"/>
  <c r="O13"/>
  <c r="O8"/>
  <c r="O16" i="65100"/>
  <c r="O13"/>
  <c r="O8"/>
  <c r="N33" i="65074"/>
  <c r="O13"/>
  <c r="O8"/>
  <c r="O13" i="65071"/>
  <c r="O8"/>
  <c r="O30" i="65070"/>
  <c r="O13"/>
  <c r="O8"/>
  <c r="O29" i="65069"/>
  <c r="O17"/>
  <c r="O8"/>
  <c r="F24" i="65137"/>
  <c r="G24" s="1"/>
  <c r="O16" i="65068"/>
  <c r="O13"/>
  <c r="O8"/>
  <c r="O16" i="65123"/>
  <c r="O13"/>
  <c r="O8"/>
  <c r="O16" i="65099"/>
  <c r="O8"/>
  <c r="O13" i="65067"/>
  <c r="O8"/>
  <c r="L73" i="300"/>
  <c r="L72"/>
  <c r="O34" i="65065"/>
  <c r="O21"/>
  <c r="O18"/>
  <c r="L12" i="300"/>
  <c r="L11"/>
  <c r="O16" i="16"/>
  <c r="O13"/>
  <c r="O8"/>
  <c r="N33" i="65088"/>
  <c r="O33" s="1"/>
  <c r="N33" i="65115"/>
  <c r="N34" s="1"/>
  <c r="O16" i="65067"/>
  <c r="N33"/>
  <c r="O33" s="1"/>
  <c r="J8" i="65124"/>
  <c r="N33" i="65099"/>
  <c r="O33" s="1"/>
  <c r="O28" i="65123"/>
  <c r="N33"/>
  <c r="O28" i="65068"/>
  <c r="O28" i="65100"/>
  <c r="N33"/>
  <c r="O28" i="65083"/>
  <c r="N33"/>
  <c r="J29" i="65124"/>
  <c r="N33" i="65084"/>
  <c r="O28" i="65096"/>
  <c r="N33"/>
  <c r="O28" i="65097"/>
  <c r="N33"/>
  <c r="O28" i="65098"/>
  <c r="N33"/>
  <c r="O28" i="65105"/>
  <c r="O28" i="65085"/>
  <c r="N33"/>
  <c r="O28" i="65082"/>
  <c r="N33"/>
  <c r="O28" i="65081"/>
  <c r="N33"/>
  <c r="O28" i="65122"/>
  <c r="N33"/>
  <c r="O28" i="65086"/>
  <c r="N33"/>
  <c r="O28" i="65089"/>
  <c r="N33"/>
  <c r="D38" i="65125"/>
  <c r="C38" s="1"/>
  <c r="N33" i="65094"/>
  <c r="O16" i="65080"/>
  <c r="O16" i="65075"/>
  <c r="F7" i="65124"/>
  <c r="L7" s="1"/>
  <c r="O16" i="65078"/>
  <c r="O13" i="65065"/>
  <c r="O11" i="65076"/>
  <c r="O8" i="65065"/>
  <c r="E30" i="65124"/>
  <c r="E22"/>
  <c r="F22"/>
  <c r="L10" i="300"/>
  <c r="E13" i="65124"/>
  <c r="J9"/>
  <c r="F33"/>
  <c r="F31"/>
  <c r="J25"/>
  <c r="F24"/>
  <c r="F9" i="300"/>
  <c r="D19" i="304" s="1"/>
  <c r="F11" i="65124"/>
  <c r="J40"/>
  <c r="J38"/>
  <c r="D40" i="65125"/>
  <c r="C40" s="1"/>
  <c r="J13" i="65124"/>
  <c r="D15" i="65125"/>
  <c r="C15" s="1"/>
  <c r="N34" i="65071"/>
  <c r="G6" i="65124"/>
  <c r="G42" s="1"/>
  <c r="N50" i="65076"/>
  <c r="O50" s="1"/>
  <c r="E33" i="65124"/>
  <c r="J12"/>
  <c r="E25"/>
  <c r="F38"/>
  <c r="J16"/>
  <c r="J34"/>
  <c r="F5"/>
  <c r="F34"/>
  <c r="L34" s="1"/>
  <c r="E31"/>
  <c r="E14"/>
  <c r="D36" i="65125"/>
  <c r="C36" s="1"/>
  <c r="K97" i="300"/>
  <c r="M97" s="1"/>
  <c r="D29" i="65125"/>
  <c r="C29" s="1"/>
  <c r="N39" i="65077"/>
  <c r="E40" i="65124"/>
  <c r="E29"/>
  <c r="D11" i="65125"/>
  <c r="C11" s="1"/>
  <c r="J27" i="65124"/>
  <c r="L27" s="1"/>
  <c r="F30"/>
  <c r="F23"/>
  <c r="K9" i="300"/>
  <c r="M9" s="1"/>
  <c r="N38" i="65095"/>
  <c r="D14" i="65125"/>
  <c r="C14" s="1"/>
  <c r="F11" i="65137"/>
  <c r="E35" i="65124"/>
  <c r="O52" i="65065"/>
  <c r="F9" i="65124"/>
  <c r="N36" i="65093"/>
  <c r="J23" i="65124"/>
  <c r="I20"/>
  <c r="I42" s="1"/>
  <c r="F39"/>
  <c r="L39" s="1"/>
  <c r="F16"/>
  <c r="N35" i="65070"/>
  <c r="N46" i="65080"/>
  <c r="F76" i="65137" s="1"/>
  <c r="J36" i="65124"/>
  <c r="L36" s="1"/>
  <c r="O28" i="65094"/>
  <c r="E11" i="65124"/>
  <c r="L105" i="300"/>
  <c r="K101"/>
  <c r="M101" s="1"/>
  <c r="F101"/>
  <c r="O8" i="65079"/>
  <c r="N43"/>
  <c r="O8" i="65075"/>
  <c r="N42"/>
  <c r="F86" i="300"/>
  <c r="F81"/>
  <c r="F69"/>
  <c r="L82"/>
  <c r="K81"/>
  <c r="M81" s="1"/>
  <c r="K69"/>
  <c r="M69" s="1"/>
  <c r="F60"/>
  <c r="F51"/>
  <c r="K60"/>
  <c r="M60" s="1"/>
  <c r="L88"/>
  <c r="K86"/>
  <c r="M86" s="1"/>
  <c r="L54"/>
  <c r="K51"/>
  <c r="M51" s="1"/>
  <c r="D27" i="65125"/>
  <c r="C27" s="1"/>
  <c r="F25" i="65124"/>
  <c r="F17"/>
  <c r="L17" s="1"/>
  <c r="L70" i="300"/>
  <c r="F6" i="65124"/>
  <c r="N39" i="65078"/>
  <c r="J22" i="65124"/>
  <c r="O8" i="65080"/>
  <c r="H6" i="65124"/>
  <c r="H42" s="1"/>
  <c r="F61" i="65137"/>
  <c r="G61" s="1"/>
  <c r="E21" i="65124"/>
  <c r="L21" s="1"/>
  <c r="F40" i="300"/>
  <c r="L36"/>
  <c r="L34"/>
  <c r="E41" i="65124"/>
  <c r="O13" i="65105"/>
  <c r="F40" i="65124"/>
  <c r="O16" i="65098"/>
  <c r="D35" i="65125"/>
  <c r="C35" s="1"/>
  <c r="O28" i="65088"/>
  <c r="D34" i="65125"/>
  <c r="C34" s="1"/>
  <c r="O28" i="65087"/>
  <c r="E32" i="65124"/>
  <c r="L32" s="1"/>
  <c r="O13" i="65087"/>
  <c r="D31" i="65125"/>
  <c r="C31" s="1"/>
  <c r="O28" i="65084"/>
  <c r="F29" i="65124"/>
  <c r="O16" i="65084"/>
  <c r="F28" i="65124"/>
  <c r="L28" s="1"/>
  <c r="O16" i="65083"/>
  <c r="F26" i="65124"/>
  <c r="L26" s="1"/>
  <c r="O16" i="65081"/>
  <c r="E24" i="65124"/>
  <c r="O13" i="65080"/>
  <c r="E20" i="65124"/>
  <c r="O16" i="65076"/>
  <c r="F97" i="300"/>
  <c r="D25" i="304" s="1"/>
  <c r="D19" i="65125"/>
  <c r="C19" s="1"/>
  <c r="O28" i="65115"/>
  <c r="F15" i="65124"/>
  <c r="L15" s="1"/>
  <c r="O16" i="65074"/>
  <c r="O33"/>
  <c r="J14" i="65124"/>
  <c r="O29" i="65071"/>
  <c r="F14" i="65124"/>
  <c r="O16" i="65071"/>
  <c r="F13" i="65124"/>
  <c r="O16" i="65070"/>
  <c r="E12" i="65124"/>
  <c r="O13" i="65069"/>
  <c r="N35"/>
  <c r="O34"/>
  <c r="D10" i="65125"/>
  <c r="C10" s="1"/>
  <c r="O28" i="65099"/>
  <c r="E8" i="65124"/>
  <c r="O13" i="65099"/>
  <c r="D7" i="65125"/>
  <c r="C7" s="1"/>
  <c r="O28" i="16"/>
  <c r="L90" i="300"/>
  <c r="L91"/>
  <c r="L22"/>
  <c r="E77" i="65137"/>
  <c r="L37" i="65124"/>
  <c r="K109" i="300"/>
  <c r="M109" s="1"/>
  <c r="F109"/>
  <c r="L37"/>
  <c r="L5" i="65124"/>
  <c r="E12" i="304"/>
  <c r="E38" s="1"/>
  <c r="H17"/>
  <c r="F35" i="65124"/>
  <c r="J33"/>
  <c r="E8" i="65137"/>
  <c r="D42" i="65124"/>
  <c r="F8"/>
  <c r="F37" i="300"/>
  <c r="F34"/>
  <c r="N36" i="65066"/>
  <c r="O36" s="1"/>
  <c r="E23" i="65137"/>
  <c r="N34" i="16"/>
  <c r="E30" i="65137"/>
  <c r="E68"/>
  <c r="L31" i="65124"/>
  <c r="K42"/>
  <c r="F17" i="300"/>
  <c r="F15" s="1"/>
  <c r="D20" i="304" s="1"/>
  <c r="L19" i="65124"/>
  <c r="L40" i="300"/>
  <c r="E33" i="304"/>
  <c r="F69" i="65137" l="1"/>
  <c r="F70"/>
  <c r="G70" s="1"/>
  <c r="L11" i="65124"/>
  <c r="L30"/>
  <c r="O33" i="65115"/>
  <c r="N51" i="65076"/>
  <c r="N52" s="1"/>
  <c r="O52" s="1"/>
  <c r="G25" i="304"/>
  <c r="I25" s="1"/>
  <c r="L16" i="65124"/>
  <c r="N44" i="65079"/>
  <c r="O44" s="1"/>
  <c r="L40" i="65124"/>
  <c r="O33" i="65098"/>
  <c r="F25" i="65137"/>
  <c r="G25" s="1"/>
  <c r="O36" i="65093"/>
  <c r="O33" i="65089"/>
  <c r="O33" i="65086"/>
  <c r="O33" i="65085"/>
  <c r="O33" i="65084"/>
  <c r="O33" i="65083"/>
  <c r="O33" i="65122"/>
  <c r="O33" i="65081"/>
  <c r="O39" i="65078"/>
  <c r="N40" i="65077"/>
  <c r="N41" s="1"/>
  <c r="G34" i="304"/>
  <c r="I34" s="1"/>
  <c r="L86" i="300"/>
  <c r="N43" i="65075"/>
  <c r="N44" s="1"/>
  <c r="O34" i="65115"/>
  <c r="N34" i="65100"/>
  <c r="N35" i="65071"/>
  <c r="O35" s="1"/>
  <c r="F29" i="65137"/>
  <c r="G29" s="1"/>
  <c r="O35" i="65069"/>
  <c r="O33" i="65123"/>
  <c r="L9" i="300"/>
  <c r="L81"/>
  <c r="L51"/>
  <c r="L60"/>
  <c r="L69"/>
  <c r="G69" i="65137"/>
  <c r="F25" i="300"/>
  <c r="L33" i="65124"/>
  <c r="O34" i="65071"/>
  <c r="L22" i="65124"/>
  <c r="N34" i="65098"/>
  <c r="L12" i="65124"/>
  <c r="L20"/>
  <c r="L14"/>
  <c r="O38" i="65095"/>
  <c r="L9" i="65124"/>
  <c r="L23"/>
  <c r="L38"/>
  <c r="N39" i="65095"/>
  <c r="N40" s="1"/>
  <c r="L29" i="65124"/>
  <c r="L13"/>
  <c r="O33" i="65068"/>
  <c r="N34"/>
  <c r="L24" i="65124"/>
  <c r="L25"/>
  <c r="L43"/>
  <c r="L97" i="300"/>
  <c r="G19" i="304"/>
  <c r="I19" s="1"/>
  <c r="O39" i="65077"/>
  <c r="O35" i="65070"/>
  <c r="L35" i="65124"/>
  <c r="F86" i="65137"/>
  <c r="N37" i="65093"/>
  <c r="O33" i="65100"/>
  <c r="O33" i="65082"/>
  <c r="F26" i="65137"/>
  <c r="G26" s="1"/>
  <c r="F32"/>
  <c r="G32" s="1"/>
  <c r="F9"/>
  <c r="N40" i="65078"/>
  <c r="N37" i="65140"/>
  <c r="E42" i="65124"/>
  <c r="L21" i="300"/>
  <c r="O42" i="65075"/>
  <c r="N34" i="65089"/>
  <c r="P34" s="1"/>
  <c r="O43" i="65079"/>
  <c r="L6" i="65124"/>
  <c r="N34" i="65122"/>
  <c r="P34" s="1"/>
  <c r="N36" i="65069"/>
  <c r="F50" i="300"/>
  <c r="D23" i="304" s="1"/>
  <c r="L8" i="65124"/>
  <c r="J42"/>
  <c r="O46" i="65080"/>
  <c r="O34" i="16"/>
  <c r="N35"/>
  <c r="H27" i="304"/>
  <c r="D34"/>
  <c r="D33" s="1"/>
  <c r="D35" s="1"/>
  <c r="D44" i="65125"/>
  <c r="F42" i="65124"/>
  <c r="G21" i="304"/>
  <c r="I21" s="1"/>
  <c r="N34" i="65097"/>
  <c r="O33"/>
  <c r="N34" i="65096"/>
  <c r="O33"/>
  <c r="N34" i="65094"/>
  <c r="O33"/>
  <c r="O35" i="65115"/>
  <c r="E28" i="304"/>
  <c r="E30" s="1"/>
  <c r="D29"/>
  <c r="D28" s="1"/>
  <c r="D30" s="1"/>
  <c r="G24"/>
  <c r="I24" s="1"/>
  <c r="N45" i="65079"/>
  <c r="G29" i="304"/>
  <c r="I29" s="1"/>
  <c r="L101" i="300"/>
  <c r="C44" i="65125"/>
  <c r="L17" i="300"/>
  <c r="L109"/>
  <c r="G11" i="65137"/>
  <c r="K50" i="300"/>
  <c r="M50" s="1"/>
  <c r="E7" i="65137"/>
  <c r="H16" i="304"/>
  <c r="E35"/>
  <c r="O37" i="65140" l="1"/>
  <c r="P37"/>
  <c r="O34" i="65100"/>
  <c r="P34"/>
  <c r="O51" i="65076"/>
  <c r="O40" i="65077"/>
  <c r="H25" i="304"/>
  <c r="N35" i="65141"/>
  <c r="O45" i="65079"/>
  <c r="O44" i="65075"/>
  <c r="O34" i="65098"/>
  <c r="O34" i="65097"/>
  <c r="O34" i="65096"/>
  <c r="O40" i="65095"/>
  <c r="O39"/>
  <c r="N38" i="65093"/>
  <c r="O34" i="65089"/>
  <c r="O34" i="65122"/>
  <c r="O40" i="65078"/>
  <c r="H34" i="304"/>
  <c r="O43" i="65075"/>
  <c r="O36" i="65069"/>
  <c r="O34" i="65068"/>
  <c r="N38" i="65140"/>
  <c r="P38" s="1"/>
  <c r="H19" i="304"/>
  <c r="H24"/>
  <c r="G28"/>
  <c r="H21"/>
  <c r="N35" i="65098"/>
  <c r="N35" i="65068"/>
  <c r="O37" i="65093"/>
  <c r="N41" i="65078"/>
  <c r="F68" i="65137"/>
  <c r="G68" s="1"/>
  <c r="G76"/>
  <c r="N35" i="65089"/>
  <c r="P35" s="1"/>
  <c r="O41" i="65077"/>
  <c r="G9" i="65137"/>
  <c r="F8"/>
  <c r="G8" s="1"/>
  <c r="N36" i="16"/>
  <c r="O35"/>
  <c r="N35" i="65097"/>
  <c r="F23" i="65137"/>
  <c r="G23" s="1"/>
  <c r="N35" i="65096"/>
  <c r="H29" i="304"/>
  <c r="O34" i="65094"/>
  <c r="N35"/>
  <c r="E18" i="304"/>
  <c r="E26" s="1"/>
  <c r="E31" s="1"/>
  <c r="D22"/>
  <c r="D18" s="1"/>
  <c r="G33"/>
  <c r="I33" s="1"/>
  <c r="G22"/>
  <c r="I22" s="1"/>
  <c r="L25" i="300"/>
  <c r="G23" i="304"/>
  <c r="I23" s="1"/>
  <c r="L50" i="300"/>
  <c r="O35" i="65123"/>
  <c r="O34"/>
  <c r="F7" i="300"/>
  <c r="H14" i="304"/>
  <c r="O35" i="65141" l="1"/>
  <c r="P35"/>
  <c r="G30" i="304"/>
  <c r="I28"/>
  <c r="H28"/>
  <c r="O38" i="65140"/>
  <c r="O35" i="65098"/>
  <c r="O35" i="65097"/>
  <c r="O35" i="65096"/>
  <c r="O35" i="65094"/>
  <c r="O38" i="65093"/>
  <c r="O35" i="65089"/>
  <c r="O41" i="65078"/>
  <c r="O35" i="65068"/>
  <c r="O36" i="16"/>
  <c r="H23" i="304"/>
  <c r="H30"/>
  <c r="H22"/>
  <c r="F77" i="65137"/>
  <c r="G86"/>
  <c r="E39" i="304"/>
  <c r="E40" s="1"/>
  <c r="D39"/>
  <c r="D40" s="1"/>
  <c r="D26"/>
  <c r="D31" s="1"/>
  <c r="D36" s="1"/>
  <c r="G35"/>
  <c r="I35" s="1"/>
  <c r="H33"/>
  <c r="E36"/>
  <c r="H35" l="1"/>
  <c r="G77" i="65137"/>
  <c r="H15" i="304" l="1"/>
  <c r="O9" i="65105" l="1"/>
  <c r="N8"/>
  <c r="C41" i="65124"/>
  <c r="C42" s="1"/>
  <c r="O8" i="65105" l="1"/>
  <c r="N33"/>
  <c r="L41" i="65124"/>
  <c r="L42" s="1"/>
  <c r="K114" i="300"/>
  <c r="M114" s="1"/>
  <c r="K15"/>
  <c r="M15" s="1"/>
  <c r="K7" l="1"/>
  <c r="M7" s="1"/>
  <c r="F39" i="65137"/>
  <c r="F30" s="1"/>
  <c r="F7" s="1"/>
  <c r="N34" i="65105"/>
  <c r="N35" s="1"/>
  <c r="O33"/>
  <c r="L15" i="300"/>
  <c r="G20" i="304"/>
  <c r="I20" s="1"/>
  <c r="O35" i="65105" l="1"/>
  <c r="O34"/>
  <c r="H20" i="304"/>
  <c r="L7" i="300"/>
  <c r="G39" i="65137"/>
  <c r="L114" i="300"/>
  <c r="G18" i="304"/>
  <c r="I18" s="1"/>
  <c r="G30" i="65137"/>
  <c r="G7"/>
  <c r="H18" i="304" l="1"/>
  <c r="G39"/>
  <c r="I39" s="1"/>
  <c r="G53" i="65139"/>
  <c r="H53" s="1"/>
  <c r="H39" i="304" l="1"/>
  <c r="G48" i="65139"/>
  <c r="H48" l="1"/>
  <c r="G47"/>
  <c r="H47" l="1"/>
  <c r="G5"/>
  <c r="H5" l="1"/>
  <c r="G13" i="304"/>
  <c r="I13" s="1"/>
  <c r="G179" i="65139"/>
  <c r="G12" i="304" l="1"/>
  <c r="I12" s="1"/>
  <c r="H13"/>
  <c r="H179" i="65139"/>
  <c r="G251"/>
  <c r="H251" l="1"/>
  <c r="G264"/>
  <c r="H12" i="304"/>
  <c r="G26"/>
  <c r="I26" s="1"/>
  <c r="G38"/>
  <c r="H264" i="65139" l="1"/>
  <c r="G31" i="304"/>
  <c r="H26"/>
  <c r="H38"/>
  <c r="G40"/>
  <c r="H40" l="1"/>
  <c r="L44" i="65124"/>
  <c r="L45" s="1"/>
  <c r="H31" i="304"/>
  <c r="G36"/>
  <c r="H36" l="1"/>
  <c r="F255" i="65139"/>
  <c r="F254" s="1"/>
  <c r="F253" s="1"/>
  <c r="F264" l="1"/>
  <c r="F27" i="304"/>
  <c r="I27" s="1"/>
  <c r="F30" l="1"/>
  <c r="I30" s="1"/>
  <c r="F38"/>
  <c r="I38" s="1"/>
  <c r="F40" l="1"/>
  <c r="I40" s="1"/>
  <c r="F31"/>
  <c r="I31" s="1"/>
  <c r="F36" l="1"/>
  <c r="I36" s="1"/>
</calcChain>
</file>

<file path=xl/sharedStrings.xml><?xml version="1.0" encoding="utf-8"?>
<sst xmlns="http://schemas.openxmlformats.org/spreadsheetml/2006/main" count="2924" uniqueCount="949">
  <si>
    <t>073</t>
  </si>
  <si>
    <t>Bolničke usluge</t>
  </si>
  <si>
    <t>074</t>
  </si>
  <si>
    <t>Usluge zdravstvene zaštite</t>
  </si>
  <si>
    <t>075</t>
  </si>
  <si>
    <t>IiR Zdravstvo</t>
  </si>
  <si>
    <t>076</t>
  </si>
  <si>
    <t>Zdravstvo n. k.</t>
  </si>
  <si>
    <t>08</t>
  </si>
  <si>
    <t>Rekreacija, kultura i religija     (56+….+61)</t>
  </si>
  <si>
    <t>081</t>
  </si>
  <si>
    <t>082</t>
  </si>
  <si>
    <t xml:space="preserve">Usluge kulture </t>
  </si>
  <si>
    <t>083</t>
  </si>
  <si>
    <t>084</t>
  </si>
  <si>
    <t>085</t>
  </si>
  <si>
    <t>IiR Rekreacija, kultura i religija</t>
  </si>
  <si>
    <t>086</t>
  </si>
  <si>
    <t>Rekreacija, kultura i religija n. k.</t>
  </si>
  <si>
    <t>09</t>
  </si>
  <si>
    <t>Obrazovanje         (63+…..+70)</t>
  </si>
  <si>
    <t>091</t>
  </si>
  <si>
    <t>Predškolsko i osnovno obrazovanje</t>
  </si>
  <si>
    <t>092</t>
  </si>
  <si>
    <t>Srednje obrazovanje</t>
  </si>
  <si>
    <t>093</t>
  </si>
  <si>
    <t>Obrazovanje poslije srednje škole koje nije visoko obrazovanje</t>
  </si>
  <si>
    <t>094</t>
  </si>
  <si>
    <t>Visoko obrazovanje</t>
  </si>
  <si>
    <t>095</t>
  </si>
  <si>
    <t>096</t>
  </si>
  <si>
    <t>Pomoćne usluge obrazovanju</t>
  </si>
  <si>
    <t>097</t>
  </si>
  <si>
    <t>IiR Obrazovanje</t>
  </si>
  <si>
    <t>098</t>
  </si>
  <si>
    <t>Obrazovanje n. k.</t>
  </si>
  <si>
    <t>10</t>
  </si>
  <si>
    <t>Socijalna zaštita      (72+…..+80)</t>
  </si>
  <si>
    <t>101</t>
  </si>
  <si>
    <t>Bolest i hendikepiranost</t>
  </si>
  <si>
    <t>102</t>
  </si>
  <si>
    <t>Starost</t>
  </si>
  <si>
    <t>103</t>
  </si>
  <si>
    <t>Nasljednici</t>
  </si>
  <si>
    <t>104</t>
  </si>
  <si>
    <t>105</t>
  </si>
  <si>
    <t>106</t>
  </si>
  <si>
    <t>Stanovanje</t>
  </si>
  <si>
    <t>107</t>
  </si>
  <si>
    <t>Socijalno isključenje n. k.</t>
  </si>
  <si>
    <t>108</t>
  </si>
  <si>
    <t>IiR Socijalna zaštita</t>
  </si>
  <si>
    <t>109</t>
  </si>
  <si>
    <t>Socijalna zaštita n. k.</t>
  </si>
  <si>
    <t>Ukupni rashodi (zbroj funkcija) (2+11+17+24+34+41+48+55+62+71)</t>
  </si>
  <si>
    <t xml:space="preserve">IiR Zaštita životne sredine </t>
  </si>
  <si>
    <t xml:space="preserve">Religijske i druge zajedničke usluge </t>
  </si>
  <si>
    <t>Opće javne usluge       (3+…..+10)</t>
  </si>
  <si>
    <t>Izvršni i zakonodavni organi, financijski i fiskalni poslovi, vanjski poslovi</t>
  </si>
  <si>
    <t>Transferi općeg karaktera između različitih razina vlasti</t>
  </si>
  <si>
    <t>Obrana      (12+….+16)</t>
  </si>
  <si>
    <t>Vojna obrana</t>
  </si>
  <si>
    <t>Civilna obrana</t>
  </si>
  <si>
    <t>Inozemna vojna pomoć</t>
  </si>
  <si>
    <t>IiR Obrana</t>
  </si>
  <si>
    <t>Obrana n. k.</t>
  </si>
  <si>
    <t>Promet</t>
  </si>
  <si>
    <t>Zaštita raznovrsnosti flore i faune i zaštita okoliša</t>
  </si>
  <si>
    <t>Vodoopskrba</t>
  </si>
  <si>
    <t>Izvanbolničke usluge</t>
  </si>
  <si>
    <t xml:space="preserve">Usluge emitiranja i izdavaštva </t>
  </si>
  <si>
    <t>Obrazovanje koje nije definirano razinom</t>
  </si>
  <si>
    <t>Obitelj i djeca</t>
  </si>
  <si>
    <t>Neuposlenost</t>
  </si>
  <si>
    <t>I - PRIHODI, PRIMICI I FINANCIRANJE</t>
  </si>
  <si>
    <t xml:space="preserve">II - RASHODI I IZDACI  </t>
  </si>
  <si>
    <t>Ministarstvo
(razdjel)</t>
  </si>
  <si>
    <t>Proračunska
institucija</t>
  </si>
  <si>
    <t>OPIS</t>
  </si>
  <si>
    <t>01</t>
  </si>
  <si>
    <t>0001</t>
  </si>
  <si>
    <t xml:space="preserve"> Doprinosi poslodavca</t>
  </si>
  <si>
    <t xml:space="preserve"> Putni troškovi</t>
  </si>
  <si>
    <t xml:space="preserve"> Izdaci za energiju</t>
  </si>
  <si>
    <t xml:space="preserve"> Izdaci za usluge prijevoza i goriva</t>
  </si>
  <si>
    <t xml:space="preserve"> Izdaci za tekuće održavanje</t>
  </si>
  <si>
    <t xml:space="preserve"> Tekuće održavanje cesta</t>
  </si>
  <si>
    <t xml:space="preserve"> Kapitalni grantovi</t>
  </si>
  <si>
    <t xml:space="preserve"> Izdaci za nabavku stalnih sredstava</t>
  </si>
  <si>
    <t xml:space="preserve"> Nabavka građevina</t>
  </si>
  <si>
    <t xml:space="preserve"> Nabavka opreme</t>
  </si>
  <si>
    <t xml:space="preserve"> Ukupan broj zaposlenih:</t>
  </si>
  <si>
    <t xml:space="preserve"> Ukupno za proračunsku instituciju:</t>
  </si>
  <si>
    <t xml:space="preserve"> Ukupno za ministarstvo (razdjel):</t>
  </si>
  <si>
    <t xml:space="preserve"> Tekuća pričuva Vlade</t>
  </si>
  <si>
    <t xml:space="preserve"> Tekuća pričuva predsjednika Vlade</t>
  </si>
  <si>
    <t xml:space="preserve"> Grantovi za povratak raseljenih osoba</t>
  </si>
  <si>
    <t>616000</t>
  </si>
  <si>
    <t>614200</t>
  </si>
  <si>
    <t>614300</t>
  </si>
  <si>
    <t>614100</t>
  </si>
  <si>
    <t xml:space="preserve"> Tekuća pričuva ministra financija</t>
  </si>
  <si>
    <t>Potrošačka
jedinica</t>
  </si>
  <si>
    <t xml:space="preserve"> Ostali grantovi-povrat i drugo</t>
  </si>
  <si>
    <t xml:space="preserve"> Isplate stipendija</t>
  </si>
  <si>
    <t xml:space="preserve"> Ukupno za potrošačku jedinicu:</t>
  </si>
  <si>
    <t xml:space="preserve"> Grant za zaštitu od prirodnih i drugih nesreća</t>
  </si>
  <si>
    <t>SKUPŠTINA ŽUPANIJE POSAVSKE</t>
  </si>
  <si>
    <t>0002</t>
  </si>
  <si>
    <t>VLADA ŽUPANIJE POSAVSKE</t>
  </si>
  <si>
    <t>11</t>
  </si>
  <si>
    <t xml:space="preserve"> Rashodi - Tekuća pričuva</t>
  </si>
  <si>
    <t xml:space="preserve"> Tekuća pričuva zamjenika pred. Vlade</t>
  </si>
  <si>
    <t>0003</t>
  </si>
  <si>
    <t>0004</t>
  </si>
  <si>
    <t>12</t>
  </si>
  <si>
    <t>MINISTARSTVO UNUTARNJIH POSLOVA ŽUPANIJE POSAVSKE</t>
  </si>
  <si>
    <t>13</t>
  </si>
  <si>
    <t>14</t>
  </si>
  <si>
    <t>02</t>
  </si>
  <si>
    <t>05</t>
  </si>
  <si>
    <t>15</t>
  </si>
  <si>
    <t>16</t>
  </si>
  <si>
    <t>17</t>
  </si>
  <si>
    <t>18</t>
  </si>
  <si>
    <t>19</t>
  </si>
  <si>
    <t>20</t>
  </si>
  <si>
    <t>03</t>
  </si>
  <si>
    <t>0005</t>
  </si>
  <si>
    <t>0006</t>
  </si>
  <si>
    <t>0007</t>
  </si>
  <si>
    <t>21</t>
  </si>
  <si>
    <t>22</t>
  </si>
  <si>
    <t>23</t>
  </si>
  <si>
    <t>KANTONALNI SUD ODŽAK</t>
  </si>
  <si>
    <t>24</t>
  </si>
  <si>
    <t>26</t>
  </si>
  <si>
    <t>27</t>
  </si>
  <si>
    <t xml:space="preserve"> UKUPNI IZDACI </t>
  </si>
  <si>
    <t xml:space="preserve"> Doprinosi poslodavca i ostali doprinosi</t>
  </si>
  <si>
    <t xml:space="preserve"> Plaće i naknade troškova zaposlenih</t>
  </si>
  <si>
    <t xml:space="preserve"> Izdaci za materijal, sitan inv. i usluge</t>
  </si>
  <si>
    <t xml:space="preserve"> Nabavka materijala i sitnog inventara</t>
  </si>
  <si>
    <t xml:space="preserve"> Izdaci osiguranja, bank. usluga i usluga p.p.</t>
  </si>
  <si>
    <t xml:space="preserve"> Ugovorene i druge posebne usluge</t>
  </si>
  <si>
    <t xml:space="preserve"> </t>
  </si>
  <si>
    <t xml:space="preserve"> Grant za zaštitu okoliša</t>
  </si>
  <si>
    <t xml:space="preserve"> Vozački ispiti-vlastiti prihodi</t>
  </si>
  <si>
    <t>28</t>
  </si>
  <si>
    <t>ŽUPANIJSKA UPRAVA ZA INSPEKCIJSKE POSLOVE</t>
  </si>
  <si>
    <t>I PRIHODI OD POREZA</t>
  </si>
  <si>
    <t>Ekonomski kod</t>
  </si>
  <si>
    <t xml:space="preserve"> Izdaci za negativne tečajne razlike</t>
  </si>
  <si>
    <t>II NEPOREZNI PRIHODI</t>
  </si>
  <si>
    <t>1.Porez na dobit pojedinaca i poduzeća</t>
  </si>
  <si>
    <t>3.Porez na imovinu</t>
  </si>
  <si>
    <t>5.Porez na dohodak</t>
  </si>
  <si>
    <t>6.Prihodi od neizravnih poreza</t>
  </si>
  <si>
    <t>7.Ostali porezi</t>
  </si>
  <si>
    <t>3.Novčane kazne</t>
  </si>
  <si>
    <t>06</t>
  </si>
  <si>
    <t xml:space="preserve"> Bruto plaće i naknade plaća</t>
  </si>
  <si>
    <t xml:space="preserve"> Naknade troškova zaposlenih</t>
  </si>
  <si>
    <t xml:space="preserve"> Izdaci za komunikaciju i komunalne usluge</t>
  </si>
  <si>
    <t xml:space="preserve"> Unajmljivanje imovine, opreme i nemat.imovine</t>
  </si>
  <si>
    <t xml:space="preserve"> Tekući grantovi i drugi tekući rashodi</t>
  </si>
  <si>
    <t xml:space="preserve"> Izdaci za kamate </t>
  </si>
  <si>
    <t xml:space="preserve"> Izdaci za otplate dugova</t>
  </si>
  <si>
    <t xml:space="preserve"> Izdaci za kamate</t>
  </si>
  <si>
    <t>614500</t>
  </si>
  <si>
    <t>615100</t>
  </si>
  <si>
    <t>1.Prihodi od poduzetničkih aktivnosti i imovine i prihodi od pozitivnih tečajnih razlika</t>
  </si>
  <si>
    <t>Izdaci za otplate dugova</t>
  </si>
  <si>
    <t xml:space="preserve"> Grant za razvoj turizma</t>
  </si>
  <si>
    <t xml:space="preserve"> Grant za Crveni križ Županije Posavske</t>
  </si>
  <si>
    <t>ŽUPANIJSKO PRAVOBRANITELJSTVO</t>
  </si>
  <si>
    <t xml:space="preserve"> Grant za Gospodarsku komoru ŽP</t>
  </si>
  <si>
    <t>SADRŽAJ</t>
  </si>
  <si>
    <t>1.</t>
  </si>
  <si>
    <t xml:space="preserve">Opći dio </t>
  </si>
  <si>
    <t>2.</t>
  </si>
  <si>
    <t>Prihodi, primici i financiranje</t>
  </si>
  <si>
    <t>3.</t>
  </si>
  <si>
    <t>4.</t>
  </si>
  <si>
    <t>Posebni dio</t>
  </si>
  <si>
    <t>Skupština Županije Posavske</t>
  </si>
  <si>
    <t>Vlada Županije Posavske</t>
  </si>
  <si>
    <t>Ministarstvo unutarnjih poslova Županije Posavske</t>
  </si>
  <si>
    <t>Stranica</t>
  </si>
  <si>
    <t>Kantonalni sud Odžak</t>
  </si>
  <si>
    <t>Županijsko pravobraniteljstvo</t>
  </si>
  <si>
    <t>Županijska uprava za inspekcijske poslove</t>
  </si>
  <si>
    <t>Završne odredbe</t>
  </si>
  <si>
    <t>RB</t>
  </si>
  <si>
    <t>5.</t>
  </si>
  <si>
    <t>O P I S</t>
  </si>
  <si>
    <t xml:space="preserve"> Grant za Sveučilište u Mostaru</t>
  </si>
  <si>
    <t xml:space="preserve">   Porezi na dobit pojedinaca (zaostale uplate poreza)</t>
  </si>
  <si>
    <t xml:space="preserve">   Porez na dobit od gospodarskih i profesionalnih djelatnosti</t>
  </si>
  <si>
    <t xml:space="preserve">   Porez na prihod od imovine i imovinskih prava</t>
  </si>
  <si>
    <t xml:space="preserve">   Porez na dobit</t>
  </si>
  <si>
    <t xml:space="preserve">   Porez po odbitku</t>
  </si>
  <si>
    <t xml:space="preserve">   Porez na dobit poduzeća</t>
  </si>
  <si>
    <t>2.Porezi na plaću i radnu snagu (zaostale uplate poreza)</t>
  </si>
  <si>
    <t xml:space="preserve">   Porezi na plaću i druga osobna primanja</t>
  </si>
  <si>
    <t xml:space="preserve">   Porezi na dodatna primanja</t>
  </si>
  <si>
    <t xml:space="preserve">   Porez na imovinu od fizičkih osoba</t>
  </si>
  <si>
    <t xml:space="preserve">   Porez na imovinu od pravnih osoba</t>
  </si>
  <si>
    <t xml:space="preserve">   Porez na imovinu za motorna vozila</t>
  </si>
  <si>
    <t xml:space="preserve">   Porez na naslijeđe i darove</t>
  </si>
  <si>
    <t xml:space="preserve">   Porez na promet nepokretnosti - fizičkih osoba</t>
  </si>
  <si>
    <t xml:space="preserve">   Porez na promet nepokretnosti - pravnih osoba</t>
  </si>
  <si>
    <t>4.Domaći porezi na dobra i usluge (zaostale obveze na 
   temelju poreza na promet dobara i usluga)</t>
  </si>
  <si>
    <t xml:space="preserve">   Porez na promet proizvoda (opća stopa od 20%)</t>
  </si>
  <si>
    <t xml:space="preserve">   Kaznena kamata</t>
  </si>
  <si>
    <t xml:space="preserve">   Porez na promet usluga, osim usluga u građevinarstvu</t>
  </si>
  <si>
    <t xml:space="preserve">   Porezi na prodaju dobara i usluga, ukupni promet ili 
   dodanu vrijednost</t>
  </si>
  <si>
    <t xml:space="preserve">   Porez na promet posebnih usluga</t>
  </si>
  <si>
    <t xml:space="preserve">   Porez na dobitke od igara na sreću</t>
  </si>
  <si>
    <t xml:space="preserve">   Ostali porezi na promet proizvoda i usluga</t>
  </si>
  <si>
    <t xml:space="preserve">   Porez na promet osnovnih proizvoda poljoprivrede, ribarstva i 
   proizvoda koji služe za ljudsku prehranu</t>
  </si>
  <si>
    <t xml:space="preserve">   Porez na dohodak</t>
  </si>
  <si>
    <t xml:space="preserve">   Prihodi od poreza na dohodak po konačnom obračunu</t>
  </si>
  <si>
    <t xml:space="preserve">   Prihodi od poreza na dohodak fiz.osoba od nesam.djelatnosti</t>
  </si>
  <si>
    <t xml:space="preserve">   Prihodi od poreza na dohodak fizi.osoba od samost.djelatnosti</t>
  </si>
  <si>
    <t xml:space="preserve">   Prihodi od poreza na dohodak fiz.os.od imovine i imov.prava</t>
  </si>
  <si>
    <t xml:space="preserve">   Prihodi od poreza na dohodak fiz.osoba od ulaganja kapitala</t>
  </si>
  <si>
    <t xml:space="preserve">   Prihodi od poreza na dohodak fizičkih osoba na dobitke od 
   nagradnih igara i igara na sreću</t>
  </si>
  <si>
    <t xml:space="preserve">   Prihodi od poreza na dohodak od dr.samostalnih djelatnosti</t>
  </si>
  <si>
    <t xml:space="preserve">   Prihodi od neizravnih poreza</t>
  </si>
  <si>
    <t xml:space="preserve">   Prihodi od neizravnih poreza koji pripadaju županijama</t>
  </si>
  <si>
    <t xml:space="preserve">   Prihodi od neizravnih poreza koji pripadaju Direkciji cesta</t>
  </si>
  <si>
    <t xml:space="preserve">   Ostali porezi</t>
  </si>
  <si>
    <t xml:space="preserve">   Pos.porez na plaću za zašt.od prir.i dr.nesr.(zaost.obveze)</t>
  </si>
  <si>
    <t xml:space="preserve">   Poseban porez za zaštitu od prirodnih i drugih nesreća po 
   osnovi ugovora o djelu i povr.i privr.poslova (zaostale obveze)</t>
  </si>
  <si>
    <t xml:space="preserve">   Prihodi od nefinanc.jav.poduzeća i financ.jav.institucija</t>
  </si>
  <si>
    <t xml:space="preserve">   Prihodi od davanja prava na eksploataciju prirodnih resursa</t>
  </si>
  <si>
    <t xml:space="preserve">   Ostali prihodi od imovine</t>
  </si>
  <si>
    <t xml:space="preserve">   Prihodi od kamate za depozite u banci</t>
  </si>
  <si>
    <t xml:space="preserve">   Kamata i divid.primljene od pozajmica i udj.u kapitalu</t>
  </si>
  <si>
    <t xml:space="preserve">   Kamate primljene od pozajmica Federaciji</t>
  </si>
  <si>
    <t xml:space="preserve">   Prihodi od pozitivnih tečajnih razlika</t>
  </si>
  <si>
    <t xml:space="preserve">   Administrativne pristojbe</t>
  </si>
  <si>
    <t xml:space="preserve">   Županijske administrativne pristojbe</t>
  </si>
  <si>
    <t xml:space="preserve">   Sudske pristojbe</t>
  </si>
  <si>
    <t xml:space="preserve">   Županijske sudske pristojbe</t>
  </si>
  <si>
    <t xml:space="preserve">   Ostale proračunske naknade</t>
  </si>
  <si>
    <t xml:space="preserve">   Županijske naknade</t>
  </si>
  <si>
    <t xml:space="preserve">   Ostale županijske naknade</t>
  </si>
  <si>
    <t xml:space="preserve">   Naknade za korištenje šuma</t>
  </si>
  <si>
    <t xml:space="preserve">   Naknada za obavljeni tehn.pregl.vozila koja pripada županijama</t>
  </si>
  <si>
    <t xml:space="preserve">   Naknada za opće korisne funkcije šuma</t>
  </si>
  <si>
    <t xml:space="preserve">   Naknada za korištenje državnih šuma</t>
  </si>
  <si>
    <t xml:space="preserve">   Naknada za opće korisne funkc.šuma utvrđene žup.propisima</t>
  </si>
  <si>
    <t xml:space="preserve">   Naknada za obavljanje stručnih poslova u privatnim šumama 
   utvrđena županijskim propisima</t>
  </si>
  <si>
    <t xml:space="preserve">   Naknada za korištenje podataka premjera i katastra</t>
  </si>
  <si>
    <t xml:space="preserve">   Naknada za vršenje usluga iz oblasti premjera i katastra</t>
  </si>
  <si>
    <t xml:space="preserve">   Vodne naknade</t>
  </si>
  <si>
    <t xml:space="preserve">   Posebna vodna naknada za zaštitu od poplava</t>
  </si>
  <si>
    <t xml:space="preserve">   Opća vodna naknada</t>
  </si>
  <si>
    <t xml:space="preserve">   Cestovne naknade</t>
  </si>
  <si>
    <t xml:space="preserve">   Naknada za uporabu cesta za vozila pravnih osoba</t>
  </si>
  <si>
    <t xml:space="preserve">   Naknada za uporabu cesta za vozila građana</t>
  </si>
  <si>
    <t xml:space="preserve">   Naknada za korištenje cestovnog zemljišta</t>
  </si>
  <si>
    <t xml:space="preserve">   Zaostale obveze po osnovi naknada za korištenje šuma</t>
  </si>
  <si>
    <t xml:space="preserve">   Naknada za korištenje općekorisnih funkcija šuma</t>
  </si>
  <si>
    <t xml:space="preserve">   Naknada za zaštitu okoliša</t>
  </si>
  <si>
    <t xml:space="preserve">   Naknada zagađivača okoliša pravnih osoba</t>
  </si>
  <si>
    <t xml:space="preserve">   Prihodi od pružanja javnih usluga</t>
  </si>
  <si>
    <t xml:space="preserve">   Federalna naknada za izvršene veterinarsko-zdravstvene 
   preglede i kontrolu u zemlji</t>
  </si>
  <si>
    <t xml:space="preserve">   Posebna vodna naknada za zaštitu voda za transportna 
   sredstva koja za pogon koriste naftu ili naftne derivate</t>
  </si>
  <si>
    <t xml:space="preserve">   Posebna vodna naknada za zaštitu voda (ispuštanje otpadnih 
   voda, uzgoj ribe, upotrebu umj.đubriva i kemik.za zašt.bilja)</t>
  </si>
  <si>
    <t xml:space="preserve">   Posebna vodna naknada za korištenje površinskih i 
   podzemnih voda za javnu vodoopskrbu</t>
  </si>
  <si>
    <t xml:space="preserve">   Posebne naknade za okoliš koje plaćaju pravne osobe pri 
   svakoj registraciji motornih vozila</t>
  </si>
  <si>
    <t xml:space="preserve">   Posebne naknade za okoliš koje plaćaju fizičke osobe pri 
   svakoj registraciji motornih vozila</t>
  </si>
  <si>
    <t xml:space="preserve">   Posebne naknade za zaštitu od prirodnih i dr.nesreća</t>
  </si>
  <si>
    <t xml:space="preserve">   Naknada za vatrogasne jedinice iz premije osiguranja imovine 
   od požara i prirodnih sila</t>
  </si>
  <si>
    <t xml:space="preserve">   Naknada iz funkcionalne premije osiguranja od 
   autoodgovornosti za vatrogasne jedinice</t>
  </si>
  <si>
    <t xml:space="preserve">   Naknada za zajedničke profesionalne vatrogasne jedinice iz 
   premije osiguranja imovine od požara i prirodnih sila</t>
  </si>
  <si>
    <t xml:space="preserve">   Prihodi od pružanja usluga građanima</t>
  </si>
  <si>
    <t xml:space="preserve">   Prihodi od pružanja usluga pravnim osobama</t>
  </si>
  <si>
    <t xml:space="preserve">   Prihodi od pružanja usluga drugima</t>
  </si>
  <si>
    <t xml:space="preserve">   Prihodi od pružanja usluga drugim razinama vlasti</t>
  </si>
  <si>
    <t xml:space="preserve">   Vlastiti prihodi proračunskih korisnika</t>
  </si>
  <si>
    <t xml:space="preserve">   Neplanirane uplate - prihodi</t>
  </si>
  <si>
    <t xml:space="preserve">   Prihodi od trošk.naplate po osn.pokret.postupka prin.naplate</t>
  </si>
  <si>
    <t xml:space="preserve">   Ostale neplanirane uplate</t>
  </si>
  <si>
    <t xml:space="preserve">   Novčane kazne</t>
  </si>
  <si>
    <t xml:space="preserve">   Novčane kazne po županijskim propisima</t>
  </si>
  <si>
    <t xml:space="preserve">   Ostale kazne</t>
  </si>
  <si>
    <t xml:space="preserve">   Ostali prihodi</t>
  </si>
  <si>
    <t xml:space="preserve">   Novčane kazne za prekršaje koje su registrirane u registru 
   novčanih kazni i troškovi prekršajnog postupka</t>
  </si>
  <si>
    <t>3. Donacije</t>
  </si>
  <si>
    <t xml:space="preserve">   Donacije</t>
  </si>
  <si>
    <t xml:space="preserve">   Domaće donacije</t>
  </si>
  <si>
    <t xml:space="preserve">   Donacije iz inozemstva</t>
  </si>
  <si>
    <t>V  PRIHODI PO OSNOVI ZAOSTALIH OBVEZA</t>
  </si>
  <si>
    <t xml:space="preserve">   Uplate zaostalih obveza od por.na promet visokotar.proizvoda</t>
  </si>
  <si>
    <t>VI KAPITALNI PRIMICI</t>
  </si>
  <si>
    <t xml:space="preserve">   Kapitalni primici od prodaje stalnih sredstava</t>
  </si>
  <si>
    <t>1.Kapitalni primici od prodaje stalnih sredstava</t>
  </si>
  <si>
    <t xml:space="preserve">   Porez na imovinu</t>
  </si>
  <si>
    <t xml:space="preserve">   Porezi na plaće (zaostale uplate poreza)</t>
  </si>
  <si>
    <t xml:space="preserve">2.Naknade i pristojbe i prihodi od pružanja javnih usluga </t>
  </si>
  <si>
    <t xml:space="preserve">   Naknade za korištenje, zaštitu i unapređenje šuma 
   utvrđene županijskim propisima</t>
  </si>
  <si>
    <t xml:space="preserve">   Naknade i pristojbe za veterinarske i sanitarne preglede 
   životinja i biljaka</t>
  </si>
  <si>
    <t xml:space="preserve">       9.1.  Izdaci za otplate dugova</t>
  </si>
  <si>
    <t xml:space="preserve">      99999999 Riznica ŽP - Proračunska potpora</t>
  </si>
  <si>
    <t>UKUPNO POREZNI I NEPOREZNI PRIHODI (I+II)</t>
  </si>
  <si>
    <t>UKUPNO PRIHODI (I+II+III+IV+V)</t>
  </si>
  <si>
    <t xml:space="preserve">   Naknade za korištenje poljopr.zemljišta u nepoljopr.svrhe</t>
  </si>
  <si>
    <t xml:space="preserve"> Grant za uređenje poljoprivrednog zemljišta</t>
  </si>
  <si>
    <t>Proračunski
korisnik</t>
  </si>
  <si>
    <t>Bruto plaće
611100</t>
  </si>
  <si>
    <t>Nakn.trošk.zaposlenih
611200</t>
  </si>
  <si>
    <t xml:space="preserve">Tekući grantovi
614000 </t>
  </si>
  <si>
    <t>Kapitalni grantovi
615000</t>
  </si>
  <si>
    <t>Izdaci za kamate
616000</t>
  </si>
  <si>
    <t>Otplate dugova
823000</t>
  </si>
  <si>
    <t>UKUPNO</t>
  </si>
  <si>
    <t>NAZIV</t>
  </si>
  <si>
    <t>Dopr.posl.
612000</t>
  </si>
  <si>
    <t>Mat.trošk.
613000</t>
  </si>
  <si>
    <t>Nab.staln.
sredstava
821000</t>
  </si>
  <si>
    <t>UKUPNO:</t>
  </si>
  <si>
    <t>Tekuća pričuva</t>
  </si>
  <si>
    <t>Proračun</t>
  </si>
  <si>
    <t>Izvor financiranja</t>
  </si>
  <si>
    <t>3=4+5+6</t>
  </si>
  <si>
    <t>1. Primljeni tekući grantovi od inozemnih vlada i 
   međunarodnih organizacija</t>
  </si>
  <si>
    <t xml:space="preserve">   Primljeni tekući grantovi od inoz.vlada i međ.organizacija</t>
  </si>
  <si>
    <t xml:space="preserve">   Primljeni tekući grantovi od međunarodnih organizacija</t>
  </si>
  <si>
    <t>2. Primljeni tekući grantovi od ostalih razina vlasti</t>
  </si>
  <si>
    <t xml:space="preserve">   Primljeni tekući grantovi od ostalih razina vlasti i fondova</t>
  </si>
  <si>
    <t xml:space="preserve">   Primljeni tekući grantovi od ostalih razina vlasti</t>
  </si>
  <si>
    <t xml:space="preserve">   Primljeni tekući grantovi od FBiH</t>
  </si>
  <si>
    <t>IV KAPITALNI GRANTOVI</t>
  </si>
  <si>
    <t>1. Primljeni kapitalni grantovi od inozemnih vlada i 
   međunarodnih organizacija</t>
  </si>
  <si>
    <t xml:space="preserve">   Primljeni kapitalni grantovi od inozemnih vlada i 
   međunarodnih organizacija</t>
  </si>
  <si>
    <t xml:space="preserve">   Primljeni kapitalni grantovi od inozemnih vlada</t>
  </si>
  <si>
    <t>2. Kapitalni grantovi od ostalih razina vlasti</t>
  </si>
  <si>
    <t xml:space="preserve">   Kapitalni grantovi od ostalih razina vlasti i fondova</t>
  </si>
  <si>
    <t xml:space="preserve">   Primljeni kapitalni grantovi od Federacije</t>
  </si>
  <si>
    <t>UKUPNO PRIHODI, TEKUĆI I KAPITALNI GRANTOVI I PRIMICI:</t>
  </si>
  <si>
    <t>Rashodi i izdaci</t>
  </si>
  <si>
    <t>Pokriće deficita</t>
  </si>
  <si>
    <t>III TEKUĆI GRANTOVI (GRANTOVI I DONACIJE)</t>
  </si>
  <si>
    <t>Funk. kod</t>
  </si>
  <si>
    <t>Opis</t>
  </si>
  <si>
    <t>011</t>
  </si>
  <si>
    <t>012</t>
  </si>
  <si>
    <t>Strana ekonomska pomoć</t>
  </si>
  <si>
    <t>013</t>
  </si>
  <si>
    <t>Opće usluge</t>
  </si>
  <si>
    <t>014</t>
  </si>
  <si>
    <t>Osnovno istraživanje</t>
  </si>
  <si>
    <t>015</t>
  </si>
  <si>
    <t>IiR Opće javne usluge</t>
  </si>
  <si>
    <t>016</t>
  </si>
  <si>
    <t>Opće javne usluge n. k.</t>
  </si>
  <si>
    <t>017</t>
  </si>
  <si>
    <t xml:space="preserve">Transakcije vezane za javni dug </t>
  </si>
  <si>
    <t>018</t>
  </si>
  <si>
    <t>021</t>
  </si>
  <si>
    <t>022</t>
  </si>
  <si>
    <t>023</t>
  </si>
  <si>
    <t>024</t>
  </si>
  <si>
    <t>025</t>
  </si>
  <si>
    <t>031</t>
  </si>
  <si>
    <t>Policijske usluge</t>
  </si>
  <si>
    <t>032</t>
  </si>
  <si>
    <t>033</t>
  </si>
  <si>
    <t>Sudovi</t>
  </si>
  <si>
    <t>034</t>
  </si>
  <si>
    <t>Zatvori</t>
  </si>
  <si>
    <t>035</t>
  </si>
  <si>
    <t>IiR  Javni red i sigurnost</t>
  </si>
  <si>
    <t>036</t>
  </si>
  <si>
    <t>Javni red i sigurnost n. k.</t>
  </si>
  <si>
    <t>04</t>
  </si>
  <si>
    <t>Ekonomski poslovi    (25+….+33)</t>
  </si>
  <si>
    <t>041</t>
  </si>
  <si>
    <t>Opći ekonomski, komercijalni i poslovi po pitanju rada</t>
  </si>
  <si>
    <t>042</t>
  </si>
  <si>
    <t>Poljoprivreda, šumarstvo, lov i ribolov</t>
  </si>
  <si>
    <t>043</t>
  </si>
  <si>
    <t>Gorivo i energija</t>
  </si>
  <si>
    <t>044</t>
  </si>
  <si>
    <t xml:space="preserve">Rudarstvo, proizvodnja i izgradnja </t>
  </si>
  <si>
    <t>045</t>
  </si>
  <si>
    <t>046</t>
  </si>
  <si>
    <t>Komunikacije</t>
  </si>
  <si>
    <t>047</t>
  </si>
  <si>
    <t>Ostale industrije</t>
  </si>
  <si>
    <t>048</t>
  </si>
  <si>
    <t>IiR Ekonomski poslovi</t>
  </si>
  <si>
    <t>049</t>
  </si>
  <si>
    <t>Ekonomski poslovi n. k.</t>
  </si>
  <si>
    <t>Zaštita životne sredine      (35+…..+40)</t>
  </si>
  <si>
    <t>051</t>
  </si>
  <si>
    <t xml:space="preserve">Upravljanje otpadom </t>
  </si>
  <si>
    <t>052</t>
  </si>
  <si>
    <t>Upravljanje otpadnim vodama</t>
  </si>
  <si>
    <t>053</t>
  </si>
  <si>
    <t>Smanjenje zagađenosti</t>
  </si>
  <si>
    <t>054</t>
  </si>
  <si>
    <t>055</t>
  </si>
  <si>
    <t>056</t>
  </si>
  <si>
    <t>Zaštita životne sredine n. k.</t>
  </si>
  <si>
    <t>Stambeni i zajednički poslovi    (42+….+47)</t>
  </si>
  <si>
    <t>061</t>
  </si>
  <si>
    <t>Stambeni razvoj</t>
  </si>
  <si>
    <t>062</t>
  </si>
  <si>
    <t>Razvoj zajednice</t>
  </si>
  <si>
    <t>063</t>
  </si>
  <si>
    <t>064</t>
  </si>
  <si>
    <t>Ulična rasvjeta</t>
  </si>
  <si>
    <t>065</t>
  </si>
  <si>
    <t>IiR Stambeni i zajednički poslovi</t>
  </si>
  <si>
    <t>066</t>
  </si>
  <si>
    <t>Stambeni i zajednički poslovi n. k.</t>
  </si>
  <si>
    <t>07</t>
  </si>
  <si>
    <t>Zdravstvo    (49+….+54)</t>
  </si>
  <si>
    <t>071</t>
  </si>
  <si>
    <t>Medicinski proizvodi, uređaji i oprema</t>
  </si>
  <si>
    <t>072</t>
  </si>
  <si>
    <t xml:space="preserve"> Nabavka stalnih sredstava u obliku prava</t>
  </si>
  <si>
    <t xml:space="preserve">   Porez na ukupan prihod fizičkih osoba</t>
  </si>
  <si>
    <t xml:space="preserve">   Porez na promet proizvoda (niža stopa)</t>
  </si>
  <si>
    <t xml:space="preserve">   Posebna vodna naknada za vađenje materijala iz vodotoka</t>
  </si>
  <si>
    <t xml:space="preserve">   Ostali povrati</t>
  </si>
  <si>
    <t xml:space="preserve">       5.1.  Izdaci za nabavku stalnih sredstava</t>
  </si>
  <si>
    <t xml:space="preserve">   Naknada za postavljanje reklamnih panoa</t>
  </si>
  <si>
    <t xml:space="preserve">   Prihodi od mjenice</t>
  </si>
  <si>
    <t xml:space="preserve"> Naknade troškova zaposlenih - volonteri ()</t>
  </si>
  <si>
    <t xml:space="preserve"> Ugovorene i druge posebne usluge-volonteri ()</t>
  </si>
  <si>
    <t xml:space="preserve">   Primici od prodaje prometnih vozila</t>
  </si>
  <si>
    <t xml:space="preserve"> Potpora riznici</t>
  </si>
  <si>
    <t>Namjenski prihodi</t>
  </si>
  <si>
    <t>Grantovi i donacije</t>
  </si>
  <si>
    <t xml:space="preserve">   Primljeni tekući grantovi od inozemnih vlada</t>
  </si>
  <si>
    <t xml:space="preserve"> Ugovorene i druge posebne usluge-prostorni plan</t>
  </si>
  <si>
    <t xml:space="preserve"> o/č Izdaci za tekuće održavanje</t>
  </si>
  <si>
    <t xml:space="preserve"> o/č Tekuće održavanje cesta</t>
  </si>
  <si>
    <t xml:space="preserve"> o/č Izdaci osiguranja, bank. usluga i usluga p.p.</t>
  </si>
  <si>
    <t xml:space="preserve"> o/č Izdaci za negativne tečajne razlike</t>
  </si>
  <si>
    <t xml:space="preserve"> o/č Ugovorene i druge posebne usluge</t>
  </si>
  <si>
    <t xml:space="preserve"> o/č Potpora riznici</t>
  </si>
  <si>
    <t xml:space="preserve"> o/č Vozački ispiti-vlastiti prihodi</t>
  </si>
  <si>
    <t xml:space="preserve"> o/č Ugovorene i druge posebne usluge-prostorni plan</t>
  </si>
  <si>
    <t xml:space="preserve"> o/č Grant za Sveučilište u Mostaru</t>
  </si>
  <si>
    <t xml:space="preserve"> o/č Grant za zaštitu okoliša</t>
  </si>
  <si>
    <t xml:space="preserve"> o/č Grant za razvoj turizma</t>
  </si>
  <si>
    <t xml:space="preserve"> o/č Grant za sufinanciranje nabavke udžbenika učenicima </t>
  </si>
  <si>
    <t xml:space="preserve"> o/č Isplate stipendija</t>
  </si>
  <si>
    <t xml:space="preserve"> o/č Grant za zaštitu od prirodnih i drugih nesreća</t>
  </si>
  <si>
    <t xml:space="preserve"> o/č Grant za Crveni križ Županije Posavske</t>
  </si>
  <si>
    <t xml:space="preserve"> o/č Grant za Gospodarsku komoru ŽP</t>
  </si>
  <si>
    <t xml:space="preserve"> o/č Grant za uređenje poljoprivrednog zemljišta</t>
  </si>
  <si>
    <t xml:space="preserve"> o/č Ostali grantovi-povrat i drugo</t>
  </si>
  <si>
    <t xml:space="preserve"> o/č Ostali grantovi-izvršenje sudskih presuda i rješenja o 
      izvršenju</t>
  </si>
  <si>
    <t xml:space="preserve"> Tekući grantovi drugim razinama vlasti i fondovima</t>
  </si>
  <si>
    <t xml:space="preserve"> Tekući grantovi pojedincima</t>
  </si>
  <si>
    <t xml:space="preserve"> Tekući grantovi neprofitnim organizacijama</t>
  </si>
  <si>
    <t xml:space="preserve"> Subvencije privatnim poduzećima i poduzetnicima</t>
  </si>
  <si>
    <t xml:space="preserve"> Drugi tekući rashodi</t>
  </si>
  <si>
    <t>Ekon. 
kod</t>
  </si>
  <si>
    <t xml:space="preserve"> Ostali grantovi-izvršenje sudskih presuda i rješenja
 o izvršenju</t>
  </si>
  <si>
    <t xml:space="preserve">   Grantovi od izvanproračunskih fondova</t>
  </si>
  <si>
    <t xml:space="preserve"> o/č Grant za sufinanciranje profesionalne vatrogasne postrojbe</t>
  </si>
  <si>
    <t>Javni red i sihurnost       (18+….+23)</t>
  </si>
  <si>
    <t xml:space="preserve">Usluge protupožarne zaštite </t>
  </si>
  <si>
    <t xml:space="preserve">   Prihodi od zakupa javnog vodnog dobra na površ.vodama I kateg.</t>
  </si>
  <si>
    <t xml:space="preserve">   Ostali prih.za korišt., zaštitu i unapređ.šuma po žup.propisima</t>
  </si>
  <si>
    <t xml:space="preserve">   Posebna naknada za zaštitu od prir.i drugih nesreća gdje 
   je osnovica sumarni iznos neto prim.po osnovi dr.samostalne 
   djelatnosti i povremenog samostalnog rada</t>
  </si>
  <si>
    <t xml:space="preserve">   Posebna vodna naknada za korištenje površ..i podzemnih 
   voda za industrijske procese, uključujući i termoelektrane</t>
  </si>
  <si>
    <t xml:space="preserve">   Poseb.vodna naknada za korištenje površ.i podzem.voda za
   flaš.vode i min.vode za uzgoj ribe u ribnj.za navod.i dr.namj.</t>
  </si>
  <si>
    <t xml:space="preserve">   Posebna naknada za zaštitu od prirodnih i drugih nesreća 
   gdje je osnovica sumarni iznos neto plaće za isplatu</t>
  </si>
  <si>
    <t xml:space="preserve">   Posebna vodna naknada za korištenje vode za proizvodnju 
   električne energije</t>
  </si>
  <si>
    <t xml:space="preserve">   Naknade i pristojbe po Fed.zakonima i dr.propisima</t>
  </si>
  <si>
    <t xml:space="preserve"> Grant za Obrtničku komoru ŽP</t>
  </si>
  <si>
    <t xml:space="preserve"> o/č Grant za Obrtničku komoru ŽP</t>
  </si>
  <si>
    <t xml:space="preserve"> Grant za sufinanc.nabavke udžbenika učenicima</t>
  </si>
  <si>
    <t xml:space="preserve">   Grant od Federalnog zavoda za zapošljavanje - osnovne škole</t>
  </si>
  <si>
    <t xml:space="preserve"> Grant za razvoj poduzetništva, obrta i zadruga</t>
  </si>
  <si>
    <t xml:space="preserve"> o/č Grant za razvoj poduzetništva, obrta i zadruga</t>
  </si>
  <si>
    <t xml:space="preserve">   Porez na temelju autorskih prava, patenata i tehn.unapređenja</t>
  </si>
  <si>
    <t xml:space="preserve">   Prihodi od neizravnih poreza na ime financ.autocesta u FBiH</t>
  </si>
  <si>
    <t xml:space="preserve">   Prihodi od zakupa korištenja sportsko-gospodarskih lovišta</t>
  </si>
  <si>
    <t xml:space="preserve">   Federalna naknada za uvjerenje o veterin.-zdravstvenom 
   stanju životinja iz uvoza</t>
  </si>
  <si>
    <t xml:space="preserve">   Povrati naknada troškova zaposlenih</t>
  </si>
  <si>
    <t xml:space="preserve">   Kapitalni grantovi od nevladinih izvora</t>
  </si>
  <si>
    <t xml:space="preserve">   Primljeni tekući grantovi od gradova</t>
  </si>
  <si>
    <t>Subanalitika</t>
  </si>
  <si>
    <t>BA6017</t>
  </si>
  <si>
    <t>BA6014</t>
  </si>
  <si>
    <t>BA6016</t>
  </si>
  <si>
    <t>BA6001</t>
  </si>
  <si>
    <t>BA6008</t>
  </si>
  <si>
    <t>BA6007</t>
  </si>
  <si>
    <t>BA6018</t>
  </si>
  <si>
    <t>BA6010</t>
  </si>
  <si>
    <t>FA6002</t>
  </si>
  <si>
    <t>FA6001</t>
  </si>
  <si>
    <t>GA6003</t>
  </si>
  <si>
    <t>GA6002</t>
  </si>
  <si>
    <t>GA6005</t>
  </si>
  <si>
    <t>GA6006</t>
  </si>
  <si>
    <t>GA6008</t>
  </si>
  <si>
    <t>GA6009</t>
  </si>
  <si>
    <t>IA6004</t>
  </si>
  <si>
    <t>IA6002</t>
  </si>
  <si>
    <t>JA6004</t>
  </si>
  <si>
    <t>JA6008</t>
  </si>
  <si>
    <t>JA6005</t>
  </si>
  <si>
    <t>JA6007</t>
  </si>
  <si>
    <t>KA6007</t>
  </si>
  <si>
    <t>KA6004</t>
  </si>
  <si>
    <t>KA6009</t>
  </si>
  <si>
    <t>KA6003</t>
  </si>
  <si>
    <t>KA6008</t>
  </si>
  <si>
    <t>KA6001</t>
  </si>
  <si>
    <t>KA6006</t>
  </si>
  <si>
    <t>LA6001</t>
  </si>
  <si>
    <t>NA6002</t>
  </si>
  <si>
    <t>NA6003</t>
  </si>
  <si>
    <t>iz prorač.
sredstava</t>
  </si>
  <si>
    <t>iz ostalih izvora</t>
  </si>
  <si>
    <t>8=6+7</t>
  </si>
  <si>
    <t>822, 823</t>
  </si>
  <si>
    <t>813, 814, 815</t>
  </si>
  <si>
    <t>Ekonomski 
kod</t>
  </si>
  <si>
    <t xml:space="preserve">     1.1.  Prihodi od poreza</t>
  </si>
  <si>
    <t xml:space="preserve">     1.2.  Neporezni prihodi</t>
  </si>
  <si>
    <t xml:space="preserve">     1.3.  Tekući grantovi (grantovi i donacije)</t>
  </si>
  <si>
    <t xml:space="preserve">     1.4.  Kapitalni grantovi</t>
  </si>
  <si>
    <t xml:space="preserve">     1.5.  Prihodi po osnovi zaostalih obveza</t>
  </si>
  <si>
    <t xml:space="preserve">     2.1.  Rashodi - Tekuća pričuva</t>
  </si>
  <si>
    <t xml:space="preserve">     2.2.  Plaće i naknade troškova zaposlenih</t>
  </si>
  <si>
    <t xml:space="preserve">     2.3.  Doprinosi poslodavca i ostali doprinosi</t>
  </si>
  <si>
    <t xml:space="preserve">     2.4.  Izdaci za materijal, sitan inventar i usluge</t>
  </si>
  <si>
    <t xml:space="preserve">     2.5.  Tekući grantovi i drugi tekući rashodi</t>
  </si>
  <si>
    <t xml:space="preserve">     2.6.  Kapitalni grantovi</t>
  </si>
  <si>
    <t xml:space="preserve">     2.7.  Izdaci za kamate</t>
  </si>
  <si>
    <t xml:space="preserve">   1. PRORAČUNSKI PRIHODI (1.1.+1.2.+1.3.+1.4.+1.5.)</t>
  </si>
  <si>
    <t xml:space="preserve">   2. PRORAČUNSKI RASHODI (2.1.+2.2.)</t>
  </si>
  <si>
    <t xml:space="preserve">   3. TEKUĆA BILANCA (1-2)</t>
  </si>
  <si>
    <t xml:space="preserve">   4. PRIMICI OD PRODAJE NEFINANCIJSKE IMOVINE</t>
  </si>
  <si>
    <t xml:space="preserve">   5. IZDACI ZA NABAVKU NEFINANCIJSKE IMOVINE</t>
  </si>
  <si>
    <t xml:space="preserve">   6. NETO NABAVKA NEFINANCIJSKE IMOVINE (4-5)</t>
  </si>
  <si>
    <t xml:space="preserve">   7. UKUPAN SUFICIT/DEFICIT (3+6)</t>
  </si>
  <si>
    <t xml:space="preserve">   8. PRIMICI OD FINANCIJSKE IMOVINE I ZADUŽIVANJA</t>
  </si>
  <si>
    <t xml:space="preserve">   10. NETO FINANCIRANJE (8-9)</t>
  </si>
  <si>
    <t xml:space="preserve">   11. UKUPAN FINANCIJSKI REZULTAT (7+10)</t>
  </si>
  <si>
    <t xml:space="preserve">   UKUPNO PRIHODI, PRIMICI I FINANCIRANJE</t>
  </si>
  <si>
    <t xml:space="preserve">   UKUPNO RASHODI I IZDACI</t>
  </si>
  <si>
    <t xml:space="preserve">   UKUPNO POKRIĆE AKUMULIRANOG DEFICITA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</si>
  <si>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</si>
  <si>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</si>
  <si>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</si>
  <si>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</si>
  <si>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</si>
  <si>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</si>
  <si>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</si>
  <si>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</si>
  <si>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</si>
  <si>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</si>
  <si>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</si>
  <si>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</si>
  <si>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</si>
  <si>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</si>
  <si>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</si>
  <si>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</si>
  <si>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</si>
  <si>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</si>
  <si>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</si>
  <si>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</si>
  <si>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</si>
  <si>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</si>
  <si>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</si>
  <si>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</si>
  <si>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</si>
  <si>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</si>
  <si>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</si>
  <si>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</si>
  <si>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</si>
  <si>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</si>
  <si>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</si>
  <si>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</si>
  <si>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</si>
  <si>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</si>
  <si>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</si>
  <si>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</si>
  <si>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</si>
  <si>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</si>
  <si>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</si>
  <si>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 xml:space="preserve"> Grant za sufinanciranje osn.i srednjeg obrazovanja djece s 
 posebnim potrebama</t>
  </si>
  <si>
    <t xml:space="preserve"> Grant za sufinanc.profesionalne vatrogasne postrojbe</t>
  </si>
  <si>
    <t xml:space="preserve">      23010001 Uprava za civilnu zaštitu</t>
  </si>
  <si>
    <t xml:space="preserve">      99999999 Riznica</t>
  </si>
  <si>
    <t xml:space="preserve">   Prihodi od iznajmljivanja zemljišta</t>
  </si>
  <si>
    <t>HA6003</t>
  </si>
  <si>
    <t>HA6004</t>
  </si>
  <si>
    <t>Usluge sporta i rekreacije</t>
  </si>
  <si>
    <t xml:space="preserve">   Naknada zagađivača okoliša fizičkih osoba</t>
  </si>
  <si>
    <t xml:space="preserve">   Prihodi od prodanih pristojbenih biljega</t>
  </si>
  <si>
    <t xml:space="preserve">   Kamate primljene od pozajmica Državi</t>
  </si>
  <si>
    <t xml:space="preserve">      17010001 Ministarstvo zdravstva i socijalne politike - 
      Civilne žrtve rata</t>
  </si>
  <si>
    <t>KA6012</t>
  </si>
  <si>
    <t>KA6013</t>
  </si>
  <si>
    <t>FA6003</t>
  </si>
  <si>
    <t>FA6004</t>
  </si>
  <si>
    <t>615500</t>
  </si>
  <si>
    <t xml:space="preserve"> Rekonstrukcija i investicijsko održavanje regionalnih cesta</t>
  </si>
  <si>
    <t xml:space="preserve"> Rekonstrukcija i investicijsko održavanje lokalnih cesta</t>
  </si>
  <si>
    <t>IA6005</t>
  </si>
  <si>
    <t>IA6006</t>
  </si>
  <si>
    <t>BA6020</t>
  </si>
  <si>
    <t>Zajednička služba Vlade Županije Posavske</t>
  </si>
  <si>
    <t>ZAJEDNIČKA SLUŽBA VLADE ŽUPANIJE POSAVSKE</t>
  </si>
  <si>
    <t>Ministarstvo pravosuđa i uprave Županije Posavske</t>
  </si>
  <si>
    <t>Ministarstvo gospodarstva, rada i prostornog uređenja Županije Posavske</t>
  </si>
  <si>
    <t>Ministarstvo financija Županije Posavske</t>
  </si>
  <si>
    <t>Ministarstvo zdravstva i socijalne politike Županije Posavske</t>
  </si>
  <si>
    <t>Ministarstvo prometa, veza i zaštite okoliša Županije Posavske</t>
  </si>
  <si>
    <t>Ministarstvo poljoprivrede, vodoprivrede i šumarstva Županije Posavske</t>
  </si>
  <si>
    <t>Ministarstvo prosvjete, znanosti, kulture i sporta Županije Posavske</t>
  </si>
  <si>
    <t>Ministarstvo branitelja Županije Posavske</t>
  </si>
  <si>
    <t>MINISTARSTVO PRAVOSUĐA I UPRAVE ŽUPANIJE POSAVSKE</t>
  </si>
  <si>
    <t>MINISTARSTVO PRAVOSUĐA I UPRAVE ŽUPANIJE POSAVSKE - OPĆINSKO PRAVOBRANITELJSTVO ORAŠJE</t>
  </si>
  <si>
    <t>MINISTARSTVO PRAVOSUĐA I UPRAVE ŽUPANIJE POSAVSKE - OPĆINSKO PRAVOBRANITELJSTVO ODŽAK</t>
  </si>
  <si>
    <t>MINISTARSTVO GOSPODARSTVA, RADA I PROSTORNOG UREĐENJA ŽUPANIJE POSAVSKE</t>
  </si>
  <si>
    <t>MINISTARSTVO FINANCIJA ŽUPANIJE POSAVSKE</t>
  </si>
  <si>
    <t>MINISTARSTVO ZDRAVSTVA I SOCIJALNE POLITIKE ŽUPANIJE POSAVSKE</t>
  </si>
  <si>
    <t>MINISTARSTVO PROMETA, VEZA  I ZAŠTITE OKOLIŠA ŽUPANIJE POSAVSKE</t>
  </si>
  <si>
    <t>MINISTARSTVO POLJOPRIVREDE, VODOPRIVREDE I ŠUMARSTVA ŽUPANIJE POSAVSKE</t>
  </si>
  <si>
    <t>MINISTARSTVO PROSVJETE, ZNANOSTI, KULTURE I SPORTA ŽUPANIJE POSAVSKE</t>
  </si>
  <si>
    <t>MINISTARSTVO BRANITELJA ŽUPANIJE POSAVSKE</t>
  </si>
  <si>
    <t>ŽUPANIJSKA UPRAVA CIVILNE ZAŠTITE</t>
  </si>
  <si>
    <t>Županijska uprava civilne zaštite</t>
  </si>
  <si>
    <t>Agencija za privatizaciju u Županiji Posavskoj</t>
  </si>
  <si>
    <t>Ministarstvo pravosuđa i uprave ŽP - Općinsko pravobraniteljstvo Odžak</t>
  </si>
  <si>
    <t>Ministarstvo pravosuđa i uprave ŽP - Općinsko pravobraniteljstvo Orašje</t>
  </si>
  <si>
    <t>Ministarstvo pravosuđa i uprave Županije Posavske - Općinsko pravobraniteljstvo Orašje</t>
  </si>
  <si>
    <t>Ministarstvo pravosuđa i uprave Županije Posavske - Općinsko pravobraniteljstvo Odžak</t>
  </si>
  <si>
    <t>Ministarstvo pravosuđa i uprave Županije Posavske - Županijski Zavod za pružanje pravne pomoći</t>
  </si>
  <si>
    <t>Kantonalno tužiteljstvo Posavskog kantona Orašje</t>
  </si>
  <si>
    <t>Ministarstvo pravosuđa i uprave Županije Posavske - Općinski sud u Orašju</t>
  </si>
  <si>
    <t xml:space="preserve"> MINISTARSTVO PRAVOSUĐA I UPRAVE ŽUPANIJE POSAVSKE - OPĆINSKI SUD U ORAŠJU</t>
  </si>
  <si>
    <t>MINISTARSTVO PRAVOSUĐA I UPRAVE ŽUPANIJE POSAVSKE - ŽUPANIJSKI ZAVOD ZA PRUŽANJE PRAVNE POMOĆI</t>
  </si>
  <si>
    <t>MINISTARSTVO PROSVJETE, ZNANOSTI, KULTURE I SPORTA ŽUPANIJE POSAVSKE - OSNOVNA ŠKOLA ORAŠJE U ORAŠJU</t>
  </si>
  <si>
    <t>AGENCIJA ZA PRIVATIZACIJU U ŽUPANIJI POSAVSKOJ</t>
  </si>
  <si>
    <t>KANTONALNO TUŽITELJSTVO POSAVSKOG KANTONA ORAŠJE</t>
  </si>
  <si>
    <t>Ministarstvo prosvjete, znanosti, kulture i sporta ŽP - Osnovna škola Orašje u Orašju</t>
  </si>
  <si>
    <t>Ministarstvo pravosuđa i uprave ŽP - Općinski sud u Orašju</t>
  </si>
  <si>
    <t>Ministarstvo pravosuđa i uprave ŽP - Žup.Zavod za pružanje prav.pomoći</t>
  </si>
  <si>
    <t>Ministarstvo gospodarstva, rada i prostornog uređenja Žup.Posavske</t>
  </si>
  <si>
    <t>Ministarstvo poljoprivrede, vodoprivrede i šumarstva Žup.Posavske</t>
  </si>
  <si>
    <t>Ministarstvo prosvjete... - Osnovna škola Orašje u Orašju</t>
  </si>
  <si>
    <t xml:space="preserve"> Kapitalni grant za razvoj poduzetništva, obrta i zadruga</t>
  </si>
  <si>
    <t xml:space="preserve"> Kapitalni grant za uređenje poljoprivrednog zemljišta</t>
  </si>
  <si>
    <t>URED ZA RASELJENE</t>
  </si>
  <si>
    <t xml:space="preserve">   Grant od Federalnog zavoda za zapošljavanje - pripravnici</t>
  </si>
  <si>
    <t xml:space="preserve"> Kapitalni grant za vodoprivredu</t>
  </si>
  <si>
    <t>MINISTARSTVO PROSVJETE, ZNANOSTI, KULTURE I SPORTA ŽUPANIJE POSAVSKE - SREDNJA STRUKOVNA ŠKOLA ORAŠJE U ORAŠJU</t>
  </si>
  <si>
    <t>MINISTARSTVO PROSVJETE, ZNANOSTI, KULTURE I SPORTA ŽUPANIJE POSAVSKE - ŠKOLSKI CENTAR FRA MARTINA NEDIĆA U ORAŠJU</t>
  </si>
  <si>
    <t>MINISTARSTVO PROSVJETE, ZNANOSTI, KULTURE I SPORTA ŽUPANIJE POSAVSKE - SREDNJA ŠKOLA PERE ZEČEVIĆA U ODŽAKU</t>
  </si>
  <si>
    <t>MINISTARSTVO PROSVJETE, ZNANOSTI, KULTURE I SPORTA ŽUPANIJE POSAVSKE - OSNOVNA ŠKOLA VLADIMIRA NAZORA U ODŽAKU</t>
  </si>
  <si>
    <t>MINISTARSTVO PROSVJETE, ZNANOSTI, KULTURE I SPORTA ŽUPANIJE POSAVSKE - OSNOVNA ŠKOLA STJEPANA RADIĆA U BOKU</t>
  </si>
  <si>
    <t>MINISTARSTVO PROSVJETE, ZNANOSTI, KULTURE I SPORTA ŽUPANIJE POSAVSKE - OSNOVNA ŠKOLA RUĐERA BOŠKOVIĆA U DONJOJ MAHALI</t>
  </si>
  <si>
    <t>MINISTARSTVO PROSVJETE, ZNANOSTI, KULTURE I SPORTA ŽUPANIJE POSAVSKE - OSNOVNA ŠKOLA ANTUNA GUSTAVA MATOŠA U VIDOVICAMA</t>
  </si>
  <si>
    <t>MINISTARSTVO PROSVJETE, ZNANOSTI, KULTURE I SPORTA ŽUPANIJE POSAVSKE - OSNOVNA ŠKOLA BRAĆE RADIĆA U DOMALJEVCU</t>
  </si>
  <si>
    <t>Ministarstvo prosvjete, znanosti, kulture i sporta ŽP - Srednja škola Pere Zečevića u Odžaku</t>
  </si>
  <si>
    <t>Ministarstvo prosvjete, znanosti, kulture i sporta ŽP - Školski centar fra Martina Nedića u Orašju</t>
  </si>
  <si>
    <t>Ministarstvo prosvjete, znanosti, kulture i sporta ŽP - Srednja strukovna škola Orašje u Orašju</t>
  </si>
  <si>
    <t>Ministarstvo prosvjete, znanosti, kulture i sporta ŽP - Osnovna škola Vladimira Nazora u Odžaku</t>
  </si>
  <si>
    <t>Ministarstvo prosvjete, znanosti, kulture i sporta ŽP - Osn.škola Ruđera Boškovića u Donjoj Mahali</t>
  </si>
  <si>
    <t>Ministarstvo prosvjete, znanosti, kulture i sporta ŽP - Osnovna škola fra Ilije Starčevića u Tolisi</t>
  </si>
  <si>
    <t>Ministarstvo prosvjete, znanosti, kulture i sporta ŽP - Osn.škola Stjepana Radića u Boku</t>
  </si>
  <si>
    <t>Ministarstvo prosvj., znan., kult.i sporta ŽP - Osnovna škola Antuna Gustava Matoša u Vidovicama</t>
  </si>
  <si>
    <t>Ministarstvo prosvjete, znanosti, kulture i sporta ŽP - Osnovna škola Braće Radića u Domaljevcu</t>
  </si>
  <si>
    <t>MINISTARSTVO PROSVJETE, ZNANOSTI, KULTURE I SPORTA ŽUPANIJE POSAVSKE - OSNOVNA ŠKOLA FRA ILIJE STARČEVIĆA U TOLISI</t>
  </si>
  <si>
    <t>Ministarstvo prosvjete, znanosti, kulture i sporta ŽP - Osnovna škola Stjepana Radića u Boku</t>
  </si>
  <si>
    <t>Ministarstvo prosvjete... - Srednja škola Pere Zečevića u Odžaku</t>
  </si>
  <si>
    <t>Ministarstvo prosvjete... - Školski centar Fra Martina Nedića u Orašju</t>
  </si>
  <si>
    <t>Ministarstvo prosvjete... - Srednja strukovna škola Orašje u Orašju</t>
  </si>
  <si>
    <t>Ministarstvo prosvjete... - Osnovna škola Vladimira Nazora u Odžaku</t>
  </si>
  <si>
    <t>Ministarstvo prosvjete... - Osn.škola Ruđera Boškovića u Donjoj Mahali</t>
  </si>
  <si>
    <t>Ministarstvo prosvjete... - Osnovna škola Fra Ilije Starčevića u Tolisi</t>
  </si>
  <si>
    <t>Ministarstvo prosvjete... - Osnovna škola Stjepana Radića u Boku</t>
  </si>
  <si>
    <t>Ministarstvo prosvjete.. - Osnovna škola Antuna Gustava Matoša u Vidovicama</t>
  </si>
  <si>
    <t>Ministarstvo prosvjete... - Osnovna škola Braće Radića u Domaljevcu</t>
  </si>
  <si>
    <t>Funkcija</t>
  </si>
  <si>
    <t>0111</t>
  </si>
  <si>
    <t>13=11+12</t>
  </si>
  <si>
    <t>0133</t>
  </si>
  <si>
    <t>0310</t>
  </si>
  <si>
    <t>0360</t>
  </si>
  <si>
    <t>0330</t>
  </si>
  <si>
    <t>0490</t>
  </si>
  <si>
    <t>0112</t>
  </si>
  <si>
    <t>1090</t>
  </si>
  <si>
    <t>0421</t>
  </si>
  <si>
    <t>0980</t>
  </si>
  <si>
    <t>0941</t>
  </si>
  <si>
    <t>0820</t>
  </si>
  <si>
    <t>0810</t>
  </si>
  <si>
    <t>0912
0921</t>
  </si>
  <si>
    <t>0830</t>
  </si>
  <si>
    <t>0840</t>
  </si>
  <si>
    <t>0922</t>
  </si>
  <si>
    <t>0912</t>
  </si>
  <si>
    <t>0320</t>
  </si>
  <si>
    <t xml:space="preserve"> Povjerenstva po Zakonu o drž.službenicima i namještenic.</t>
  </si>
  <si>
    <t xml:space="preserve"> o/č Povjerenstva po Zakonu o drž.službenicima i namještenic.</t>
  </si>
  <si>
    <t>EA6001</t>
  </si>
  <si>
    <t>JA6009</t>
  </si>
  <si>
    <t>JA6010</t>
  </si>
  <si>
    <t xml:space="preserve"> Grant za pomoć pri stambenom zbrinjavanju mladih obitelji 
 i socijalnih kategorija</t>
  </si>
  <si>
    <t>Izvršenje Proračuna 01.01.-30.09.20.</t>
  </si>
  <si>
    <t>PRORAČUN za 2021.</t>
  </si>
  <si>
    <t>PRORAČUN za 2020. (NN ŽP 15/19, 6/20, ??720)</t>
  </si>
  <si>
    <t>Povećanje/smanjenje Proračuna za 2020.g.</t>
  </si>
  <si>
    <t>INDEKS 13/9</t>
  </si>
  <si>
    <t>EA6002</t>
  </si>
  <si>
    <t xml:space="preserve"> Ugovorene i dr.pos.usluge - troškovi izvršenja mjere pritvora</t>
  </si>
  <si>
    <t xml:space="preserve"> Izdaci za inozemne kamate-Koreja</t>
  </si>
  <si>
    <t xml:space="preserve"> Izdaci za inozemne kamate-Austrija</t>
  </si>
  <si>
    <t>Vanjske otplate-Koreja</t>
  </si>
  <si>
    <t>Vanjske otplate-Austrija</t>
  </si>
  <si>
    <t xml:space="preserve"> o/č Ugovorene i dr.pos.usluge - troškovi izvršenja mjere pritvora</t>
  </si>
  <si>
    <t xml:space="preserve"> Vanjske otplate - Koreja</t>
  </si>
  <si>
    <t xml:space="preserve"> Vanjske otplate - Austrija</t>
  </si>
  <si>
    <t xml:space="preserve"> Ugovorene i dr. posebne usluge-sufinanc.prijema vježbenika</t>
  </si>
  <si>
    <t xml:space="preserve"> o/č Ugov.i dr.poseb.usluge-sufinanciranje prijema vježbenika</t>
  </si>
  <si>
    <t xml:space="preserve">   Porez na dobit od poljoprivrednih djelatnosti</t>
  </si>
  <si>
    <t xml:space="preserve">    o/t Prihodi od neizravnih poreza na ime financ.autocesta u FBiH</t>
  </si>
  <si>
    <t xml:space="preserve">    o/t Prihodi od neizravnih poreza koji pripadaju Direkciji cesta</t>
  </si>
  <si>
    <t xml:space="preserve">   Prihodi od iznajmljivanja vozila</t>
  </si>
  <si>
    <t xml:space="preserve">      19010001 Minist.poljopr., vodoprivrede i šumarstva</t>
  </si>
  <si>
    <t xml:space="preserve">   Prihodi po osnovi premije i provizije za izdano jamstvo</t>
  </si>
  <si>
    <t xml:space="preserve">   Prihodi po osnovi obračunate provizije za izdano jamstvo</t>
  </si>
  <si>
    <t xml:space="preserve">      11010001 Vlada ŽP - Brčko Distrikt</t>
  </si>
  <si>
    <t xml:space="preserve">   Kapitalni grantovi od općina</t>
  </si>
  <si>
    <t>BA6021</t>
  </si>
  <si>
    <t xml:space="preserve">   Primljeni tekući grantovi od Države</t>
  </si>
  <si>
    <t xml:space="preserve"> Grant za udruge roditelja djece s posebnim potrebama</t>
  </si>
  <si>
    <t xml:space="preserve"> o/č Grant za udruge roditelja djece s posebnim potrebama</t>
  </si>
  <si>
    <t xml:space="preserve">   9. IZDACI ZA NABAVKU FINANCIJSKE IMOVINE I OTPLATE DUGOVA</t>
  </si>
  <si>
    <t>HA6005</t>
  </si>
  <si>
    <t>BA6019</t>
  </si>
  <si>
    <t xml:space="preserve">   Prihodi od privatizacije</t>
  </si>
  <si>
    <t xml:space="preserve">   Prihodi od privatizacije poduzeća</t>
  </si>
  <si>
    <t>50 (53)</t>
  </si>
  <si>
    <t>42 (46)</t>
  </si>
  <si>
    <r>
      <t xml:space="preserve">    o/t Prihodi od neizravnih poreza na ime financ.autocesta u FBiH </t>
    </r>
    <r>
      <rPr>
        <b/>
        <i/>
        <sz val="10"/>
        <color indexed="8"/>
        <rFont val="Arial"/>
        <family val="2"/>
        <charset val="238"/>
      </rPr>
      <t>(razgr.)</t>
    </r>
  </si>
  <si>
    <r>
      <t xml:space="preserve">    o/t Prihodi od neizravnih poreza koji pripadaju Direkciji cesta </t>
    </r>
    <r>
      <rPr>
        <b/>
        <i/>
        <sz val="10"/>
        <color indexed="8"/>
        <rFont val="Arial"/>
        <family val="2"/>
        <charset val="238"/>
      </rPr>
      <t>(razgr.)</t>
    </r>
  </si>
  <si>
    <r>
      <t xml:space="preserve">      19010001 Minist.poljopr., vodoprivrede i šumarstva </t>
    </r>
    <r>
      <rPr>
        <b/>
        <i/>
        <sz val="10"/>
        <color indexed="8"/>
        <rFont val="Arial"/>
        <family val="2"/>
        <charset val="238"/>
      </rPr>
      <t>(razgr.)</t>
    </r>
  </si>
  <si>
    <r>
      <t xml:space="preserve">      19010001 Minist.poljopr., vodoprivrede i šumarstva </t>
    </r>
    <r>
      <rPr>
        <b/>
        <i/>
        <sz val="10"/>
        <color indexed="8"/>
        <rFont val="Arial"/>
        <family val="2"/>
        <charset val="238"/>
      </rPr>
      <t>(razgraničenja)</t>
    </r>
  </si>
  <si>
    <r>
      <t xml:space="preserve">      99999999 Riznica </t>
    </r>
    <r>
      <rPr>
        <b/>
        <i/>
        <sz val="10"/>
        <color indexed="8"/>
        <rFont val="Arial"/>
        <family val="2"/>
        <charset val="238"/>
      </rPr>
      <t>(razgraničenja)</t>
    </r>
  </si>
  <si>
    <r>
      <t xml:space="preserve">      23010001 Uprava za civilnu zaštitu </t>
    </r>
    <r>
      <rPr>
        <b/>
        <i/>
        <sz val="10"/>
        <color indexed="8"/>
        <rFont val="Arial"/>
        <family val="2"/>
        <charset val="238"/>
      </rPr>
      <t>(razgr.)</t>
    </r>
  </si>
  <si>
    <r>
      <t xml:space="preserve">      99999999 Riznica ŽP - Potpora iz sredstava MMF-a </t>
    </r>
    <r>
      <rPr>
        <b/>
        <i/>
        <sz val="10"/>
        <color indexed="8"/>
        <rFont val="Arial"/>
        <family val="2"/>
        <charset val="238"/>
      </rPr>
      <t>(razgraničenja)</t>
    </r>
  </si>
  <si>
    <t xml:space="preserve"> Doprinosi za beneficirani radni staž 1996-1998</t>
  </si>
  <si>
    <t xml:space="preserve"> Grant za financiranje visokog obrazovanja    
</t>
  </si>
  <si>
    <t xml:space="preserve"> Grant za informiranje</t>
  </si>
  <si>
    <t xml:space="preserve"> Grant za financiranje vjerskih zajednica</t>
  </si>
  <si>
    <t xml:space="preserve"> Grant za sport</t>
  </si>
  <si>
    <t xml:space="preserve"> Grant za kulturu</t>
  </si>
  <si>
    <t xml:space="preserve"> o/č Grant za informiranje</t>
  </si>
  <si>
    <t xml:space="preserve"> o/č Grant za financiranje vjerskih zajednica</t>
  </si>
  <si>
    <t xml:space="preserve"> o/č Grant za sport</t>
  </si>
  <si>
    <t xml:space="preserve"> o/č Grant za kulturu</t>
  </si>
  <si>
    <t xml:space="preserve"> Grant političkim strankama</t>
  </si>
  <si>
    <t xml:space="preserve"> Grant neprofitnim organizacijama i udrugama građana</t>
  </si>
  <si>
    <t xml:space="preserve"> o/č Grant političkim strankama</t>
  </si>
  <si>
    <t xml:space="preserve"> o/č Grant neprofitnim organizacijama i udrugama građana</t>
  </si>
  <si>
    <t xml:space="preserve"> Grant nižim razinama vlasti</t>
  </si>
  <si>
    <t xml:space="preserve"> o/č Grant nižim razinama vlasti</t>
  </si>
  <si>
    <t xml:space="preserve"> Grant za zdravstvene potrebe</t>
  </si>
  <si>
    <t xml:space="preserve"> Grant za socijalne potrebe</t>
  </si>
  <si>
    <t xml:space="preserve"> o/č Grant za zdravstvene potrebe</t>
  </si>
  <si>
    <t xml:space="preserve"> o/č Grant za socijalne potrebe</t>
  </si>
  <si>
    <t xml:space="preserve"> Grant za zdravstvene institucije i centre za soc.rad</t>
  </si>
  <si>
    <t xml:space="preserve"> o/č Grant za zdravstvene institucije i centre za soc.rad</t>
  </si>
  <si>
    <t xml:space="preserve"> o/č Grant za sufinanciranje prijevoza učenika</t>
  </si>
  <si>
    <t xml:space="preserve"> Grant za sufinanciranje prijevoza učenika</t>
  </si>
  <si>
    <t xml:space="preserve"> Grant za šumarstvo</t>
  </si>
  <si>
    <t xml:space="preserve"> Grant za poljoprivredu</t>
  </si>
  <si>
    <t xml:space="preserve"> Grant za vodoprivredu</t>
  </si>
  <si>
    <t xml:space="preserve"> o/č Grant za šumarstvo</t>
  </si>
  <si>
    <t xml:space="preserve"> o/č Grant za poljoprivredu</t>
  </si>
  <si>
    <t xml:space="preserve"> o/č Grant za vodoprivredu</t>
  </si>
  <si>
    <t xml:space="preserve"> Grant za branitelje i stradalnike Domovinskog rata</t>
  </si>
  <si>
    <t xml:space="preserve"> o/č Grant za branitelje i stradalnike dom. rata</t>
  </si>
  <si>
    <t>5 (6)</t>
  </si>
  <si>
    <t>ŽUPANIJSKI ARHIV</t>
  </si>
  <si>
    <t>0130</t>
  </si>
  <si>
    <t>45.</t>
  </si>
  <si>
    <t>Ministarstvo pravosuđa i uprave Županije Posavske - Županijski arhiv</t>
  </si>
  <si>
    <t xml:space="preserve"> Nabavka opreme - vatrogasna postrojba</t>
  </si>
  <si>
    <t xml:space="preserve">   Naknada za zajedničke profesionalne vatrogasne jedinice iz 
   funkcionalne premije osiguranja motornih vozila</t>
  </si>
  <si>
    <t>43 (44)</t>
  </si>
  <si>
    <t>18 (20)</t>
  </si>
  <si>
    <t xml:space="preserve"> Nabavka mat.i sitn.invent.-obroci za učenike I-V razreda
 osnovnih škola</t>
  </si>
  <si>
    <t>Ministarstvo pravosuđa i uprave ŽP - Županijski arhiv</t>
  </si>
  <si>
    <t xml:space="preserve"> Ukupno za potrošačke jedinice:</t>
  </si>
  <si>
    <t xml:space="preserve"> Kapitalni grant</t>
  </si>
  <si>
    <t xml:space="preserve"> o/č Nabavka materijala i sitnog inventara</t>
  </si>
  <si>
    <t xml:space="preserve"> o/č Nabavka mat.i sitn.invent.-obroci za učenike I-V razreda
 osnovnih škola</t>
  </si>
  <si>
    <t xml:space="preserve"> o/č Naknade troškova zaposlenih</t>
  </si>
  <si>
    <t>DA6001</t>
  </si>
  <si>
    <t>KA6014</t>
  </si>
  <si>
    <t>NA8001</t>
  </si>
  <si>
    <t>Povećanje/smanjenje Proračuna za 2022.g.</t>
  </si>
  <si>
    <t>14=13/9</t>
  </si>
  <si>
    <t>Povećanje/ smanjenje Proračuna za 2022.</t>
  </si>
  <si>
    <t>9=8/4</t>
  </si>
  <si>
    <t>7=6/4</t>
  </si>
  <si>
    <t>6=5/3</t>
  </si>
  <si>
    <t>INDEKS</t>
  </si>
  <si>
    <t>5=4/3</t>
  </si>
  <si>
    <t>30 (32)</t>
  </si>
  <si>
    <t>Izdaci za nabavku stalnih sredstava za 2022.g.(po pror.korisn.i izv.financiranja)</t>
  </si>
  <si>
    <t>za 2022. godinu</t>
  </si>
  <si>
    <t>IZDACI ZA NABAVKU STALNIH SREDSTAVA ŽUPANIJE POSAVSKE ZA 2022.G.(po proračunskim korisnicima i izvorima financiranja)</t>
  </si>
  <si>
    <t>10 (11)</t>
  </si>
  <si>
    <t>12 (13)</t>
  </si>
  <si>
    <t xml:space="preserve">      27010001 Kant.tužiteljstvo - IPA 2022</t>
  </si>
  <si>
    <r>
      <t xml:space="preserve">      27010001 Kant.tužiteljstvo - IPA 2021 </t>
    </r>
    <r>
      <rPr>
        <b/>
        <i/>
        <sz val="10"/>
        <color indexed="8"/>
        <rFont val="Arial"/>
        <family val="2"/>
        <charset val="238"/>
      </rPr>
      <t>(razgr.)</t>
    </r>
  </si>
  <si>
    <t>FA6005</t>
  </si>
  <si>
    <t>11 (13)</t>
  </si>
  <si>
    <t xml:space="preserve">           o/t 50% za provođenje strukturalnih reformi</t>
  </si>
  <si>
    <t xml:space="preserve">           o/t 50% za financiranje/sufinanciranje infrastrukturnih projekata</t>
  </si>
  <si>
    <t>Funkc.klasifik.rashoda i izdataka II. Izmjena i dopuna Proračuna ŽP za 2022. g.</t>
  </si>
  <si>
    <t>FUNKCIJSKA KLASIFIKACIJA RASHODA I IZDATAKA II. IZMJENA I DOPUNA PRORAČUNA ŽUPANIJE POSAVSKE ZA 2022.GODINU</t>
  </si>
  <si>
    <t>26 (29)</t>
  </si>
  <si>
    <t>13 (14)</t>
  </si>
  <si>
    <t xml:space="preserve">   Naplate premija osiguranja</t>
  </si>
  <si>
    <t xml:space="preserve">      11010001 Vlada Županije Posavske</t>
  </si>
  <si>
    <t xml:space="preserve">      15010001 Ministarstvo gospodarstva, rada i prostornog uređenja</t>
  </si>
  <si>
    <t xml:space="preserve">      17010001 Ministarstvo zdravstva i socijalne politike</t>
  </si>
  <si>
    <t xml:space="preserve">      20010001 Ministarstvo prosvjete, znanosti, kulture i sporta</t>
  </si>
  <si>
    <r>
      <t xml:space="preserve">   </t>
    </r>
    <r>
      <rPr>
        <i/>
        <sz val="10"/>
        <rFont val="Arial"/>
        <family val="2"/>
        <charset val="238"/>
      </rPr>
      <t xml:space="preserve">o/č 20030001 OŠ Orašje </t>
    </r>
    <r>
      <rPr>
        <b/>
        <i/>
        <sz val="10"/>
        <rFont val="Arial"/>
        <family val="2"/>
        <charset val="238"/>
      </rPr>
      <t>(razgr.)</t>
    </r>
  </si>
  <si>
    <t>216 (218)</t>
  </si>
  <si>
    <t>9 (10)</t>
  </si>
  <si>
    <t>30 (30)</t>
  </si>
  <si>
    <t>37 (37)</t>
  </si>
  <si>
    <t>18 (19)</t>
  </si>
  <si>
    <t>30 (31)</t>
  </si>
  <si>
    <t>27 (30)</t>
  </si>
  <si>
    <t>46 (47)</t>
  </si>
  <si>
    <t>41 (46)</t>
  </si>
  <si>
    <t>43 (45)</t>
  </si>
  <si>
    <t>3 (4)</t>
  </si>
  <si>
    <t xml:space="preserve"> Naknade troškova zaposlenih - volonteri (8) (11)</t>
  </si>
  <si>
    <t xml:space="preserve"> Ugovorene i dr. posebne usluge-volonteri (8) (11)</t>
  </si>
  <si>
    <t xml:space="preserve"> o/č Naknade troškova zaposlenih - volonteri (8) (11)</t>
  </si>
  <si>
    <t xml:space="preserve"> o/č Ugovorene i druge posebne usluge-volont.rad (8) (11)</t>
  </si>
  <si>
    <t xml:space="preserve"> Kapitalni grant jedinicama lokalne samouprave za razvoj
 poduzetničke infrastrukture</t>
  </si>
  <si>
    <t xml:space="preserve"> o/č Grant za sufinanciranje osn.i srednjeg obrazovanja djece 
       s posebnim potrebama</t>
  </si>
  <si>
    <t xml:space="preserve"> o/č Grant za pomoć pri stambenom zbrinjavanju mladih 
       obitelji i socijalnih kategorija</t>
  </si>
  <si>
    <t>o/č Grant za financiranje visokog obrazovanja</t>
  </si>
  <si>
    <t xml:space="preserve">   Uplate zaost.obveza od nakn.za puteve iz cijene naft.derivata</t>
  </si>
  <si>
    <t>Vlada ŽP - Ured za zakonodavstvo Vlade Županije Posavske</t>
  </si>
  <si>
    <t>Vlada ŽP -Služba za odnose s javnošću Vlade Županije Posavske</t>
  </si>
  <si>
    <t>Vlada ŽP -Ured za razvoj, europske integracije i borbu protiv korupcije ŽP</t>
  </si>
  <si>
    <t>Vlada ŽP -Ured za obnovu, stambeno zbrinjavanje i raseljene osobe Vlade ŽP</t>
  </si>
  <si>
    <t>VLADA ŽUPANIJE POSAVSKE - URED ZA ZAKONODAVSTVO VLADE ŽUPANIJE POSAVSKE</t>
  </si>
  <si>
    <t>VLADA ŽUPANIJE POSAVSKE - SLUŽBA ZA ODNOSE S JAVNOŠĆU VLADE ŽUPANIJE POSAVSKE</t>
  </si>
  <si>
    <t>VLADA ŽUPANIJE POSAVSKE - URED ZA RAZVOJ, EUROPSKE INTEGRACIJE I BORBU PROTIV KORUPCIJE ŽUPANIJE POSAVSKE</t>
  </si>
  <si>
    <t>VLADA ŽUPANIJE POSAVSKE - URED ZA OBNOVU, STAMBENO ZBRINJAVANJE I RASELJENE OSOBE VLADE ŽUPANIJE POSAVSKE</t>
  </si>
  <si>
    <t>Vlada ŽP - Služba za odnose s javnošću Vlade Županije Posavske</t>
  </si>
  <si>
    <t>Vlada ŽP - Ured za razvoj, europske integracije i borbu protiv korupcije Županije Posavske</t>
  </si>
  <si>
    <t>Vlada ŽP - Ured za obnovu, stambeno zbrinjavanje i raseljene osobe Vlade Županije Posavske</t>
  </si>
  <si>
    <t>102 (108)</t>
  </si>
  <si>
    <t xml:space="preserve">      20020002 SŠ Pere Zečevića u Odžaku - Federalno ministarstvo 
      kulture i sporta - Obnova sportske dvorane SŠ P.Zečevića u Odžaku</t>
  </si>
  <si>
    <t xml:space="preserve">      20020002 SŠ Pere Zečevića u Odžaku - Središnji državni ured za
      Hrvate izvan RH - Unapređenje kvalitete odgojno-obrazovnog rada
      u SŠ P.Zečevića u Odžaku</t>
  </si>
  <si>
    <t xml:space="preserve">      20010001 Ministarstvo prosvjete, znanosti, kulture i sporta - 
      Federalno ministarstvo prostornog uređenja - Utopljavanje školske
      dvorane fra Ilije Starčevića u Tolisi</t>
  </si>
  <si>
    <t xml:space="preserve">      20010001 Ministarstvo prosvjete, znanosti, kulture i sporta - 
      Federalno ministarstvo prostornog uređenja - Utopljavanje OŠ
      Vladimir Nazor Odžak</t>
  </si>
  <si>
    <t xml:space="preserve">      20010001 Ministarstvo prosvjete, znanosti, kulture i sporta - 
      Nabavka besplatnih udžbenika za učenike u stanju socijalne potrebe
      koji pohađaju osnovno obrazovanje</t>
  </si>
  <si>
    <t xml:space="preserve">      20020003 ŠC Fra M.Nedića u Orašju- Središnji državni ured za 
      Hrvate izvan RH - Vanjsko uređenje školskog dvorišta</t>
  </si>
  <si>
    <t xml:space="preserve">      99999999 Riznica ŽP - Ministarstvo regionalnog razvoja i fondova 
      EU RH - Unapređenje odgojno-obrazovnog rada u osnovnim
      školama u Odžaku i Petrinji (refundacija)</t>
  </si>
  <si>
    <r>
      <t xml:space="preserve">      20010001 Ministarstvo prosvjete, znanosti, kulture i sporta - 
      Podrška programima razvijanja funkcioniranja znanja i vještina djece
      </t>
    </r>
    <r>
      <rPr>
        <b/>
        <i/>
        <sz val="10"/>
        <color indexed="8"/>
        <rFont val="Arial"/>
        <family val="2"/>
        <charset val="238"/>
      </rPr>
      <t>(razgr.)</t>
    </r>
  </si>
  <si>
    <t xml:space="preserve">      20010001 Ministarstvo prosvjete, znanosti, kulture i sporta - Središnji 
      državni ured za Hrvate izvan RH - Unapređenje odgojno-obrazovnog 
      rada u SŠ P.Zečevića u Odžaku</t>
  </si>
  <si>
    <t xml:space="preserve">      23010001 Županijska uprava civilne zaštite - Federalno ministarstvo 
      prostornog uređenja - Utopljavanje zgrade Žup.uprave civilne zaštite</t>
  </si>
  <si>
    <t xml:space="preserve">      19010001 Ministarstvo poljoprivrede, vodoprivrede i šumarstva - 
      Uređenje odvodne kanalske mreže na prostoru ŽP</t>
  </si>
  <si>
    <t xml:space="preserve">      24010001 Kantonalni sud Odžak - Federalno ministarstvo 
      prostornog uređenja - Utopljavanje zgrade Kantonalnog suda</t>
  </si>
  <si>
    <t>6 (7)</t>
  </si>
  <si>
    <t>46 (46)</t>
  </si>
  <si>
    <t xml:space="preserve">      20010001 Ministarstvo prosvjete, znanosti, kulture i sporta - 
      Federalno ministarstvo obrazovanja i nauke- Podrška programima
      razvijanja stručnih znanja i vještina djece predškolskog uzrasta i
      učenika javnih osnovnih i javnih srednjih škola</t>
  </si>
  <si>
    <t xml:space="preserve">                                                       </t>
  </si>
  <si>
    <t>10 (12)</t>
  </si>
  <si>
    <t>51 (54)</t>
  </si>
  <si>
    <t>954 (989)</t>
  </si>
  <si>
    <r>
      <t xml:space="preserve">     15010001 Min.gospod.,rada i prost.uređenja - Prostorni plan </t>
    </r>
    <r>
      <rPr>
        <b/>
        <i/>
        <sz val="10"/>
        <color indexed="8"/>
        <rFont val="Arial"/>
        <family val="2"/>
        <charset val="238"/>
      </rPr>
      <t>(razgr.)</t>
    </r>
  </si>
  <si>
    <t>TABLIČNI PREGLED</t>
  </si>
  <si>
    <r>
      <t>IZVRŠENJE PRORAČUNA ŽUPANIJE POSAVSKE</t>
    </r>
    <r>
      <rPr>
        <b/>
        <sz val="10"/>
        <rFont val="Arial"/>
        <family val="2"/>
      </rPr>
      <t xml:space="preserve">
</t>
    </r>
    <r>
      <rPr>
        <b/>
        <sz val="14"/>
        <rFont val="Arial"/>
        <family val="2"/>
      </rPr>
      <t>za 2022. godinu</t>
    </r>
  </si>
  <si>
    <t>Bosna i Hercegovina
Federacija Bosne i 
Hercegovine
Županija Posavska
V L A D A</t>
  </si>
  <si>
    <t>Bosnia and Herzegovina
Federation of Bosnia and Herzegovina
Posavina County
THE GOVERNMENT</t>
  </si>
  <si>
    <t>Orašje, ožujak 2023. godine</t>
  </si>
  <si>
    <t>IZVRŠENJE PRORAČUNA ŽUPANIJE POSAVSKE</t>
  </si>
  <si>
    <t>PRORAČUN za 2022. (NN ŽP 18/21, 9/22, 18/22)</t>
  </si>
  <si>
    <t>Izvršenje Proračuna ŽP za 2022.godinu</t>
  </si>
  <si>
    <t>Izvršenje Proračuna ŽP za 2021.godinu</t>
  </si>
  <si>
    <t>Izvršenje 
Proračuna 
ŽP za 2021.g.</t>
  </si>
  <si>
    <t>Izvršenje Proračuna ŽP 
za 2022. godinu</t>
  </si>
  <si>
    <t>Izvršenje Proračuna ŽP za 2021. godinu</t>
  </si>
  <si>
    <t>IZVRŠENJE PRORAČUNA ŽUPANIJE POSAVSKE ZA 2022.GODINU (po korisnicima i ekonomskim klasifikacijama izdataka)</t>
  </si>
  <si>
    <t>PRORAČUN za 2022.(NN ŽP 18/21, 9/22, 18/22) / Poveć./ smanjenje Proračuna za 2022.</t>
  </si>
  <si>
    <t>Izvršenje PRORAČUNA ŽP za 2022.g.</t>
  </si>
  <si>
    <t xml:space="preserve">                      Orašje, ožujak 2023. godine</t>
  </si>
  <si>
    <t>Izvršenje Proračuna ŽP za 2022. g.(po korisn.i ek.klasif.izdataka)</t>
  </si>
  <si>
    <t xml:space="preserve">   Prihodi ostvareni prodajom stanova</t>
  </si>
  <si>
    <t xml:space="preserve">   Povrat duplo plaćenih obveza</t>
  </si>
  <si>
    <t xml:space="preserve">     20010001 Ministarstvo prosvjete, znanosti, kulture i sporta - UNICEF</t>
  </si>
  <si>
    <r>
      <t xml:space="preserve">      99999999 Riznica ŽP - "Sredstva za saniranje ek.šteta" </t>
    </r>
    <r>
      <rPr>
        <b/>
        <i/>
        <sz val="10"/>
        <color indexed="8"/>
        <rFont val="Arial"/>
        <family val="2"/>
        <charset val="238"/>
      </rPr>
      <t>(razgran.)</t>
    </r>
  </si>
  <si>
    <t xml:space="preserve">      99999999 Riznica ŽP - "Sredstva za saniranje ekonomskih šteta"</t>
  </si>
  <si>
    <t xml:space="preserve">      23010001 Župan.uprava civilne zaštite - Troškovi karantene COV-19</t>
  </si>
  <si>
    <t xml:space="preserve">      99999999 Riznica ŽP - Potpora iz sredstava MMF-a</t>
  </si>
  <si>
    <t xml:space="preserve">   20030001 OŠ Orašje u Orašju</t>
  </si>
  <si>
    <t xml:space="preserve">   20030003 OŠ Ruđera Boškovića u Donjoj Mahali</t>
  </si>
  <si>
    <r>
      <t xml:space="preserve">      20010001 Ministarstvo prosvjete, znanosti, kulture i sporta - Središnji 
      državni ured za Hrvate izvan RH - </t>
    </r>
    <r>
      <rPr>
        <i/>
        <sz val="10"/>
        <color rgb="FFFF0000"/>
        <rFont val="Arial"/>
        <family val="2"/>
        <charset val="238"/>
      </rPr>
      <t>Unapređenje odgojno-obrazovnog 
      rada u SŠ P.Zečevića u Odžaku</t>
    </r>
  </si>
  <si>
    <r>
      <t xml:space="preserve">      20030002 OŠ V.Nazora u Odžaku- Središnji državni ured za 
      Hrvate izvan RH - V</t>
    </r>
    <r>
      <rPr>
        <i/>
        <sz val="10"/>
        <color rgb="FFFF0000"/>
        <rFont val="Arial"/>
        <family val="2"/>
        <charset val="238"/>
      </rPr>
      <t>anjsko uređenje školskog dvorišta</t>
    </r>
  </si>
  <si>
    <r>
      <t xml:space="preserve">      20030007 OŠ Vbraće Radića u Domaljevcu- Središnji državni ured
      za Hrvate izvan RH - V</t>
    </r>
    <r>
      <rPr>
        <i/>
        <sz val="10"/>
        <color rgb="FFFF0000"/>
        <rFont val="Arial"/>
        <family val="2"/>
        <charset val="238"/>
      </rPr>
      <t>anjsko uređenje školskog dvorišta</t>
    </r>
  </si>
  <si>
    <t xml:space="preserve">      18010001 Ministarstvo prometa, veza i zaštite okoliša ŽP - 
      Federalno ministarstvo izbjeglih i raseljenih osoba FBiH</t>
  </si>
  <si>
    <r>
      <t xml:space="preserve">      20010001 Ministarstvo prosvjete, znanosti, kulture i sporta - 
      Federalno ministarstvo prostornog uređenja - </t>
    </r>
    <r>
      <rPr>
        <sz val="10"/>
        <color rgb="FFFF0000"/>
        <rFont val="Arial"/>
        <family val="2"/>
        <charset val="238"/>
      </rPr>
      <t>Utopljavanje školske
      dvorane fra Ilije Starčevića u Tolisi</t>
    </r>
  </si>
  <si>
    <r>
      <t xml:space="preserve">      20030002 OŠ V.Nazora u Odžaku - Federalno ministarstvo 
      raseljenih osoba i izbjeglica - </t>
    </r>
    <r>
      <rPr>
        <sz val="10"/>
        <color rgb="FFFF0000"/>
        <rFont val="Arial"/>
        <family val="2"/>
        <charset val="238"/>
      </rPr>
      <t>?????????</t>
    </r>
  </si>
  <si>
    <t xml:space="preserve">     20030002 OŠ V.Nazora u Odžaku - Nadbiskupijski centar I.Pavao II</t>
  </si>
  <si>
    <t xml:space="preserve">      13010001 Ministarstvo unutarnjih poslova Županije Posavske</t>
  </si>
  <si>
    <t xml:space="preserve">      14020003 Općinski sud u Orašju</t>
  </si>
  <si>
    <t>218 (219)</t>
  </si>
  <si>
    <t>8 (9)</t>
  </si>
  <si>
    <t>46 (49)</t>
  </si>
  <si>
    <t>54 (57)</t>
  </si>
  <si>
    <t>104 (106)</t>
  </si>
  <si>
    <t>31 (32)</t>
  </si>
  <si>
    <t>38 (40)</t>
  </si>
  <si>
    <t>946 (968)</t>
  </si>
  <si>
    <t>Izvršenje PRORAČUNA za 2021.godinu</t>
  </si>
  <si>
    <t>Izvršenje PRORAČUNA za 2022. godinu</t>
  </si>
  <si>
    <t>PRORAČUN za 
2022.godinu (NN ŽP 18/21, 9/22, 18/22)</t>
  </si>
  <si>
    <t>7=5/4</t>
  </si>
  <si>
    <t>8=6/5</t>
  </si>
  <si>
    <t>10=8/5</t>
  </si>
  <si>
    <t>15=13/10</t>
  </si>
  <si>
    <t>INDEKS
2022</t>
  </si>
  <si>
    <t>INDEKS
2022/
2021</t>
  </si>
  <si>
    <t>11 (12)</t>
  </si>
  <si>
    <t>26 (28)</t>
  </si>
</sst>
</file>

<file path=xl/styles.xml><?xml version="1.0" encoding="utf-8"?>
<styleSheet xmlns="http://schemas.openxmlformats.org/spreadsheetml/2006/main">
  <numFmts count="7">
    <numFmt numFmtId="6" formatCode="#,##0\ &quot;kn&quot;;[Red]\-#,##0\ &quot;kn&quot;"/>
    <numFmt numFmtId="43" formatCode="_-* #,##0.00\ _k_n_-;\-* #,##0.00\ _k_n_-;_-* &quot;-&quot;??\ _k_n_-;_-@_-"/>
    <numFmt numFmtId="164" formatCode="#,##0\ &quot;KM&quot;;\-#,##0\ &quot;KM&quot;"/>
    <numFmt numFmtId="165" formatCode="_-* #,##0.00_-;\-* #,##0.00_-;_-* &quot;-&quot;??_-;_-@_-"/>
    <numFmt numFmtId="166" formatCode="_-* #,##0_-;\-* #,##0_-;_-* &quot;-&quot;??_-;_-@_-"/>
    <numFmt numFmtId="167" formatCode="000"/>
    <numFmt numFmtId="168" formatCode="#,##0.0"/>
  </numFmts>
  <fonts count="48">
    <font>
      <sz val="10"/>
      <name val="Arial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b/>
      <sz val="10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b/>
      <i/>
      <sz val="10"/>
      <name val="Arial"/>
      <family val="2"/>
      <charset val="238"/>
    </font>
    <font>
      <sz val="8"/>
      <name val="Arial"/>
      <family val="2"/>
    </font>
    <font>
      <b/>
      <sz val="8"/>
      <name val="Arial"/>
      <family val="2"/>
    </font>
    <font>
      <sz val="11"/>
      <name val="Arial CE"/>
      <family val="2"/>
      <charset val="238"/>
    </font>
    <font>
      <b/>
      <sz val="11"/>
      <name val="Arial CE"/>
      <family val="2"/>
      <charset val="238"/>
    </font>
    <font>
      <sz val="9"/>
      <name val="Arial"/>
      <family val="2"/>
      <charset val="238"/>
    </font>
    <font>
      <b/>
      <sz val="11"/>
      <name val="Arial"/>
      <family val="2"/>
      <charset val="238"/>
    </font>
    <font>
      <b/>
      <sz val="8"/>
      <name val="Arial"/>
      <family val="2"/>
      <charset val="238"/>
    </font>
    <font>
      <i/>
      <sz val="10"/>
      <name val="Arial"/>
      <family val="2"/>
      <charset val="238"/>
    </font>
    <font>
      <sz val="11"/>
      <color rgb="FF9C0006"/>
      <name val="Calibri"/>
      <family val="2"/>
      <charset val="238"/>
      <scheme val="minor"/>
    </font>
    <font>
      <b/>
      <sz val="9"/>
      <name val="Arial"/>
      <family val="2"/>
    </font>
    <font>
      <b/>
      <sz val="9"/>
      <name val="Arial"/>
      <family val="2"/>
      <charset val="238"/>
    </font>
    <font>
      <sz val="9"/>
      <name val="Arial"/>
      <family val="2"/>
    </font>
    <font>
      <i/>
      <sz val="8"/>
      <name val="Arial"/>
      <family val="2"/>
    </font>
    <font>
      <i/>
      <sz val="11"/>
      <name val="Arial"/>
      <family val="2"/>
    </font>
    <font>
      <sz val="11"/>
      <name val="Arial"/>
      <family val="2"/>
      <charset val="238"/>
    </font>
    <font>
      <b/>
      <i/>
      <sz val="11"/>
      <name val="Arial"/>
      <family val="2"/>
      <charset val="238"/>
    </font>
    <font>
      <i/>
      <sz val="9"/>
      <name val="Arial"/>
      <family val="2"/>
      <charset val="238"/>
    </font>
    <font>
      <b/>
      <i/>
      <sz val="9"/>
      <name val="Arial"/>
      <family val="2"/>
      <charset val="238"/>
    </font>
    <font>
      <sz val="7"/>
      <name val="Arial"/>
      <family val="2"/>
      <charset val="238"/>
    </font>
    <font>
      <b/>
      <sz val="7"/>
      <name val="Arial"/>
      <family val="2"/>
      <charset val="238"/>
    </font>
    <font>
      <b/>
      <sz val="12"/>
      <name val="Arial"/>
      <family val="2"/>
      <charset val="238"/>
    </font>
    <font>
      <sz val="10"/>
      <color rgb="FFFF0000"/>
      <name val="Arial"/>
      <family val="2"/>
      <charset val="238"/>
    </font>
    <font>
      <i/>
      <sz val="11"/>
      <name val="Arial"/>
      <family val="2"/>
      <charset val="238"/>
    </font>
    <font>
      <i/>
      <sz val="11"/>
      <color rgb="FF9C0006"/>
      <name val="Calibri"/>
      <family val="2"/>
      <charset val="238"/>
      <scheme val="minor"/>
    </font>
    <font>
      <sz val="11"/>
      <color rgb="FFFF0000"/>
      <name val="Arial"/>
      <family val="2"/>
      <charset val="238"/>
    </font>
    <font>
      <i/>
      <sz val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i/>
      <sz val="10"/>
      <color indexed="8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sz val="10"/>
      <color theme="0"/>
      <name val="Arial"/>
      <family val="2"/>
    </font>
    <font>
      <i/>
      <sz val="10"/>
      <color rgb="FFFF0000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7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6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4">
    <xf numFmtId="0" fontId="0" fillId="0" borderId="0"/>
    <xf numFmtId="165" fontId="11" fillId="0" borderId="0" applyFont="0" applyFill="0" applyBorder="0" applyAlignment="0" applyProtection="0"/>
    <xf numFmtId="0" fontId="24" fillId="5" borderId="0" applyNumberFormat="0" applyBorder="0" applyAlignment="0" applyProtection="0"/>
    <xf numFmtId="0" fontId="2" fillId="0" borderId="0"/>
    <xf numFmtId="0" fontId="10" fillId="0" borderId="0"/>
    <xf numFmtId="9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1089">
    <xf numFmtId="0" fontId="0" fillId="0" borderId="0" xfId="0"/>
    <xf numFmtId="0" fontId="3" fillId="0" borderId="0" xfId="3" applyFont="1"/>
    <xf numFmtId="0" fontId="3" fillId="0" borderId="0" xfId="3" applyFont="1" applyAlignment="1">
      <alignment horizontal="center"/>
    </xf>
    <xf numFmtId="0" fontId="3" fillId="0" borderId="1" xfId="3" applyFont="1" applyBorder="1" applyAlignment="1">
      <alignment horizontal="center" vertical="center" textRotation="90" wrapText="1"/>
    </xf>
    <xf numFmtId="0" fontId="3" fillId="0" borderId="3" xfId="3" applyFont="1" applyBorder="1" applyAlignment="1">
      <alignment horizontal="center"/>
    </xf>
    <xf numFmtId="0" fontId="3" fillId="0" borderId="4" xfId="3" applyFont="1" applyBorder="1" applyAlignment="1">
      <alignment horizontal="center"/>
    </xf>
    <xf numFmtId="49" fontId="3" fillId="0" borderId="3" xfId="3" applyNumberFormat="1" applyFont="1" applyBorder="1" applyAlignment="1">
      <alignment horizontal="center"/>
    </xf>
    <xf numFmtId="49" fontId="3" fillId="0" borderId="4" xfId="3" applyNumberFormat="1" applyFont="1" applyBorder="1" applyAlignment="1">
      <alignment horizontal="center"/>
    </xf>
    <xf numFmtId="0" fontId="3" fillId="0" borderId="4" xfId="3" applyFont="1" applyBorder="1"/>
    <xf numFmtId="0" fontId="2" fillId="0" borderId="0" xfId="3"/>
    <xf numFmtId="0" fontId="2" fillId="0" borderId="3" xfId="3" applyBorder="1"/>
    <xf numFmtId="0" fontId="2" fillId="0" borderId="4" xfId="3" applyBorder="1"/>
    <xf numFmtId="0" fontId="3" fillId="0" borderId="3" xfId="3" applyFont="1" applyBorder="1"/>
    <xf numFmtId="0" fontId="4" fillId="0" borderId="4" xfId="3" applyFont="1" applyBorder="1"/>
    <xf numFmtId="0" fontId="2" fillId="0" borderId="4" xfId="3" applyFill="1" applyBorder="1"/>
    <xf numFmtId="3" fontId="3" fillId="0" borderId="4" xfId="3" applyNumberFormat="1" applyFont="1" applyBorder="1"/>
    <xf numFmtId="0" fontId="2" fillId="0" borderId="5" xfId="3" applyBorder="1"/>
    <xf numFmtId="0" fontId="2" fillId="0" borderId="6" xfId="3" applyBorder="1"/>
    <xf numFmtId="0" fontId="2" fillId="0" borderId="0" xfId="3" applyAlignment="1">
      <alignment horizontal="center"/>
    </xf>
    <xf numFmtId="3" fontId="3" fillId="0" borderId="4" xfId="3" applyNumberFormat="1" applyFont="1" applyBorder="1" applyAlignment="1">
      <alignment horizontal="right"/>
    </xf>
    <xf numFmtId="0" fontId="2" fillId="0" borderId="4" xfId="3" applyFont="1" applyBorder="1"/>
    <xf numFmtId="0" fontId="3" fillId="0" borderId="4" xfId="3" applyFont="1" applyBorder="1" applyAlignment="1">
      <alignment horizontal="left"/>
    </xf>
    <xf numFmtId="0" fontId="3" fillId="0" borderId="7" xfId="3" applyFont="1" applyBorder="1"/>
    <xf numFmtId="0" fontId="0" fillId="0" borderId="4" xfId="0" applyBorder="1"/>
    <xf numFmtId="0" fontId="2" fillId="0" borderId="8" xfId="3" applyBorder="1"/>
    <xf numFmtId="0" fontId="3" fillId="0" borderId="8" xfId="3" applyFont="1" applyBorder="1"/>
    <xf numFmtId="0" fontId="3" fillId="0" borderId="4" xfId="0" applyFont="1" applyBorder="1"/>
    <xf numFmtId="0" fontId="2" fillId="0" borderId="9" xfId="3" applyBorder="1"/>
    <xf numFmtId="0" fontId="2" fillId="0" borderId="5" xfId="3" applyBorder="1" applyAlignment="1">
      <alignment horizontal="center"/>
    </xf>
    <xf numFmtId="3" fontId="2" fillId="0" borderId="4" xfId="3" applyNumberFormat="1" applyBorder="1"/>
    <xf numFmtId="3" fontId="4" fillId="0" borderId="4" xfId="3" applyNumberFormat="1" applyFont="1" applyBorder="1"/>
    <xf numFmtId="3" fontId="2" fillId="0" borderId="6" xfId="3" applyNumberFormat="1" applyBorder="1"/>
    <xf numFmtId="0" fontId="2" fillId="0" borderId="0" xfId="3" applyFont="1" applyAlignment="1">
      <alignment horizontal="left"/>
    </xf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4" xfId="3" applyFont="1" applyBorder="1" applyAlignment="1">
      <alignment horizontal="left"/>
    </xf>
    <xf numFmtId="0" fontId="0" fillId="0" borderId="10" xfId="0" applyBorder="1"/>
    <xf numFmtId="3" fontId="4" fillId="0" borderId="4" xfId="3" applyNumberFormat="1" applyFont="1" applyBorder="1" applyAlignment="1">
      <alignment horizontal="right"/>
    </xf>
    <xf numFmtId="0" fontId="4" fillId="0" borderId="4" xfId="0" applyFont="1" applyBorder="1"/>
    <xf numFmtId="0" fontId="3" fillId="0" borderId="0" xfId="0" applyFont="1"/>
    <xf numFmtId="0" fontId="3" fillId="0" borderId="12" xfId="3" applyFont="1" applyBorder="1"/>
    <xf numFmtId="0" fontId="2" fillId="0" borderId="13" xfId="3" applyBorder="1" applyAlignment="1">
      <alignment horizontal="center"/>
    </xf>
    <xf numFmtId="0" fontId="2" fillId="0" borderId="14" xfId="3" applyBorder="1"/>
    <xf numFmtId="0" fontId="2" fillId="0" borderId="0" xfId="3" applyFont="1"/>
    <xf numFmtId="3" fontId="2" fillId="0" borderId="4" xfId="3" applyNumberFormat="1" applyFill="1" applyBorder="1"/>
    <xf numFmtId="0" fontId="0" fillId="0" borderId="0" xfId="0" applyBorder="1" applyAlignment="1"/>
    <xf numFmtId="0" fontId="7" fillId="0" borderId="0" xfId="0" applyFont="1" applyBorder="1" applyAlignment="1"/>
    <xf numFmtId="3" fontId="2" fillId="0" borderId="15" xfId="3" applyNumberFormat="1" applyBorder="1"/>
    <xf numFmtId="2" fontId="3" fillId="0" borderId="0" xfId="3" applyNumberFormat="1" applyFont="1"/>
    <xf numFmtId="3" fontId="2" fillId="0" borderId="0" xfId="3" applyNumberFormat="1"/>
    <xf numFmtId="3" fontId="3" fillId="0" borderId="0" xfId="3" applyNumberFormat="1" applyFont="1"/>
    <xf numFmtId="3" fontId="2" fillId="0" borderId="0" xfId="3" applyNumberFormat="1" applyFont="1"/>
    <xf numFmtId="0" fontId="4" fillId="0" borderId="0" xfId="3" applyFont="1"/>
    <xf numFmtId="0" fontId="4" fillId="0" borderId="3" xfId="3" applyFont="1" applyBorder="1"/>
    <xf numFmtId="0" fontId="4" fillId="0" borderId="0" xfId="0" applyFont="1"/>
    <xf numFmtId="3" fontId="0" fillId="0" borderId="0" xfId="0" applyNumberFormat="1"/>
    <xf numFmtId="0" fontId="10" fillId="0" borderId="0" xfId="3" applyFont="1"/>
    <xf numFmtId="0" fontId="2" fillId="0" borderId="0" xfId="3" applyFont="1" applyFill="1"/>
    <xf numFmtId="0" fontId="2" fillId="0" borderId="0" xfId="3" applyFill="1"/>
    <xf numFmtId="0" fontId="3" fillId="0" borderId="0" xfId="3" applyFont="1" applyFill="1"/>
    <xf numFmtId="0" fontId="3" fillId="2" borderId="4" xfId="0" applyFont="1" applyFill="1" applyBorder="1" applyAlignment="1">
      <alignment horizontal="center"/>
    </xf>
    <xf numFmtId="3" fontId="3" fillId="0" borderId="4" xfId="3" applyNumberFormat="1" applyFont="1" applyFill="1" applyBorder="1" applyAlignment="1">
      <alignment horizontal="right"/>
    </xf>
    <xf numFmtId="49" fontId="3" fillId="0" borderId="3" xfId="3" applyNumberFormat="1" applyFont="1" applyFill="1" applyBorder="1" applyAlignment="1">
      <alignment horizontal="center"/>
    </xf>
    <xf numFmtId="49" fontId="3" fillId="0" borderId="4" xfId="3" applyNumberFormat="1" applyFont="1" applyFill="1" applyBorder="1" applyAlignment="1">
      <alignment horizontal="center"/>
    </xf>
    <xf numFmtId="3" fontId="3" fillId="0" borderId="0" xfId="3" applyNumberFormat="1" applyFont="1" applyAlignment="1">
      <alignment horizontal="center"/>
    </xf>
    <xf numFmtId="0" fontId="5" fillId="0" borderId="0" xfId="3" applyFont="1" applyBorder="1" applyAlignment="1">
      <alignment horizontal="left"/>
    </xf>
    <xf numFmtId="4" fontId="2" fillId="0" borderId="0" xfId="3" applyNumberFormat="1"/>
    <xf numFmtId="0" fontId="3" fillId="0" borderId="10" xfId="3" applyFont="1" applyBorder="1" applyAlignment="1">
      <alignment horizontal="center"/>
    </xf>
    <xf numFmtId="3" fontId="3" fillId="0" borderId="4" xfId="3" applyNumberFormat="1" applyFont="1" applyBorder="1" applyAlignment="1">
      <alignment horizontal="center"/>
    </xf>
    <xf numFmtId="3" fontId="10" fillId="0" borderId="4" xfId="3" applyNumberFormat="1" applyFont="1" applyFill="1" applyBorder="1"/>
    <xf numFmtId="3" fontId="3" fillId="0" borderId="6" xfId="3" applyNumberFormat="1" applyFont="1" applyBorder="1"/>
    <xf numFmtId="3" fontId="4" fillId="0" borderId="0" xfId="0" applyNumberFormat="1" applyFont="1"/>
    <xf numFmtId="164" fontId="9" fillId="0" borderId="14" xfId="3" applyNumberFormat="1" applyFont="1" applyBorder="1" applyAlignment="1"/>
    <xf numFmtId="0" fontId="2" fillId="0" borderId="3" xfId="3" applyBorder="1" applyAlignment="1">
      <alignment vertical="center"/>
    </xf>
    <xf numFmtId="0" fontId="2" fillId="0" borderId="4" xfId="3" applyBorder="1" applyAlignment="1">
      <alignment vertical="center"/>
    </xf>
    <xf numFmtId="0" fontId="2" fillId="0" borderId="8" xfId="3" applyBorder="1" applyAlignment="1">
      <alignment vertical="center"/>
    </xf>
    <xf numFmtId="0" fontId="10" fillId="0" borderId="0" xfId="3" applyFont="1" applyAlignment="1">
      <alignment vertical="center"/>
    </xf>
    <xf numFmtId="0" fontId="2" fillId="0" borderId="0" xfId="3" applyAlignment="1">
      <alignment vertical="center"/>
    </xf>
    <xf numFmtId="0" fontId="4" fillId="0" borderId="3" xfId="3" applyFont="1" applyBorder="1" applyAlignment="1">
      <alignment vertical="center"/>
    </xf>
    <xf numFmtId="0" fontId="4" fillId="0" borderId="4" xfId="3" applyFont="1" applyBorder="1" applyAlignment="1">
      <alignment vertical="center"/>
    </xf>
    <xf numFmtId="0" fontId="4" fillId="0" borderId="0" xfId="3" applyFont="1" applyAlignment="1">
      <alignment vertical="center"/>
    </xf>
    <xf numFmtId="3" fontId="4" fillId="0" borderId="0" xfId="3" applyNumberFormat="1" applyFont="1" applyAlignment="1">
      <alignment vertical="center"/>
    </xf>
    <xf numFmtId="0" fontId="8" fillId="0" borderId="0" xfId="0" applyFont="1"/>
    <xf numFmtId="0" fontId="12" fillId="0" borderId="0" xfId="0" applyFont="1"/>
    <xf numFmtId="0" fontId="3" fillId="0" borderId="0" xfId="0" applyFont="1" applyFill="1" applyBorder="1" applyAlignment="1"/>
    <xf numFmtId="3" fontId="4" fillId="0" borderId="4" xfId="0" applyNumberFormat="1" applyFont="1" applyFill="1" applyBorder="1" applyAlignment="1">
      <alignment horizontal="right" vertical="center"/>
    </xf>
    <xf numFmtId="3" fontId="0" fillId="0" borderId="4" xfId="0" applyNumberFormat="1" applyBorder="1"/>
    <xf numFmtId="3" fontId="3" fillId="0" borderId="4" xfId="0" applyNumberFormat="1" applyFont="1" applyBorder="1"/>
    <xf numFmtId="0" fontId="0" fillId="0" borderId="4" xfId="0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/>
    <xf numFmtId="0" fontId="3" fillId="2" borderId="0" xfId="0" applyFont="1" applyFill="1"/>
    <xf numFmtId="0" fontId="3" fillId="2" borderId="4" xfId="0" applyFont="1" applyFill="1" applyBorder="1"/>
    <xf numFmtId="3" fontId="3" fillId="2" borderId="4" xfId="0" applyNumberFormat="1" applyFont="1" applyFill="1" applyBorder="1"/>
    <xf numFmtId="0" fontId="3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3" fontId="3" fillId="2" borderId="0" xfId="0" applyNumberFormat="1" applyFont="1" applyFill="1"/>
    <xf numFmtId="4" fontId="3" fillId="0" borderId="0" xfId="3" applyNumberFormat="1" applyFont="1" applyAlignment="1">
      <alignment horizontal="center"/>
    </xf>
    <xf numFmtId="0" fontId="0" fillId="0" borderId="14" xfId="0" applyBorder="1"/>
    <xf numFmtId="0" fontId="18" fillId="0" borderId="0" xfId="0" applyFont="1" applyFill="1" applyBorder="1" applyAlignment="1"/>
    <xf numFmtId="0" fontId="19" fillId="0" borderId="0" xfId="0" applyFont="1" applyFill="1" applyBorder="1" applyAlignment="1">
      <alignment horizontal="centerContinuous"/>
    </xf>
    <xf numFmtId="0" fontId="19" fillId="0" borderId="0" xfId="0" applyFont="1" applyAlignment="1">
      <alignment horizontal="centerContinuous"/>
    </xf>
    <xf numFmtId="0" fontId="20" fillId="0" borderId="0" xfId="0" applyFont="1" applyFill="1" applyBorder="1" applyAlignment="1"/>
    <xf numFmtId="0" fontId="20" fillId="0" borderId="0" xfId="0" applyFont="1" applyAlignment="1">
      <alignment horizontal="center"/>
    </xf>
    <xf numFmtId="0" fontId="20" fillId="0" borderId="0" xfId="0" applyFont="1" applyAlignment="1">
      <alignment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Continuous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Continuous" vertical="center" wrapText="1"/>
    </xf>
    <xf numFmtId="0" fontId="3" fillId="0" borderId="11" xfId="0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167" fontId="4" fillId="0" borderId="4" xfId="0" applyNumberFormat="1" applyFont="1" applyFill="1" applyBorder="1" applyAlignment="1">
      <alignment horizontal="left" vertical="center" wrapText="1"/>
    </xf>
    <xf numFmtId="4" fontId="4" fillId="0" borderId="4" xfId="0" applyNumberFormat="1" applyFont="1" applyFill="1" applyBorder="1"/>
    <xf numFmtId="4" fontId="4" fillId="0" borderId="4" xfId="0" applyNumberFormat="1" applyFont="1" applyBorder="1"/>
    <xf numFmtId="0" fontId="0" fillId="0" borderId="0" xfId="0" applyFill="1"/>
    <xf numFmtId="0" fontId="6" fillId="0" borderId="0" xfId="0" applyFont="1" applyFill="1"/>
    <xf numFmtId="0" fontId="8" fillId="0" borderId="0" xfId="0" applyFont="1" applyFill="1"/>
    <xf numFmtId="0" fontId="10" fillId="0" borderId="4" xfId="3" applyFont="1" applyBorder="1"/>
    <xf numFmtId="3" fontId="3" fillId="0" borderId="0" xfId="0" applyNumberFormat="1" applyFont="1" applyFill="1" applyBorder="1" applyAlignment="1"/>
    <xf numFmtId="2" fontId="3" fillId="0" borderId="0" xfId="0" applyNumberFormat="1" applyFont="1" applyFill="1" applyBorder="1" applyAlignment="1">
      <alignment horizontal="right"/>
    </xf>
    <xf numFmtId="10" fontId="0" fillId="0" borderId="0" xfId="0" applyNumberFormat="1"/>
    <xf numFmtId="3" fontId="10" fillId="0" borderId="4" xfId="4" applyNumberFormat="1" applyFill="1" applyBorder="1"/>
    <xf numFmtId="3" fontId="3" fillId="0" borderId="4" xfId="4" applyNumberFormat="1" applyFont="1" applyFill="1" applyBorder="1"/>
    <xf numFmtId="3" fontId="10" fillId="0" borderId="10" xfId="4" applyNumberFormat="1" applyFill="1" applyBorder="1"/>
    <xf numFmtId="3" fontId="3" fillId="0" borderId="10" xfId="4" applyNumberFormat="1" applyFont="1" applyFill="1" applyBorder="1"/>
    <xf numFmtId="3" fontId="0" fillId="0" borderId="0" xfId="0" applyNumberFormat="1" applyFill="1"/>
    <xf numFmtId="3" fontId="4" fillId="0" borderId="4" xfId="3" applyNumberFormat="1" applyFont="1" applyFill="1" applyBorder="1" applyAlignment="1">
      <alignment horizontal="right"/>
    </xf>
    <xf numFmtId="0" fontId="23" fillId="0" borderId="4" xfId="3" applyFont="1" applyBorder="1"/>
    <xf numFmtId="3" fontId="23" fillId="0" borderId="4" xfId="3" applyNumberFormat="1" applyFont="1" applyBorder="1"/>
    <xf numFmtId="0" fontId="23" fillId="0" borderId="4" xfId="3" applyFont="1" applyFill="1" applyBorder="1"/>
    <xf numFmtId="0" fontId="4" fillId="0" borderId="3" xfId="3" applyFont="1" applyBorder="1" applyAlignment="1">
      <alignment horizontal="center" vertical="top"/>
    </xf>
    <xf numFmtId="0" fontId="2" fillId="0" borderId="3" xfId="3" applyBorder="1" applyAlignment="1">
      <alignment horizontal="center" vertical="top"/>
    </xf>
    <xf numFmtId="0" fontId="23" fillId="0" borderId="3" xfId="3" applyFont="1" applyBorder="1" applyAlignment="1">
      <alignment horizontal="right" vertical="top"/>
    </xf>
    <xf numFmtId="0" fontId="2" fillId="0" borderId="3" xfId="3" applyFill="1" applyBorder="1" applyAlignment="1">
      <alignment horizontal="center" vertical="top"/>
    </xf>
    <xf numFmtId="0" fontId="23" fillId="0" borderId="3" xfId="3" applyFont="1" applyFill="1" applyBorder="1" applyAlignment="1">
      <alignment horizontal="right" vertical="top"/>
    </xf>
    <xf numFmtId="0" fontId="2" fillId="0" borderId="3" xfId="3" applyFont="1" applyBorder="1"/>
    <xf numFmtId="0" fontId="3" fillId="0" borderId="14" xfId="3" applyFont="1" applyBorder="1" applyAlignment="1">
      <alignment horizontal="right"/>
    </xf>
    <xf numFmtId="0" fontId="0" fillId="0" borderId="0" xfId="0" applyFill="1" applyAlignment="1">
      <alignment wrapText="1"/>
    </xf>
    <xf numFmtId="3" fontId="12" fillId="0" borderId="0" xfId="0" applyNumberFormat="1" applyFont="1" applyFill="1"/>
    <xf numFmtId="3" fontId="8" fillId="0" borderId="0" xfId="0" applyNumberFormat="1" applyFont="1" applyFill="1"/>
    <xf numFmtId="4" fontId="8" fillId="0" borderId="0" xfId="0" applyNumberFormat="1" applyFont="1" applyFill="1"/>
    <xf numFmtId="0" fontId="3" fillId="0" borderId="0" xfId="0" applyFont="1" applyFill="1" applyBorder="1"/>
    <xf numFmtId="3" fontId="0" fillId="0" borderId="0" xfId="0" applyNumberFormat="1" applyFill="1" applyBorder="1"/>
    <xf numFmtId="0" fontId="8" fillId="0" borderId="4" xfId="0" applyFont="1" applyBorder="1" applyAlignment="1">
      <alignment horizontal="center"/>
    </xf>
    <xf numFmtId="3" fontId="0" fillId="0" borderId="4" xfId="0" applyNumberFormat="1" applyFill="1" applyBorder="1"/>
    <xf numFmtId="3" fontId="2" fillId="0" borderId="10" xfId="3" applyNumberFormat="1" applyBorder="1"/>
    <xf numFmtId="3" fontId="3" fillId="3" borderId="10" xfId="3" applyNumberFormat="1" applyFont="1" applyFill="1" applyBorder="1"/>
    <xf numFmtId="3" fontId="4" fillId="0" borderId="10" xfId="3" applyNumberFormat="1" applyFont="1" applyBorder="1"/>
    <xf numFmtId="3" fontId="2" fillId="0" borderId="10" xfId="3" applyNumberFormat="1" applyFill="1" applyBorder="1"/>
    <xf numFmtId="3" fontId="3" fillId="0" borderId="10" xfId="3" applyNumberFormat="1" applyFont="1" applyFill="1" applyBorder="1" applyAlignment="1">
      <alignment horizontal="right"/>
    </xf>
    <xf numFmtId="3" fontId="3" fillId="0" borderId="10" xfId="3" applyNumberFormat="1" applyFont="1" applyBorder="1"/>
    <xf numFmtId="3" fontId="4" fillId="0" borderId="10" xfId="3" applyNumberFormat="1" applyFont="1" applyFill="1" applyBorder="1"/>
    <xf numFmtId="3" fontId="3" fillId="0" borderId="4" xfId="3" applyNumberFormat="1" applyFont="1" applyBorder="1" applyAlignment="1">
      <alignment horizontal="right"/>
    </xf>
    <xf numFmtId="3" fontId="2" fillId="0" borderId="4" xfId="3" applyNumberFormat="1" applyBorder="1"/>
    <xf numFmtId="3" fontId="2" fillId="0" borderId="4" xfId="3" applyNumberFormat="1" applyFill="1" applyBorder="1"/>
    <xf numFmtId="0" fontId="3" fillId="0" borderId="0" xfId="3" applyFont="1"/>
    <xf numFmtId="0" fontId="3" fillId="0" borderId="0" xfId="3" applyFont="1" applyAlignment="1">
      <alignment horizontal="center"/>
    </xf>
    <xf numFmtId="0" fontId="3" fillId="0" borderId="4" xfId="3" applyFont="1" applyBorder="1" applyAlignment="1">
      <alignment horizontal="center"/>
    </xf>
    <xf numFmtId="0" fontId="2" fillId="0" borderId="0" xfId="3"/>
    <xf numFmtId="0" fontId="2" fillId="0" borderId="3" xfId="3" applyBorder="1"/>
    <xf numFmtId="0" fontId="2" fillId="0" borderId="4" xfId="3" applyBorder="1"/>
    <xf numFmtId="0" fontId="3" fillId="0" borderId="3" xfId="3" applyFont="1" applyBorder="1"/>
    <xf numFmtId="3" fontId="3" fillId="0" borderId="4" xfId="3" applyNumberFormat="1" applyFont="1" applyBorder="1"/>
    <xf numFmtId="0" fontId="2" fillId="0" borderId="0" xfId="3" applyAlignment="1">
      <alignment horizontal="center"/>
    </xf>
    <xf numFmtId="3" fontId="4" fillId="0" borderId="4" xfId="3" applyNumberFormat="1" applyFont="1" applyBorder="1"/>
    <xf numFmtId="0" fontId="2" fillId="0" borderId="0" xfId="3" applyFont="1" applyAlignment="1">
      <alignment horizontal="left"/>
    </xf>
    <xf numFmtId="3" fontId="3" fillId="3" borderId="4" xfId="3" applyNumberFormat="1" applyFont="1" applyFill="1" applyBorder="1"/>
    <xf numFmtId="3" fontId="3" fillId="0" borderId="4" xfId="3" applyNumberFormat="1" applyFont="1" applyFill="1" applyBorder="1"/>
    <xf numFmtId="3" fontId="4" fillId="0" borderId="4" xfId="3" applyNumberFormat="1" applyFont="1" applyFill="1" applyBorder="1"/>
    <xf numFmtId="3" fontId="3" fillId="0" borderId="4" xfId="3" applyNumberFormat="1" applyFont="1" applyFill="1" applyBorder="1" applyAlignment="1">
      <alignment horizontal="right"/>
    </xf>
    <xf numFmtId="0" fontId="3" fillId="0" borderId="10" xfId="3" applyFont="1" applyBorder="1" applyAlignment="1">
      <alignment horizontal="center"/>
    </xf>
    <xf numFmtId="3" fontId="23" fillId="0" borderId="4" xfId="3" applyNumberFormat="1" applyFont="1" applyBorder="1"/>
    <xf numFmtId="0" fontId="2" fillId="0" borderId="14" xfId="3" applyBorder="1" applyAlignment="1">
      <alignment horizontal="center"/>
    </xf>
    <xf numFmtId="0" fontId="25" fillId="0" borderId="4" xfId="3" applyFont="1" applyBorder="1" applyAlignment="1">
      <alignment horizontal="center"/>
    </xf>
    <xf numFmtId="0" fontId="27" fillId="0" borderId="4" xfId="3" applyFont="1" applyBorder="1" applyAlignment="1">
      <alignment horizontal="center"/>
    </xf>
    <xf numFmtId="0" fontId="27" fillId="0" borderId="6" xfId="3" applyFont="1" applyBorder="1" applyAlignment="1">
      <alignment horizontal="center"/>
    </xf>
    <xf numFmtId="0" fontId="27" fillId="0" borderId="0" xfId="3" applyFont="1" applyAlignment="1">
      <alignment horizontal="center"/>
    </xf>
    <xf numFmtId="0" fontId="27" fillId="0" borderId="4" xfId="3" applyFont="1" applyFill="1" applyBorder="1" applyAlignment="1">
      <alignment horizontal="center"/>
    </xf>
    <xf numFmtId="0" fontId="27" fillId="0" borderId="4" xfId="3" applyFont="1" applyBorder="1" applyAlignment="1">
      <alignment horizontal="center" vertical="center"/>
    </xf>
    <xf numFmtId="0" fontId="27" fillId="0" borderId="12" xfId="3" applyFont="1" applyFill="1" applyBorder="1" applyAlignment="1">
      <alignment horizontal="center"/>
    </xf>
    <xf numFmtId="0" fontId="27" fillId="0" borderId="11" xfId="3" applyFont="1" applyBorder="1" applyAlignment="1">
      <alignment horizontal="center"/>
    </xf>
    <xf numFmtId="0" fontId="27" fillId="0" borderId="10" xfId="3" applyFont="1" applyBorder="1" applyAlignment="1">
      <alignment horizontal="center"/>
    </xf>
    <xf numFmtId="0" fontId="27" fillId="0" borderId="12" xfId="3" applyFont="1" applyBorder="1" applyAlignment="1">
      <alignment horizontal="center"/>
    </xf>
    <xf numFmtId="0" fontId="25" fillId="0" borderId="16" xfId="3" applyFont="1" applyBorder="1" applyAlignment="1">
      <alignment horizontal="center"/>
    </xf>
    <xf numFmtId="0" fontId="25" fillId="0" borderId="11" xfId="3" applyFont="1" applyBorder="1" applyAlignment="1">
      <alignment horizontal="center"/>
    </xf>
    <xf numFmtId="0" fontId="17" fillId="0" borderId="10" xfId="3" applyFont="1" applyBorder="1" applyAlignment="1">
      <alignment horizontal="center"/>
    </xf>
    <xf numFmtId="0" fontId="16" fillId="0" borderId="10" xfId="3" applyFont="1" applyBorder="1" applyAlignment="1">
      <alignment horizontal="center" vertical="top"/>
    </xf>
    <xf numFmtId="0" fontId="28" fillId="0" borderId="10" xfId="3" applyFont="1" applyBorder="1" applyAlignment="1">
      <alignment horizontal="center" vertical="top"/>
    </xf>
    <xf numFmtId="0" fontId="16" fillId="0" borderId="10" xfId="3" applyFont="1" applyFill="1" applyBorder="1" applyAlignment="1">
      <alignment horizontal="center" vertical="top"/>
    </xf>
    <xf numFmtId="0" fontId="28" fillId="0" borderId="10" xfId="3" applyFont="1" applyFill="1" applyBorder="1" applyAlignment="1">
      <alignment horizontal="center" vertical="top"/>
    </xf>
    <xf numFmtId="0" fontId="16" fillId="0" borderId="10" xfId="3" applyFont="1" applyBorder="1" applyAlignment="1">
      <alignment horizontal="center"/>
    </xf>
    <xf numFmtId="0" fontId="16" fillId="0" borderId="33" xfId="3" applyFont="1" applyBorder="1" applyAlignment="1">
      <alignment horizontal="center"/>
    </xf>
    <xf numFmtId="0" fontId="17" fillId="0" borderId="4" xfId="3" applyFont="1" applyBorder="1" applyAlignment="1">
      <alignment horizontal="center"/>
    </xf>
    <xf numFmtId="0" fontId="16" fillId="0" borderId="4" xfId="3" applyFont="1" applyBorder="1" applyAlignment="1">
      <alignment horizontal="center"/>
    </xf>
    <xf numFmtId="0" fontId="16" fillId="0" borderId="6" xfId="3" applyFont="1" applyBorder="1" applyAlignment="1">
      <alignment horizontal="center"/>
    </xf>
    <xf numFmtId="0" fontId="16" fillId="0" borderId="0" xfId="3" applyFont="1" applyAlignment="1">
      <alignment horizontal="center"/>
    </xf>
    <xf numFmtId="0" fontId="16" fillId="0" borderId="4" xfId="3" applyFont="1" applyFill="1" applyBorder="1" applyAlignment="1">
      <alignment horizontal="center"/>
    </xf>
    <xf numFmtId="0" fontId="16" fillId="0" borderId="4" xfId="3" applyFont="1" applyBorder="1" applyAlignment="1">
      <alignment horizontal="center" vertical="center"/>
    </xf>
    <xf numFmtId="0" fontId="16" fillId="0" borderId="12" xfId="3" applyFont="1" applyFill="1" applyBorder="1" applyAlignment="1">
      <alignment horizontal="center"/>
    </xf>
    <xf numFmtId="0" fontId="16" fillId="0" borderId="11" xfId="3" applyFont="1" applyBorder="1" applyAlignment="1">
      <alignment horizontal="center"/>
    </xf>
    <xf numFmtId="0" fontId="16" fillId="0" borderId="12" xfId="3" applyFont="1" applyBorder="1" applyAlignment="1">
      <alignment horizontal="center"/>
    </xf>
    <xf numFmtId="49" fontId="16" fillId="0" borderId="10" xfId="0" applyNumberFormat="1" applyFont="1" applyBorder="1" applyAlignment="1">
      <alignment horizontal="center"/>
    </xf>
    <xf numFmtId="49" fontId="16" fillId="0" borderId="16" xfId="0" applyNumberFormat="1" applyFont="1" applyBorder="1" applyAlignment="1">
      <alignment horizontal="center"/>
    </xf>
    <xf numFmtId="0" fontId="17" fillId="0" borderId="16" xfId="3" applyFont="1" applyBorder="1" applyAlignment="1">
      <alignment horizontal="center"/>
    </xf>
    <xf numFmtId="0" fontId="17" fillId="0" borderId="11" xfId="3" applyFont="1" applyBorder="1" applyAlignment="1">
      <alignment horizontal="center"/>
    </xf>
    <xf numFmtId="164" fontId="20" fillId="0" borderId="14" xfId="0" applyNumberFormat="1" applyFont="1" applyBorder="1" applyAlignment="1"/>
    <xf numFmtId="4" fontId="26" fillId="0" borderId="19" xfId="3" applyNumberFormat="1" applyFont="1" applyBorder="1" applyAlignment="1">
      <alignment horizontal="center"/>
    </xf>
    <xf numFmtId="4" fontId="26" fillId="0" borderId="19" xfId="3" applyNumberFormat="1" applyFont="1" applyFill="1" applyBorder="1"/>
    <xf numFmtId="4" fontId="20" fillId="0" borderId="19" xfId="3" applyNumberFormat="1" applyFont="1" applyFill="1" applyBorder="1"/>
    <xf numFmtId="4" fontId="20" fillId="0" borderId="19" xfId="3" applyNumberFormat="1" applyFont="1" applyBorder="1"/>
    <xf numFmtId="4" fontId="20" fillId="0" borderId="20" xfId="3" applyNumberFormat="1" applyFont="1" applyBorder="1"/>
    <xf numFmtId="4" fontId="20" fillId="0" borderId="0" xfId="3" applyNumberFormat="1" applyFont="1"/>
    <xf numFmtId="4" fontId="20" fillId="0" borderId="15" xfId="3" applyNumberFormat="1" applyFont="1" applyBorder="1"/>
    <xf numFmtId="4" fontId="26" fillId="0" borderId="19" xfId="3" applyNumberFormat="1" applyFont="1" applyBorder="1"/>
    <xf numFmtId="49" fontId="27" fillId="0" borderId="4" xfId="0" applyNumberFormat="1" applyFont="1" applyBorder="1" applyAlignment="1">
      <alignment horizontal="center"/>
    </xf>
    <xf numFmtId="49" fontId="27" fillId="0" borderId="12" xfId="0" applyNumberFormat="1" applyFont="1" applyBorder="1" applyAlignment="1">
      <alignment horizontal="center"/>
    </xf>
    <xf numFmtId="0" fontId="1" fillId="0" borderId="4" xfId="3" applyFont="1" applyBorder="1"/>
    <xf numFmtId="3" fontId="1" fillId="0" borderId="10" xfId="12" applyNumberFormat="1" applyBorder="1"/>
    <xf numFmtId="3" fontId="3" fillId="3" borderId="10" xfId="12" applyNumberFormat="1" applyFont="1" applyFill="1" applyBorder="1"/>
    <xf numFmtId="3" fontId="4" fillId="0" borderId="10" xfId="12" applyNumberFormat="1" applyFont="1" applyBorder="1"/>
    <xf numFmtId="3" fontId="3" fillId="0" borderId="10" xfId="12" applyNumberFormat="1" applyFont="1" applyBorder="1"/>
    <xf numFmtId="3" fontId="4" fillId="0" borderId="10" xfId="12" applyNumberFormat="1" applyFont="1" applyFill="1" applyBorder="1"/>
    <xf numFmtId="3" fontId="1" fillId="0" borderId="10" xfId="12" applyNumberFormat="1" applyFill="1" applyBorder="1"/>
    <xf numFmtId="3" fontId="3" fillId="0" borderId="10" xfId="12" applyNumberFormat="1" applyFont="1" applyFill="1" applyBorder="1"/>
    <xf numFmtId="3" fontId="8" fillId="0" borderId="4" xfId="12" applyNumberFormat="1" applyFont="1" applyFill="1" applyBorder="1"/>
    <xf numFmtId="3" fontId="1" fillId="0" borderId="4" xfId="12" applyNumberFormat="1" applyFont="1" applyBorder="1"/>
    <xf numFmtId="3" fontId="4" fillId="7" borderId="4" xfId="12" applyNumberFormat="1" applyFont="1" applyFill="1" applyBorder="1"/>
    <xf numFmtId="3" fontId="1" fillId="0" borderId="4" xfId="12" applyNumberFormat="1" applyFont="1" applyFill="1" applyBorder="1"/>
    <xf numFmtId="3" fontId="1" fillId="0" borderId="4" xfId="12" applyNumberFormat="1" applyBorder="1"/>
    <xf numFmtId="3" fontId="3" fillId="0" borderId="4" xfId="12" applyNumberFormat="1" applyFont="1" applyBorder="1"/>
    <xf numFmtId="3" fontId="4" fillId="0" borderId="4" xfId="12" applyNumberFormat="1" applyFont="1" applyBorder="1"/>
    <xf numFmtId="3" fontId="3" fillId="3" borderId="4" xfId="12" applyNumberFormat="1" applyFont="1" applyFill="1" applyBorder="1"/>
    <xf numFmtId="3" fontId="1" fillId="0" borderId="4" xfId="12" applyNumberFormat="1" applyFill="1" applyBorder="1"/>
    <xf numFmtId="3" fontId="3" fillId="0" borderId="4" xfId="12" applyNumberFormat="1" applyFont="1" applyFill="1" applyBorder="1"/>
    <xf numFmtId="3" fontId="4" fillId="0" borderId="4" xfId="12" applyNumberFormat="1" applyFont="1" applyFill="1" applyBorder="1"/>
    <xf numFmtId="164" fontId="17" fillId="0" borderId="14" xfId="3" applyNumberFormat="1" applyFont="1" applyBorder="1" applyAlignment="1"/>
    <xf numFmtId="164" fontId="3" fillId="0" borderId="0" xfId="3" applyNumberFormat="1" applyFont="1"/>
    <xf numFmtId="0" fontId="5" fillId="0" borderId="0" xfId="3" applyFont="1" applyBorder="1" applyAlignment="1">
      <alignment horizontal="left"/>
    </xf>
    <xf numFmtId="0" fontId="3" fillId="0" borderId="12" xfId="3" applyFont="1" applyFill="1" applyBorder="1" applyAlignment="1">
      <alignment horizontal="center" vertical="center" wrapText="1"/>
    </xf>
    <xf numFmtId="0" fontId="8" fillId="0" borderId="12" xfId="3" applyFont="1" applyFill="1" applyBorder="1" applyAlignment="1">
      <alignment horizontal="center" vertical="center" wrapText="1"/>
    </xf>
    <xf numFmtId="0" fontId="3" fillId="0" borderId="24" xfId="3" applyFont="1" applyBorder="1" applyAlignment="1">
      <alignment horizontal="center" vertical="center" textRotation="90" wrapText="1"/>
    </xf>
    <xf numFmtId="0" fontId="2" fillId="0" borderId="0" xfId="3" applyFill="1" applyAlignment="1">
      <alignment vertical="center"/>
    </xf>
    <xf numFmtId="4" fontId="9" fillId="6" borderId="40" xfId="3" applyNumberFormat="1" applyFont="1" applyFill="1" applyBorder="1" applyAlignment="1">
      <alignment horizontal="left" vertical="center"/>
    </xf>
    <xf numFmtId="3" fontId="4" fillId="0" borderId="10" xfId="12" applyNumberFormat="1" applyFont="1" applyFill="1" applyBorder="1" applyAlignment="1">
      <alignment vertical="center"/>
    </xf>
    <xf numFmtId="0" fontId="12" fillId="6" borderId="12" xfId="3" applyFont="1" applyFill="1" applyBorder="1" applyAlignment="1">
      <alignment horizontal="center" vertical="center" wrapText="1"/>
    </xf>
    <xf numFmtId="0" fontId="12" fillId="6" borderId="4" xfId="3" applyFont="1" applyFill="1" applyBorder="1" applyAlignment="1">
      <alignment horizontal="center"/>
    </xf>
    <xf numFmtId="3" fontId="12" fillId="6" borderId="4" xfId="4" applyNumberFormat="1" applyFont="1" applyFill="1" applyBorder="1"/>
    <xf numFmtId="3" fontId="6" fillId="6" borderId="4" xfId="4" applyNumberFormat="1" applyFont="1" applyFill="1" applyBorder="1"/>
    <xf numFmtId="3" fontId="6" fillId="6" borderId="4" xfId="3" applyNumberFormat="1" applyFont="1" applyFill="1" applyBorder="1"/>
    <xf numFmtId="3" fontId="12" fillId="6" borderId="4" xfId="3" applyNumberFormat="1" applyFont="1" applyFill="1" applyBorder="1"/>
    <xf numFmtId="0" fontId="6" fillId="0" borderId="0" xfId="3" applyFont="1"/>
    <xf numFmtId="3" fontId="6" fillId="0" borderId="0" xfId="3" applyNumberFormat="1" applyFont="1"/>
    <xf numFmtId="0" fontId="6" fillId="6" borderId="6" xfId="3" applyFont="1" applyFill="1" applyBorder="1"/>
    <xf numFmtId="3" fontId="6" fillId="0" borderId="15" xfId="3" applyNumberFormat="1" applyFont="1" applyBorder="1"/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3" fillId="6" borderId="3" xfId="3" applyFont="1" applyFill="1" applyBorder="1" applyAlignment="1">
      <alignment horizontal="center"/>
    </xf>
    <xf numFmtId="0" fontId="3" fillId="6" borderId="10" xfId="3" applyFont="1" applyFill="1" applyBorder="1" applyAlignment="1">
      <alignment horizontal="center"/>
    </xf>
    <xf numFmtId="0" fontId="3" fillId="6" borderId="4" xfId="3" applyFont="1" applyFill="1" applyBorder="1" applyAlignment="1">
      <alignment horizontal="left"/>
    </xf>
    <xf numFmtId="3" fontId="3" fillId="6" borderId="4" xfId="3" applyNumberFormat="1" applyFont="1" applyFill="1" applyBorder="1" applyAlignment="1">
      <alignment horizontal="right"/>
    </xf>
    <xf numFmtId="0" fontId="3" fillId="6" borderId="3" xfId="3" applyFont="1" applyFill="1" applyBorder="1" applyAlignment="1">
      <alignment horizontal="center" vertical="top"/>
    </xf>
    <xf numFmtId="0" fontId="17" fillId="6" borderId="10" xfId="3" applyFont="1" applyFill="1" applyBorder="1" applyAlignment="1">
      <alignment horizontal="center" vertical="top"/>
    </xf>
    <xf numFmtId="0" fontId="3" fillId="6" borderId="4" xfId="3" applyFont="1" applyFill="1" applyBorder="1"/>
    <xf numFmtId="3" fontId="3" fillId="6" borderId="4" xfId="3" applyNumberFormat="1" applyFont="1" applyFill="1" applyBorder="1"/>
    <xf numFmtId="0" fontId="21" fillId="2" borderId="2" xfId="0" applyFont="1" applyFill="1" applyBorder="1" applyAlignment="1">
      <alignment horizontal="center" vertical="center" wrapText="1"/>
    </xf>
    <xf numFmtId="0" fontId="30" fillId="0" borderId="0" xfId="0" applyFont="1"/>
    <xf numFmtId="0" fontId="0" fillId="0" borderId="0" xfId="0"/>
    <xf numFmtId="3" fontId="1" fillId="0" borderId="4" xfId="0" applyNumberFormat="1" applyFont="1" applyFill="1" applyBorder="1" applyAlignment="1"/>
    <xf numFmtId="3" fontId="1" fillId="0" borderId="4" xfId="0" applyNumberFormat="1" applyFont="1" applyFill="1" applyBorder="1" applyAlignment="1">
      <alignment horizontal="right" vertical="center"/>
    </xf>
    <xf numFmtId="3" fontId="1" fillId="0" borderId="21" xfId="0" applyNumberFormat="1" applyFont="1" applyFill="1" applyBorder="1" applyAlignment="1">
      <alignment horizontal="right" vertical="center"/>
    </xf>
    <xf numFmtId="0" fontId="20" fillId="0" borderId="0" xfId="0" applyFont="1"/>
    <xf numFmtId="0" fontId="26" fillId="6" borderId="4" xfId="0" applyFont="1" applyFill="1" applyBorder="1" applyAlignment="1">
      <alignment horizontal="center" vertical="center"/>
    </xf>
    <xf numFmtId="0" fontId="26" fillId="6" borderId="4" xfId="0" applyFont="1" applyFill="1" applyBorder="1" applyAlignment="1">
      <alignment horizontal="center" vertical="center" wrapText="1"/>
    </xf>
    <xf numFmtId="0" fontId="20" fillId="0" borderId="0" xfId="0" applyFont="1" applyBorder="1" applyAlignment="1"/>
    <xf numFmtId="0" fontId="26" fillId="6" borderId="4" xfId="0" applyFont="1" applyFill="1" applyBorder="1" applyAlignment="1"/>
    <xf numFmtId="3" fontId="26" fillId="6" borderId="4" xfId="0" applyNumberFormat="1" applyFont="1" applyFill="1" applyBorder="1" applyAlignment="1"/>
    <xf numFmtId="2" fontId="26" fillId="6" borderId="4" xfId="0" applyNumberFormat="1" applyFont="1" applyFill="1" applyBorder="1" applyAlignment="1"/>
    <xf numFmtId="0" fontId="20" fillId="0" borderId="4" xfId="0" applyFont="1" applyFill="1" applyBorder="1" applyAlignment="1"/>
    <xf numFmtId="0" fontId="32" fillId="0" borderId="4" xfId="0" applyFont="1" applyFill="1" applyBorder="1" applyAlignment="1">
      <alignment horizontal="center"/>
    </xf>
    <xf numFmtId="3" fontId="20" fillId="0" borderId="4" xfId="0" applyNumberFormat="1" applyFont="1" applyFill="1" applyBorder="1" applyAlignment="1"/>
    <xf numFmtId="2" fontId="20" fillId="0" borderId="4" xfId="0" applyNumberFormat="1" applyFont="1" applyFill="1" applyBorder="1" applyAlignment="1">
      <alignment horizontal="right"/>
    </xf>
    <xf numFmtId="0" fontId="20" fillId="0" borderId="4" xfId="0" applyFont="1" applyFill="1" applyBorder="1" applyAlignment="1">
      <alignment horizontal="left" vertical="center"/>
    </xf>
    <xf numFmtId="0" fontId="32" fillId="0" borderId="4" xfId="0" applyFont="1" applyFill="1" applyBorder="1" applyAlignment="1">
      <alignment horizontal="center" vertical="center"/>
    </xf>
    <xf numFmtId="3" fontId="20" fillId="0" borderId="4" xfId="0" applyNumberFormat="1" applyFont="1" applyFill="1" applyBorder="1" applyAlignment="1">
      <alignment horizontal="right" vertical="center"/>
    </xf>
    <xf numFmtId="2" fontId="20" fillId="0" borderId="4" xfId="0" applyNumberFormat="1" applyFont="1" applyFill="1" applyBorder="1" applyAlignment="1">
      <alignment horizontal="right" vertical="center"/>
    </xf>
    <xf numFmtId="0" fontId="26" fillId="4" borderId="4" xfId="0" applyFont="1" applyFill="1" applyBorder="1" applyAlignment="1"/>
    <xf numFmtId="0" fontId="33" fillId="4" borderId="4" xfId="0" applyFont="1" applyFill="1" applyBorder="1" applyAlignment="1">
      <alignment horizontal="center"/>
    </xf>
    <xf numFmtId="3" fontId="26" fillId="4" borderId="4" xfId="0" applyNumberFormat="1" applyFont="1" applyFill="1" applyBorder="1" applyAlignment="1"/>
    <xf numFmtId="2" fontId="26" fillId="4" borderId="4" xfId="0" applyNumberFormat="1" applyFont="1" applyFill="1" applyBorder="1" applyAlignment="1">
      <alignment horizontal="right" vertical="center"/>
    </xf>
    <xf numFmtId="0" fontId="26" fillId="0" borderId="0" xfId="0" applyFont="1"/>
    <xf numFmtId="0" fontId="26" fillId="0" borderId="0" xfId="0" applyFont="1" applyFill="1" applyBorder="1" applyAlignment="1"/>
    <xf numFmtId="0" fontId="26" fillId="0" borderId="0" xfId="0" applyFont="1" applyBorder="1" applyAlignment="1"/>
    <xf numFmtId="0" fontId="20" fillId="0" borderId="21" xfId="0" applyFont="1" applyFill="1" applyBorder="1" applyAlignment="1">
      <alignment horizontal="left" vertical="center"/>
    </xf>
    <xf numFmtId="0" fontId="32" fillId="0" borderId="21" xfId="0" applyFont="1" applyFill="1" applyBorder="1" applyAlignment="1">
      <alignment horizontal="center" vertical="center"/>
    </xf>
    <xf numFmtId="3" fontId="20" fillId="0" borderId="21" xfId="0" applyNumberFormat="1" applyFont="1" applyFill="1" applyBorder="1" applyAlignment="1">
      <alignment horizontal="right" vertical="center"/>
    </xf>
    <xf numFmtId="2" fontId="20" fillId="0" borderId="21" xfId="0" applyNumberFormat="1" applyFont="1" applyFill="1" applyBorder="1" applyAlignment="1">
      <alignment horizontal="right" vertical="center"/>
    </xf>
    <xf numFmtId="0" fontId="26" fillId="4" borderId="21" xfId="0" applyFont="1" applyFill="1" applyBorder="1" applyAlignment="1">
      <alignment horizontal="left" vertical="center"/>
    </xf>
    <xf numFmtId="0" fontId="33" fillId="4" borderId="21" xfId="0" applyFont="1" applyFill="1" applyBorder="1" applyAlignment="1">
      <alignment horizontal="center" vertical="center"/>
    </xf>
    <xf numFmtId="3" fontId="26" fillId="4" borderId="21" xfId="0" applyNumberFormat="1" applyFont="1" applyFill="1" applyBorder="1" applyAlignment="1"/>
    <xf numFmtId="2" fontId="26" fillId="4" borderId="21" xfId="0" applyNumberFormat="1" applyFont="1" applyFill="1" applyBorder="1" applyAlignment="1">
      <alignment horizontal="right" vertical="center"/>
    </xf>
    <xf numFmtId="0" fontId="26" fillId="4" borderId="22" xfId="0" applyFont="1" applyFill="1" applyBorder="1" applyAlignment="1"/>
    <xf numFmtId="0" fontId="33" fillId="4" borderId="22" xfId="0" applyFont="1" applyFill="1" applyBorder="1" applyAlignment="1">
      <alignment horizontal="center"/>
    </xf>
    <xf numFmtId="3" fontId="26" fillId="4" borderId="22" xfId="0" applyNumberFormat="1" applyFont="1" applyFill="1" applyBorder="1" applyAlignment="1"/>
    <xf numFmtId="2" fontId="26" fillId="4" borderId="22" xfId="0" applyNumberFormat="1" applyFont="1" applyFill="1" applyBorder="1" applyAlignment="1">
      <alignment horizontal="right" vertical="center"/>
    </xf>
    <xf numFmtId="3" fontId="26" fillId="4" borderId="21" xfId="0" applyNumberFormat="1" applyFont="1" applyFill="1" applyBorder="1" applyAlignment="1">
      <alignment vertical="center"/>
    </xf>
    <xf numFmtId="0" fontId="26" fillId="4" borderId="4" xfId="0" applyFont="1" applyFill="1" applyBorder="1" applyAlignment="1">
      <alignment wrapText="1"/>
    </xf>
    <xf numFmtId="0" fontId="33" fillId="4" borderId="4" xfId="0" applyFont="1" applyFill="1" applyBorder="1" applyAlignment="1">
      <alignment horizontal="center" wrapText="1"/>
    </xf>
    <xf numFmtId="3" fontId="26" fillId="4" borderId="4" xfId="0" applyNumberFormat="1" applyFont="1" applyFill="1" applyBorder="1" applyAlignment="1">
      <alignment vertical="center"/>
    </xf>
    <xf numFmtId="0" fontId="26" fillId="0" borderId="23" xfId="0" applyFont="1" applyFill="1" applyBorder="1" applyAlignment="1"/>
    <xf numFmtId="0" fontId="33" fillId="0" borderId="23" xfId="0" applyFont="1" applyFill="1" applyBorder="1" applyAlignment="1">
      <alignment horizontal="center"/>
    </xf>
    <xf numFmtId="4" fontId="20" fillId="0" borderId="23" xfId="0" applyNumberFormat="1" applyFont="1" applyFill="1" applyBorder="1" applyAlignment="1"/>
    <xf numFmtId="2" fontId="20" fillId="0" borderId="23" xfId="0" applyNumberFormat="1" applyFont="1" applyFill="1" applyBorder="1" applyAlignment="1">
      <alignment horizontal="right" vertical="center"/>
    </xf>
    <xf numFmtId="3" fontId="20" fillId="0" borderId="0" xfId="0" applyNumberFormat="1" applyFont="1" applyBorder="1" applyAlignment="1"/>
    <xf numFmtId="0" fontId="8" fillId="6" borderId="4" xfId="0" applyFont="1" applyFill="1" applyBorder="1" applyAlignment="1">
      <alignment horizontal="center" vertical="center" wrapText="1"/>
    </xf>
    <xf numFmtId="3" fontId="8" fillId="6" borderId="4" xfId="0" applyNumberFormat="1" applyFont="1" applyFill="1" applyBorder="1" applyAlignment="1"/>
    <xf numFmtId="3" fontId="8" fillId="4" borderId="4" xfId="0" applyNumberFormat="1" applyFont="1" applyFill="1" applyBorder="1" applyAlignment="1"/>
    <xf numFmtId="3" fontId="8" fillId="4" borderId="21" xfId="0" applyNumberFormat="1" applyFont="1" applyFill="1" applyBorder="1" applyAlignment="1"/>
    <xf numFmtId="3" fontId="8" fillId="4" borderId="22" xfId="0" applyNumberFormat="1" applyFont="1" applyFill="1" applyBorder="1" applyAlignment="1"/>
    <xf numFmtId="3" fontId="8" fillId="4" borderId="21" xfId="0" applyNumberFormat="1" applyFont="1" applyFill="1" applyBorder="1" applyAlignment="1">
      <alignment vertical="center"/>
    </xf>
    <xf numFmtId="3" fontId="8" fillId="4" borderId="4" xfId="0" applyNumberFormat="1" applyFont="1" applyFill="1" applyBorder="1" applyAlignment="1">
      <alignment vertical="center"/>
    </xf>
    <xf numFmtId="4" fontId="1" fillId="0" borderId="23" xfId="0" applyNumberFormat="1" applyFont="1" applyFill="1" applyBorder="1" applyAlignment="1"/>
    <xf numFmtId="0" fontId="34" fillId="0" borderId="0" xfId="0" applyFont="1"/>
    <xf numFmtId="0" fontId="35" fillId="0" borderId="4" xfId="0" applyFont="1" applyFill="1" applyBorder="1" applyAlignment="1">
      <alignment horizontal="center"/>
    </xf>
    <xf numFmtId="0" fontId="35" fillId="0" borderId="4" xfId="0" applyFont="1" applyFill="1" applyBorder="1" applyAlignment="1">
      <alignment horizontal="center" wrapText="1"/>
    </xf>
    <xf numFmtId="0" fontId="34" fillId="0" borderId="0" xfId="0" applyFont="1" applyBorder="1" applyAlignment="1"/>
    <xf numFmtId="0" fontId="17" fillId="0" borderId="3" xfId="3" applyFont="1" applyBorder="1" applyAlignment="1">
      <alignment horizontal="center"/>
    </xf>
    <xf numFmtId="0" fontId="17" fillId="0" borderId="8" xfId="3" applyFont="1" applyBorder="1" applyAlignment="1">
      <alignment horizontal="center"/>
    </xf>
    <xf numFmtId="0" fontId="17" fillId="0" borderId="19" xfId="3" applyFont="1" applyBorder="1" applyAlignment="1">
      <alignment horizontal="center"/>
    </xf>
    <xf numFmtId="0" fontId="0" fillId="0" borderId="41" xfId="0" applyBorder="1"/>
    <xf numFmtId="0" fontId="27" fillId="0" borderId="50" xfId="0" applyFont="1" applyBorder="1" applyAlignment="1">
      <alignment horizontal="center"/>
    </xf>
    <xf numFmtId="0" fontId="27" fillId="0" borderId="0" xfId="0" applyFont="1"/>
    <xf numFmtId="0" fontId="27" fillId="0" borderId="42" xfId="0" applyFont="1" applyBorder="1" applyAlignment="1">
      <alignment horizontal="center"/>
    </xf>
    <xf numFmtId="0" fontId="27" fillId="0" borderId="46" xfId="0" applyFont="1" applyBorder="1" applyAlignment="1">
      <alignment horizontal="center"/>
    </xf>
    <xf numFmtId="0" fontId="4" fillId="6" borderId="4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left" vertical="center" wrapText="1"/>
    </xf>
    <xf numFmtId="3" fontId="3" fillId="6" borderId="4" xfId="0" applyNumberFormat="1" applyFont="1" applyFill="1" applyBorder="1" applyAlignment="1">
      <alignment horizontal="right" vertical="center"/>
    </xf>
    <xf numFmtId="4" fontId="3" fillId="6" borderId="4" xfId="0" applyNumberFormat="1" applyFont="1" applyFill="1" applyBorder="1" applyAlignment="1">
      <alignment vertical="center"/>
    </xf>
    <xf numFmtId="49" fontId="3" fillId="6" borderId="4" xfId="0" applyNumberFormat="1" applyFont="1" applyFill="1" applyBorder="1" applyAlignment="1">
      <alignment horizontal="center" vertical="center" wrapText="1"/>
    </xf>
    <xf numFmtId="167" fontId="3" fillId="6" borderId="4" xfId="0" applyNumberFormat="1" applyFont="1" applyFill="1" applyBorder="1" applyAlignment="1">
      <alignment horizontal="left" vertical="center" wrapText="1"/>
    </xf>
    <xf numFmtId="4" fontId="3" fillId="6" borderId="4" xfId="0" applyNumberFormat="1" applyFont="1" applyFill="1" applyBorder="1"/>
    <xf numFmtId="0" fontId="17" fillId="6" borderId="4" xfId="3" applyFont="1" applyFill="1" applyBorder="1" applyAlignment="1">
      <alignment horizontal="center"/>
    </xf>
    <xf numFmtId="0" fontId="17" fillId="0" borderId="0" xfId="3" applyFont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1" fillId="0" borderId="0" xfId="0" applyFont="1"/>
    <xf numFmtId="0" fontId="1" fillId="0" borderId="4" xfId="0" applyFont="1" applyBorder="1"/>
    <xf numFmtId="0" fontId="1" fillId="0" borderId="0" xfId="0" applyFont="1" applyFill="1"/>
    <xf numFmtId="3" fontId="8" fillId="0" borderId="4" xfId="12" applyNumberFormat="1" applyFont="1" applyFill="1" applyBorder="1" applyAlignment="1">
      <alignment horizontal="right"/>
    </xf>
    <xf numFmtId="3" fontId="8" fillId="0" borderId="8" xfId="12" applyNumberFormat="1" applyFont="1" applyFill="1" applyBorder="1"/>
    <xf numFmtId="3" fontId="1" fillId="0" borderId="8" xfId="12" applyNumberFormat="1" applyFont="1" applyFill="1" applyBorder="1"/>
    <xf numFmtId="3" fontId="1" fillId="0" borderId="18" xfId="12" applyNumberFormat="1" applyFont="1" applyFill="1" applyBorder="1"/>
    <xf numFmtId="3" fontId="8" fillId="0" borderId="18" xfId="12" applyNumberFormat="1" applyFont="1" applyFill="1" applyBorder="1"/>
    <xf numFmtId="0" fontId="2" fillId="0" borderId="10" xfId="3" applyBorder="1"/>
    <xf numFmtId="0" fontId="2" fillId="0" borderId="33" xfId="3" applyBorder="1"/>
    <xf numFmtId="3" fontId="3" fillId="0" borderId="18" xfId="3" applyNumberFormat="1" applyFont="1" applyBorder="1"/>
    <xf numFmtId="3" fontId="1" fillId="0" borderId="3" xfId="12" applyNumberFormat="1" applyFill="1" applyBorder="1"/>
    <xf numFmtId="3" fontId="1" fillId="0" borderId="3" xfId="12" applyNumberFormat="1" applyBorder="1"/>
    <xf numFmtId="3" fontId="4" fillId="0" borderId="3" xfId="12" applyNumberFormat="1" applyFont="1" applyBorder="1"/>
    <xf numFmtId="3" fontId="4" fillId="0" borderId="3" xfId="12" applyNumberFormat="1" applyFont="1" applyFill="1" applyBorder="1"/>
    <xf numFmtId="3" fontId="1" fillId="0" borderId="3" xfId="12" applyNumberFormat="1" applyFont="1" applyFill="1" applyBorder="1"/>
    <xf numFmtId="3" fontId="4" fillId="7" borderId="3" xfId="12" applyNumberFormat="1" applyFont="1" applyFill="1" applyBorder="1"/>
    <xf numFmtId="3" fontId="8" fillId="0" borderId="3" xfId="12" applyNumberFormat="1" applyFont="1" applyFill="1" applyBorder="1"/>
    <xf numFmtId="0" fontId="1" fillId="0" borderId="8" xfId="12" applyFont="1" applyFill="1" applyBorder="1"/>
    <xf numFmtId="3" fontId="1" fillId="0" borderId="3" xfId="12" applyNumberFormat="1" applyFont="1" applyBorder="1"/>
    <xf numFmtId="0" fontId="3" fillId="0" borderId="8" xfId="3" applyFont="1" applyBorder="1" applyAlignment="1">
      <alignment horizontal="center"/>
    </xf>
    <xf numFmtId="3" fontId="3" fillId="0" borderId="8" xfId="3" applyNumberFormat="1" applyFont="1" applyBorder="1"/>
    <xf numFmtId="0" fontId="3" fillId="0" borderId="24" xfId="3" applyFont="1" applyFill="1" applyBorder="1" applyAlignment="1">
      <alignment horizontal="center" vertical="center" wrapText="1"/>
    </xf>
    <xf numFmtId="3" fontId="2" fillId="0" borderId="3" xfId="3" applyNumberFormat="1" applyBorder="1"/>
    <xf numFmtId="3" fontId="3" fillId="0" borderId="3" xfId="3" applyNumberFormat="1" applyFont="1" applyBorder="1"/>
    <xf numFmtId="3" fontId="2" fillId="0" borderId="5" xfId="3" applyNumberFormat="1" applyBorder="1"/>
    <xf numFmtId="3" fontId="2" fillId="0" borderId="8" xfId="3" applyNumberFormat="1" applyBorder="1"/>
    <xf numFmtId="0" fontId="8" fillId="0" borderId="24" xfId="3" applyFont="1" applyFill="1" applyBorder="1" applyAlignment="1">
      <alignment horizontal="center" vertical="center" wrapText="1"/>
    </xf>
    <xf numFmtId="3" fontId="3" fillId="7" borderId="4" xfId="12" applyNumberFormat="1" applyFont="1" applyFill="1" applyBorder="1"/>
    <xf numFmtId="3" fontId="1" fillId="7" borderId="4" xfId="12" applyNumberFormat="1" applyFill="1" applyBorder="1"/>
    <xf numFmtId="0" fontId="3" fillId="0" borderId="12" xfId="3" applyFont="1" applyBorder="1" applyAlignment="1">
      <alignment horizontal="center"/>
    </xf>
    <xf numFmtId="3" fontId="3" fillId="0" borderId="4" xfId="12" applyNumberFormat="1" applyFont="1" applyFill="1" applyBorder="1" applyAlignment="1">
      <alignment horizontal="right"/>
    </xf>
    <xf numFmtId="3" fontId="3" fillId="0" borderId="8" xfId="3" applyNumberFormat="1" applyFont="1" applyBorder="1" applyAlignment="1">
      <alignment horizontal="center"/>
    </xf>
    <xf numFmtId="0" fontId="8" fillId="0" borderId="12" xfId="3" applyFont="1" applyFill="1" applyBorder="1" applyAlignment="1" applyProtection="1">
      <alignment horizontal="center" vertical="center" wrapText="1"/>
    </xf>
    <xf numFmtId="0" fontId="17" fillId="0" borderId="4" xfId="3" applyFont="1" applyBorder="1" applyAlignment="1" applyProtection="1">
      <alignment horizontal="center"/>
    </xf>
    <xf numFmtId="3" fontId="3" fillId="0" borderId="4" xfId="3" applyNumberFormat="1" applyFont="1" applyBorder="1" applyAlignment="1" applyProtection="1">
      <alignment horizontal="center"/>
    </xf>
    <xf numFmtId="3" fontId="3" fillId="0" borderId="4" xfId="3" applyNumberFormat="1" applyFont="1" applyBorder="1" applyProtection="1"/>
    <xf numFmtId="3" fontId="2" fillId="0" borderId="4" xfId="3" applyNumberFormat="1" applyBorder="1" applyProtection="1"/>
    <xf numFmtId="3" fontId="2" fillId="0" borderId="6" xfId="3" applyNumberFormat="1" applyBorder="1" applyProtection="1"/>
    <xf numFmtId="0" fontId="8" fillId="0" borderId="24" xfId="3" applyFont="1" applyFill="1" applyBorder="1" applyAlignment="1" applyProtection="1">
      <alignment horizontal="center" vertical="center" wrapText="1"/>
    </xf>
    <xf numFmtId="0" fontId="17" fillId="0" borderId="3" xfId="3" applyFont="1" applyBorder="1" applyAlignment="1" applyProtection="1">
      <alignment horizontal="center"/>
    </xf>
    <xf numFmtId="3" fontId="3" fillId="0" borderId="3" xfId="3" applyNumberFormat="1" applyFont="1" applyBorder="1" applyAlignment="1" applyProtection="1">
      <alignment horizontal="center"/>
    </xf>
    <xf numFmtId="3" fontId="3" fillId="0" borderId="3" xfId="3" applyNumberFormat="1" applyFont="1" applyBorder="1" applyProtection="1"/>
    <xf numFmtId="3" fontId="2" fillId="0" borderId="3" xfId="3" applyNumberFormat="1" applyBorder="1" applyProtection="1"/>
    <xf numFmtId="3" fontId="2" fillId="0" borderId="5" xfId="3" applyNumberFormat="1" applyBorder="1" applyProtection="1"/>
    <xf numFmtId="3" fontId="3" fillId="0" borderId="3" xfId="3" applyNumberFormat="1" applyFont="1" applyBorder="1" applyAlignment="1">
      <alignment horizontal="center"/>
    </xf>
    <xf numFmtId="0" fontId="8" fillId="0" borderId="3" xfId="3" applyFont="1" applyFill="1" applyBorder="1" applyAlignment="1">
      <alignment horizontal="center" vertical="center" wrapText="1"/>
    </xf>
    <xf numFmtId="0" fontId="8" fillId="0" borderId="4" xfId="3" applyFont="1" applyFill="1" applyBorder="1" applyAlignment="1">
      <alignment horizontal="center" vertical="center" wrapText="1"/>
    </xf>
    <xf numFmtId="3" fontId="3" fillId="0" borderId="4" xfId="12" applyNumberFormat="1" applyFont="1" applyBorder="1" applyAlignment="1">
      <alignment horizontal="right"/>
    </xf>
    <xf numFmtId="0" fontId="1" fillId="0" borderId="4" xfId="12" applyBorder="1"/>
    <xf numFmtId="3" fontId="4" fillId="0" borderId="4" xfId="12" applyNumberFormat="1" applyFont="1" applyFill="1" applyBorder="1" applyAlignment="1">
      <alignment vertical="center"/>
    </xf>
    <xf numFmtId="3" fontId="3" fillId="0" borderId="5" xfId="3" applyNumberFormat="1" applyFont="1" applyBorder="1"/>
    <xf numFmtId="3" fontId="2" fillId="0" borderId="18" xfId="3" applyNumberFormat="1" applyBorder="1"/>
    <xf numFmtId="0" fontId="1" fillId="0" borderId="0" xfId="3" applyFont="1" applyAlignment="1">
      <alignment horizontal="center"/>
    </xf>
    <xf numFmtId="0" fontId="0" fillId="0" borderId="14" xfId="0" applyBorder="1" applyAlignment="1"/>
    <xf numFmtId="0" fontId="1" fillId="0" borderId="0" xfId="3" applyFont="1"/>
    <xf numFmtId="0" fontId="3" fillId="0" borderId="14" xfId="3" applyFont="1" applyBorder="1" applyAlignment="1">
      <alignment horizontal="right"/>
    </xf>
    <xf numFmtId="0" fontId="37" fillId="0" borderId="0" xfId="3" applyFont="1" applyFill="1" applyAlignment="1">
      <alignment vertical="center"/>
    </xf>
    <xf numFmtId="3" fontId="2" fillId="0" borderId="0" xfId="3" applyNumberFormat="1" applyFill="1"/>
    <xf numFmtId="0" fontId="27" fillId="0" borderId="56" xfId="0" applyFont="1" applyBorder="1" applyAlignment="1">
      <alignment horizontal="center"/>
    </xf>
    <xf numFmtId="0" fontId="0" fillId="0" borderId="0" xfId="0"/>
    <xf numFmtId="0" fontId="27" fillId="0" borderId="0" xfId="0" applyFont="1" applyBorder="1"/>
    <xf numFmtId="0" fontId="27" fillId="0" borderId="0" xfId="0" applyFont="1" applyBorder="1" applyAlignment="1">
      <alignment horizontal="left"/>
    </xf>
    <xf numFmtId="3" fontId="8" fillId="0" borderId="4" xfId="3" applyNumberFormat="1" applyFont="1" applyBorder="1"/>
    <xf numFmtId="0" fontId="2" fillId="0" borderId="12" xfId="3" applyBorder="1"/>
    <xf numFmtId="0" fontId="2" fillId="0" borderId="11" xfId="3" applyBorder="1"/>
    <xf numFmtId="0" fontId="2" fillId="0" borderId="26" xfId="3" applyBorder="1"/>
    <xf numFmtId="0" fontId="2" fillId="0" borderId="16" xfId="3" applyBorder="1"/>
    <xf numFmtId="0" fontId="3" fillId="0" borderId="11" xfId="3" applyFont="1" applyBorder="1"/>
    <xf numFmtId="49" fontId="25" fillId="0" borderId="4" xfId="3" applyNumberFormat="1" applyFont="1" applyBorder="1" applyAlignment="1">
      <alignment horizontal="center"/>
    </xf>
    <xf numFmtId="49" fontId="25" fillId="0" borderId="4" xfId="3" applyNumberFormat="1" applyFont="1" applyFill="1" applyBorder="1" applyAlignment="1">
      <alignment horizontal="center"/>
    </xf>
    <xf numFmtId="49" fontId="25" fillId="0" borderId="4" xfId="3" applyNumberFormat="1" applyFont="1" applyBorder="1"/>
    <xf numFmtId="49" fontId="27" fillId="0" borderId="8" xfId="3" applyNumberFormat="1" applyFont="1" applyBorder="1" applyAlignment="1">
      <alignment vertical="center"/>
    </xf>
    <xf numFmtId="49" fontId="27" fillId="0" borderId="12" xfId="3" applyNumberFormat="1" applyFont="1" applyBorder="1"/>
    <xf numFmtId="49" fontId="27" fillId="0" borderId="4" xfId="3" applyNumberFormat="1" applyFont="1" applyBorder="1"/>
    <xf numFmtId="49" fontId="27" fillId="0" borderId="4" xfId="3" applyNumberFormat="1" applyFont="1" applyBorder="1" applyAlignment="1">
      <alignment vertical="center" wrapText="1"/>
    </xf>
    <xf numFmtId="49" fontId="16" fillId="0" borderId="10" xfId="0" applyNumberFormat="1" applyFont="1" applyFill="1" applyBorder="1" applyAlignment="1">
      <alignment horizontal="center"/>
    </xf>
    <xf numFmtId="0" fontId="27" fillId="0" borderId="43" xfId="0" applyFont="1" applyBorder="1" applyAlignment="1">
      <alignment horizontal="left"/>
    </xf>
    <xf numFmtId="0" fontId="27" fillId="0" borderId="44" xfId="0" applyFont="1" applyBorder="1" applyAlignment="1">
      <alignment horizontal="left"/>
    </xf>
    <xf numFmtId="0" fontId="27" fillId="0" borderId="45" xfId="0" applyFont="1" applyBorder="1" applyAlignment="1">
      <alignment horizontal="left"/>
    </xf>
    <xf numFmtId="0" fontId="3" fillId="0" borderId="8" xfId="3" applyFont="1" applyBorder="1" applyAlignment="1">
      <alignment horizontal="left"/>
    </xf>
    <xf numFmtId="0" fontId="4" fillId="0" borderId="8" xfId="3" applyFont="1" applyBorder="1" applyAlignment="1">
      <alignment horizontal="left"/>
    </xf>
    <xf numFmtId="0" fontId="2" fillId="0" borderId="8" xfId="3" applyFont="1" applyBorder="1"/>
    <xf numFmtId="0" fontId="1" fillId="0" borderId="8" xfId="3" applyFont="1" applyBorder="1"/>
    <xf numFmtId="0" fontId="4" fillId="0" borderId="8" xfId="3" applyFont="1" applyBorder="1"/>
    <xf numFmtId="0" fontId="2" fillId="0" borderId="8" xfId="3" applyFill="1" applyBorder="1"/>
    <xf numFmtId="0" fontId="4" fillId="0" borderId="8" xfId="3" applyFont="1" applyFill="1" applyBorder="1"/>
    <xf numFmtId="0" fontId="4" fillId="0" borderId="8" xfId="3" applyFont="1" applyFill="1" applyBorder="1" applyAlignment="1">
      <alignment vertical="center" wrapText="1"/>
    </xf>
    <xf numFmtId="0" fontId="2" fillId="0" borderId="8" xfId="3" applyFont="1" applyFill="1" applyBorder="1"/>
    <xf numFmtId="0" fontId="10" fillId="0" borderId="8" xfId="3" applyFont="1" applyBorder="1"/>
    <xf numFmtId="0" fontId="0" fillId="0" borderId="25" xfId="0" applyBorder="1" applyAlignment="1">
      <alignment wrapText="1"/>
    </xf>
    <xf numFmtId="3" fontId="1" fillId="0" borderId="3" xfId="12" applyNumberFormat="1" applyFill="1" applyBorder="1" applyProtection="1"/>
    <xf numFmtId="0" fontId="1" fillId="0" borderId="8" xfId="3" applyFont="1" applyFill="1" applyBorder="1"/>
    <xf numFmtId="3" fontId="3" fillId="0" borderId="4" xfId="12" applyNumberFormat="1" applyFont="1" applyFill="1" applyBorder="1" applyProtection="1"/>
    <xf numFmtId="3" fontId="4" fillId="0" borderId="4" xfId="12" applyNumberFormat="1" applyFont="1" applyFill="1" applyBorder="1" applyProtection="1"/>
    <xf numFmtId="3" fontId="1" fillId="0" borderId="4" xfId="12" applyNumberFormat="1" applyFill="1" applyBorder="1" applyProtection="1"/>
    <xf numFmtId="3" fontId="4" fillId="0" borderId="4" xfId="12" applyNumberFormat="1" applyFont="1" applyBorder="1" applyProtection="1"/>
    <xf numFmtId="3" fontId="3" fillId="3" borderId="4" xfId="12" applyNumberFormat="1" applyFont="1" applyFill="1" applyBorder="1" applyProtection="1"/>
    <xf numFmtId="3" fontId="1" fillId="0" borderId="4" xfId="12" applyNumberFormat="1" applyFont="1" applyFill="1" applyBorder="1" applyProtection="1"/>
    <xf numFmtId="3" fontId="3" fillId="0" borderId="4" xfId="12" applyNumberFormat="1" applyFont="1" applyBorder="1" applyProtection="1"/>
    <xf numFmtId="3" fontId="3" fillId="0" borderId="4" xfId="12" applyNumberFormat="1" applyFont="1" applyFill="1" applyBorder="1" applyAlignment="1" applyProtection="1">
      <alignment horizontal="right"/>
    </xf>
    <xf numFmtId="0" fontId="1" fillId="0" borderId="0" xfId="12"/>
    <xf numFmtId="0" fontId="1" fillId="0" borderId="3" xfId="12" applyBorder="1"/>
    <xf numFmtId="0" fontId="27" fillId="0" borderId="4" xfId="12" applyFont="1" applyBorder="1" applyAlignment="1">
      <alignment horizontal="center"/>
    </xf>
    <xf numFmtId="0" fontId="16" fillId="0" borderId="4" xfId="12" applyFont="1" applyFill="1" applyBorder="1" applyAlignment="1">
      <alignment horizontal="center"/>
    </xf>
    <xf numFmtId="3" fontId="6" fillId="6" borderId="18" xfId="12" applyNumberFormat="1" applyFont="1" applyFill="1" applyBorder="1" applyProtection="1"/>
    <xf numFmtId="0" fontId="0" fillId="0" borderId="8" xfId="0" applyFill="1" applyBorder="1"/>
    <xf numFmtId="0" fontId="2" fillId="0" borderId="25" xfId="0" applyFont="1" applyBorder="1" applyAlignment="1">
      <alignment wrapText="1"/>
    </xf>
    <xf numFmtId="0" fontId="1" fillId="0" borderId="4" xfId="12" applyFont="1" applyBorder="1"/>
    <xf numFmtId="0" fontId="1" fillId="0" borderId="8" xfId="3" applyFont="1" applyBorder="1" applyAlignment="1">
      <alignment wrapText="1"/>
    </xf>
    <xf numFmtId="0" fontId="2" fillId="0" borderId="25" xfId="3" applyFill="1" applyBorder="1"/>
    <xf numFmtId="0" fontId="2" fillId="0" borderId="26" xfId="3" applyFont="1" applyBorder="1"/>
    <xf numFmtId="0" fontId="0" fillId="0" borderId="8" xfId="0" applyBorder="1"/>
    <xf numFmtId="0" fontId="23" fillId="0" borderId="3" xfId="12" applyFont="1" applyBorder="1" applyAlignment="1">
      <alignment horizontal="right" vertical="top"/>
    </xf>
    <xf numFmtId="0" fontId="28" fillId="0" borderId="10" xfId="12" applyFont="1" applyFill="1" applyBorder="1" applyAlignment="1">
      <alignment horizontal="center" vertical="top"/>
    </xf>
    <xf numFmtId="0" fontId="23" fillId="0" borderId="0" xfId="0" applyFont="1"/>
    <xf numFmtId="0" fontId="23" fillId="0" borderId="0" xfId="0" applyFont="1" applyFill="1"/>
    <xf numFmtId="3" fontId="23" fillId="0" borderId="0" xfId="0" applyNumberFormat="1" applyFont="1" applyFill="1"/>
    <xf numFmtId="3" fontId="30" fillId="0" borderId="0" xfId="0" applyNumberFormat="1" applyFont="1"/>
    <xf numFmtId="3" fontId="40" fillId="0" borderId="0" xfId="0" applyNumberFormat="1" applyFont="1"/>
    <xf numFmtId="4" fontId="20" fillId="0" borderId="0" xfId="3" applyNumberFormat="1" applyFont="1" applyFill="1"/>
    <xf numFmtId="0" fontId="8" fillId="0" borderId="0" xfId="3" applyFont="1"/>
    <xf numFmtId="0" fontId="8" fillId="0" borderId="7" xfId="3" applyFont="1" applyBorder="1"/>
    <xf numFmtId="3" fontId="1" fillId="0" borderId="0" xfId="3" applyNumberFormat="1" applyFont="1"/>
    <xf numFmtId="0" fontId="27" fillId="0" borderId="4" xfId="3" applyFont="1" applyFill="1" applyBorder="1" applyAlignment="1">
      <alignment horizontal="center" vertical="center"/>
    </xf>
    <xf numFmtId="0" fontId="0" fillId="0" borderId="0" xfId="0"/>
    <xf numFmtId="0" fontId="0" fillId="0" borderId="0" xfId="0" applyAlignment="1">
      <alignment horizontal="center"/>
    </xf>
    <xf numFmtId="3" fontId="8" fillId="0" borderId="0" xfId="0" applyNumberFormat="1" applyFont="1"/>
    <xf numFmtId="0" fontId="8" fillId="0" borderId="8" xfId="12" applyFont="1" applyFill="1" applyBorder="1" applyAlignment="1">
      <alignment horizontal="right"/>
    </xf>
    <xf numFmtId="0" fontId="6" fillId="0" borderId="0" xfId="12" applyFont="1" applyAlignment="1">
      <alignment horizontal="left"/>
    </xf>
    <xf numFmtId="3" fontId="1" fillId="0" borderId="0" xfId="12" applyNumberFormat="1"/>
    <xf numFmtId="4" fontId="1" fillId="0" borderId="0" xfId="12" applyNumberFormat="1"/>
    <xf numFmtId="0" fontId="1" fillId="0" borderId="0" xfId="12" applyFont="1" applyAlignment="1">
      <alignment horizontal="left"/>
    </xf>
    <xf numFmtId="0" fontId="7" fillId="0" borderId="0" xfId="12" applyFont="1" applyAlignment="1">
      <alignment horizontal="left"/>
    </xf>
    <xf numFmtId="4" fontId="7" fillId="0" borderId="0" xfId="12" applyNumberFormat="1" applyFont="1" applyAlignment="1">
      <alignment horizontal="left"/>
    </xf>
    <xf numFmtId="0" fontId="0" fillId="0" borderId="0" xfId="0"/>
    <xf numFmtId="3" fontId="3" fillId="0" borderId="3" xfId="12" applyNumberFormat="1" applyFont="1" applyFill="1" applyBorder="1"/>
    <xf numFmtId="3" fontId="3" fillId="3" borderId="3" xfId="12" applyNumberFormat="1" applyFont="1" applyFill="1" applyBorder="1"/>
    <xf numFmtId="3" fontId="3" fillId="0" borderId="3" xfId="12" applyNumberFormat="1" applyFont="1" applyBorder="1"/>
    <xf numFmtId="3" fontId="3" fillId="0" borderId="3" xfId="12" applyNumberFormat="1" applyFont="1" applyFill="1" applyBorder="1" applyAlignment="1">
      <alignment horizontal="right"/>
    </xf>
    <xf numFmtId="3" fontId="3" fillId="0" borderId="10" xfId="12" applyNumberFormat="1" applyFont="1" applyFill="1" applyBorder="1" applyAlignment="1">
      <alignment horizontal="right"/>
    </xf>
    <xf numFmtId="3" fontId="1" fillId="0" borderId="10" xfId="12" applyNumberFormat="1" applyFont="1" applyFill="1" applyBorder="1"/>
    <xf numFmtId="3" fontId="3" fillId="7" borderId="3" xfId="12" applyNumberFormat="1" applyFont="1" applyFill="1" applyBorder="1"/>
    <xf numFmtId="3" fontId="1" fillId="7" borderId="3" xfId="12" applyNumberFormat="1" applyFill="1" applyBorder="1"/>
    <xf numFmtId="3" fontId="3" fillId="0" borderId="3" xfId="12" applyNumberFormat="1" applyFont="1" applyFill="1" applyBorder="1" applyProtection="1"/>
    <xf numFmtId="3" fontId="4" fillId="0" borderId="3" xfId="12" applyNumberFormat="1" applyFont="1" applyFill="1" applyBorder="1" applyProtection="1"/>
    <xf numFmtId="3" fontId="4" fillId="0" borderId="3" xfId="12" applyNumberFormat="1" applyFont="1" applyBorder="1" applyProtection="1"/>
    <xf numFmtId="3" fontId="3" fillId="3" borderId="3" xfId="12" applyNumberFormat="1" applyFont="1" applyFill="1" applyBorder="1" applyProtection="1"/>
    <xf numFmtId="3" fontId="1" fillId="0" borderId="3" xfId="12" applyNumberFormat="1" applyFont="1" applyFill="1" applyBorder="1" applyProtection="1"/>
    <xf numFmtId="3" fontId="3" fillId="0" borderId="3" xfId="12" applyNumberFormat="1" applyFont="1" applyBorder="1" applyProtection="1"/>
    <xf numFmtId="3" fontId="3" fillId="0" borderId="3" xfId="12" applyNumberFormat="1" applyFont="1" applyFill="1" applyBorder="1" applyAlignment="1" applyProtection="1">
      <alignment horizontal="right"/>
    </xf>
    <xf numFmtId="3" fontId="3" fillId="0" borderId="4" xfId="12" applyNumberFormat="1" applyFont="1" applyBorder="1" applyAlignment="1" applyProtection="1">
      <alignment horizontal="right"/>
    </xf>
    <xf numFmtId="3" fontId="3" fillId="0" borderId="3" xfId="12" applyNumberFormat="1" applyFont="1" applyBorder="1" applyAlignment="1">
      <alignment horizontal="right"/>
    </xf>
    <xf numFmtId="0" fontId="3" fillId="0" borderId="4" xfId="12" applyFont="1" applyFill="1" applyBorder="1" applyAlignment="1">
      <alignment horizontal="right"/>
    </xf>
    <xf numFmtId="3" fontId="4" fillId="0" borderId="3" xfId="12" applyNumberFormat="1" applyFont="1" applyFill="1" applyBorder="1" applyAlignment="1">
      <alignment vertical="center"/>
    </xf>
    <xf numFmtId="3" fontId="3" fillId="0" borderId="30" xfId="12" applyNumberFormat="1" applyFont="1" applyFill="1" applyBorder="1"/>
    <xf numFmtId="0" fontId="17" fillId="0" borderId="18" xfId="3" applyFont="1" applyBorder="1" applyAlignment="1">
      <alignment horizontal="center"/>
    </xf>
    <xf numFmtId="0" fontId="3" fillId="0" borderId="18" xfId="3" applyFont="1" applyBorder="1" applyAlignment="1">
      <alignment horizontal="center"/>
    </xf>
    <xf numFmtId="3" fontId="3" fillId="0" borderId="18" xfId="12" applyNumberFormat="1" applyFont="1" applyFill="1" applyBorder="1" applyAlignment="1">
      <alignment horizontal="right"/>
    </xf>
    <xf numFmtId="3" fontId="1" fillId="0" borderId="18" xfId="12" applyNumberFormat="1" applyFill="1" applyBorder="1"/>
    <xf numFmtId="3" fontId="3" fillId="0" borderId="18" xfId="12" applyNumberFormat="1" applyFont="1" applyFill="1" applyBorder="1"/>
    <xf numFmtId="3" fontId="4" fillId="0" borderId="18" xfId="12" applyNumberFormat="1" applyFont="1" applyFill="1" applyBorder="1"/>
    <xf numFmtId="3" fontId="4" fillId="0" borderId="18" xfId="12" applyNumberFormat="1" applyFont="1" applyFill="1" applyBorder="1" applyAlignment="1">
      <alignment vertical="center"/>
    </xf>
    <xf numFmtId="3" fontId="3" fillId="0" borderId="18" xfId="12" applyNumberFormat="1" applyFont="1" applyBorder="1"/>
    <xf numFmtId="0" fontId="2" fillId="0" borderId="18" xfId="3" applyBorder="1"/>
    <xf numFmtId="0" fontId="2" fillId="0" borderId="29" xfId="3" applyBorder="1"/>
    <xf numFmtId="0" fontId="22" fillId="0" borderId="26" xfId="12" applyFont="1" applyFill="1" applyBorder="1" applyAlignment="1">
      <alignment horizontal="center" vertical="center" wrapText="1"/>
    </xf>
    <xf numFmtId="0" fontId="0" fillId="0" borderId="0" xfId="0"/>
    <xf numFmtId="6" fontId="2" fillId="0" borderId="0" xfId="3" applyNumberFormat="1"/>
    <xf numFmtId="0" fontId="27" fillId="0" borderId="42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22" fillId="0" borderId="24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/>
    </xf>
    <xf numFmtId="3" fontId="1" fillId="0" borderId="18" xfId="12" applyNumberFormat="1" applyBorder="1"/>
    <xf numFmtId="3" fontId="8" fillId="0" borderId="18" xfId="3" applyNumberFormat="1" applyFont="1" applyBorder="1"/>
    <xf numFmtId="4" fontId="1" fillId="0" borderId="0" xfId="13" applyNumberFormat="1" applyFont="1" applyFill="1"/>
    <xf numFmtId="4" fontId="0" fillId="0" borderId="0" xfId="0" applyNumberFormat="1" applyFill="1"/>
    <xf numFmtId="43" fontId="0" fillId="0" borderId="0" xfId="0" applyNumberFormat="1" applyFill="1"/>
    <xf numFmtId="4" fontId="6" fillId="0" borderId="0" xfId="0" applyNumberFormat="1" applyFont="1" applyFill="1"/>
    <xf numFmtId="4" fontId="1" fillId="0" borderId="0" xfId="0" applyNumberFormat="1" applyFont="1" applyFill="1"/>
    <xf numFmtId="4" fontId="24" fillId="0" borderId="0" xfId="2" applyNumberFormat="1" applyFont="1" applyFill="1"/>
    <xf numFmtId="4" fontId="23" fillId="0" borderId="0" xfId="0" applyNumberFormat="1" applyFont="1" applyFill="1"/>
    <xf numFmtId="4" fontId="39" fillId="0" borderId="0" xfId="2" applyNumberFormat="1" applyFont="1" applyFill="1"/>
    <xf numFmtId="0" fontId="0" fillId="0" borderId="0" xfId="0"/>
    <xf numFmtId="0" fontId="27" fillId="0" borderId="47" xfId="0" applyFont="1" applyBorder="1" applyAlignment="1">
      <alignment horizontal="left"/>
    </xf>
    <xf numFmtId="0" fontId="27" fillId="0" borderId="48" xfId="0" applyFont="1" applyBorder="1" applyAlignment="1">
      <alignment horizontal="left"/>
    </xf>
    <xf numFmtId="0" fontId="27" fillId="0" borderId="49" xfId="0" applyFont="1" applyBorder="1" applyAlignment="1">
      <alignment horizontal="left"/>
    </xf>
    <xf numFmtId="0" fontId="27" fillId="0" borderId="43" xfId="0" applyFont="1" applyBorder="1" applyAlignment="1">
      <alignment horizontal="left"/>
    </xf>
    <xf numFmtId="0" fontId="27" fillId="0" borderId="44" xfId="0" applyFont="1" applyBorder="1" applyAlignment="1">
      <alignment horizontal="left"/>
    </xf>
    <xf numFmtId="0" fontId="27" fillId="0" borderId="45" xfId="0" applyFont="1" applyBorder="1" applyAlignment="1">
      <alignment horizontal="left"/>
    </xf>
    <xf numFmtId="0" fontId="27" fillId="0" borderId="57" xfId="0" applyFont="1" applyBorder="1" applyAlignment="1">
      <alignment horizontal="left"/>
    </xf>
    <xf numFmtId="0" fontId="27" fillId="0" borderId="58" xfId="0" applyFont="1" applyBorder="1" applyAlignment="1">
      <alignment horizontal="left"/>
    </xf>
    <xf numFmtId="0" fontId="27" fillId="0" borderId="59" xfId="0" applyFont="1" applyBorder="1" applyAlignment="1">
      <alignment horizontal="left"/>
    </xf>
    <xf numFmtId="0" fontId="3" fillId="0" borderId="14" xfId="3" applyFont="1" applyBorder="1" applyAlignment="1">
      <alignment horizontal="right"/>
    </xf>
    <xf numFmtId="0" fontId="0" fillId="0" borderId="0" xfId="0"/>
    <xf numFmtId="0" fontId="1" fillId="0" borderId="8" xfId="3" applyFont="1" applyFill="1" applyBorder="1" applyAlignment="1">
      <alignment wrapText="1"/>
    </xf>
    <xf numFmtId="0" fontId="0" fillId="0" borderId="25" xfId="0" applyFill="1" applyBorder="1"/>
    <xf numFmtId="0" fontId="1" fillId="0" borderId="8" xfId="0" applyFont="1" applyFill="1" applyBorder="1" applyAlignment="1">
      <alignment vertical="center" wrapText="1"/>
    </xf>
    <xf numFmtId="0" fontId="0" fillId="0" borderId="8" xfId="0" applyFill="1" applyBorder="1" applyAlignment="1">
      <alignment vertical="center" wrapText="1"/>
    </xf>
    <xf numFmtId="0" fontId="1" fillId="0" borderId="8" xfId="0" applyFont="1" applyFill="1" applyBorder="1"/>
    <xf numFmtId="0" fontId="2" fillId="0" borderId="3" xfId="3" applyFill="1" applyBorder="1"/>
    <xf numFmtId="0" fontId="6" fillId="0" borderId="0" xfId="3" applyFont="1" applyFill="1"/>
    <xf numFmtId="3" fontId="3" fillId="6" borderId="18" xfId="3" applyNumberFormat="1" applyFont="1" applyFill="1" applyBorder="1" applyAlignment="1">
      <alignment horizontal="right"/>
    </xf>
    <xf numFmtId="3" fontId="3" fillId="0" borderId="18" xfId="3" applyNumberFormat="1" applyFont="1" applyBorder="1" applyAlignment="1">
      <alignment horizontal="right"/>
    </xf>
    <xf numFmtId="3" fontId="4" fillId="0" borderId="18" xfId="3" applyNumberFormat="1" applyFont="1" applyBorder="1" applyAlignment="1">
      <alignment horizontal="right"/>
    </xf>
    <xf numFmtId="3" fontId="3" fillId="0" borderId="18" xfId="3" applyNumberFormat="1" applyFont="1" applyFill="1" applyBorder="1" applyAlignment="1">
      <alignment horizontal="right"/>
    </xf>
    <xf numFmtId="3" fontId="3" fillId="6" borderId="18" xfId="3" applyNumberFormat="1" applyFont="1" applyFill="1" applyBorder="1"/>
    <xf numFmtId="3" fontId="4" fillId="0" borderId="18" xfId="3" applyNumberFormat="1" applyFont="1" applyBorder="1"/>
    <xf numFmtId="3" fontId="23" fillId="0" borderId="18" xfId="3" applyNumberFormat="1" applyFont="1" applyBorder="1"/>
    <xf numFmtId="3" fontId="2" fillId="0" borderId="18" xfId="3" applyNumberFormat="1" applyFill="1" applyBorder="1"/>
    <xf numFmtId="0" fontId="41" fillId="0" borderId="10" xfId="3" applyFont="1" applyBorder="1" applyAlignment="1">
      <alignment horizontal="center" vertical="top"/>
    </xf>
    <xf numFmtId="0" fontId="23" fillId="0" borderId="3" xfId="3" applyFont="1" applyBorder="1" applyAlignment="1">
      <alignment horizontal="right" vertical="center"/>
    </xf>
    <xf numFmtId="0" fontId="27" fillId="0" borderId="43" xfId="0" applyFont="1" applyBorder="1" applyAlignment="1">
      <alignment horizontal="left"/>
    </xf>
    <xf numFmtId="49" fontId="27" fillId="0" borderId="4" xfId="3" applyNumberFormat="1" applyFont="1" applyBorder="1" applyAlignment="1">
      <alignment vertical="center"/>
    </xf>
    <xf numFmtId="0" fontId="16" fillId="0" borderId="4" xfId="3" applyFont="1" applyFill="1" applyBorder="1" applyAlignment="1">
      <alignment horizontal="center" vertical="center"/>
    </xf>
    <xf numFmtId="0" fontId="41" fillId="0" borderId="10" xfId="3" applyFont="1" applyFill="1" applyBorder="1" applyAlignment="1">
      <alignment horizontal="center" vertical="center"/>
    </xf>
    <xf numFmtId="3" fontId="23" fillId="0" borderId="4" xfId="3" applyNumberFormat="1" applyFont="1" applyBorder="1" applyAlignment="1">
      <alignment vertical="center"/>
    </xf>
    <xf numFmtId="3" fontId="23" fillId="0" borderId="18" xfId="3" applyNumberFormat="1" applyFont="1" applyBorder="1" applyAlignment="1">
      <alignment vertical="center"/>
    </xf>
    <xf numFmtId="49" fontId="23" fillId="0" borderId="3" xfId="0" applyNumberFormat="1" applyFont="1" applyBorder="1" applyAlignment="1">
      <alignment horizontal="right" vertical="center"/>
    </xf>
    <xf numFmtId="49" fontId="28" fillId="0" borderId="10" xfId="0" applyNumberFormat="1" applyFont="1" applyFill="1" applyBorder="1" applyAlignment="1">
      <alignment horizontal="center" vertical="center"/>
    </xf>
    <xf numFmtId="0" fontId="2" fillId="0" borderId="3" xfId="3" applyFont="1" applyBorder="1" applyAlignment="1">
      <alignment horizontal="center" vertical="center"/>
    </xf>
    <xf numFmtId="0" fontId="16" fillId="0" borderId="10" xfId="3" applyFont="1" applyBorder="1" applyAlignment="1">
      <alignment horizontal="center" vertical="center"/>
    </xf>
    <xf numFmtId="0" fontId="28" fillId="0" borderId="10" xfId="3" applyFont="1" applyBorder="1" applyAlignment="1">
      <alignment horizontal="center" vertical="center"/>
    </xf>
    <xf numFmtId="0" fontId="28" fillId="0" borderId="16" xfId="3" applyFont="1" applyFill="1" applyBorder="1" applyAlignment="1">
      <alignment horizontal="center" vertical="center"/>
    </xf>
    <xf numFmtId="49" fontId="28" fillId="0" borderId="10" xfId="0" applyNumberFormat="1" applyFont="1" applyBorder="1" applyAlignment="1">
      <alignment horizontal="center" vertical="center"/>
    </xf>
    <xf numFmtId="0" fontId="28" fillId="0" borderId="16" xfId="3" applyFont="1" applyBorder="1" applyAlignment="1">
      <alignment horizontal="center" vertical="center"/>
    </xf>
    <xf numFmtId="49" fontId="23" fillId="0" borderId="3" xfId="0" applyNumberFormat="1" applyFont="1" applyFill="1" applyBorder="1" applyAlignment="1">
      <alignment horizontal="right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16" fillId="0" borderId="10" xfId="0" applyNumberFormat="1" applyFont="1" applyFill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16" fillId="0" borderId="10" xfId="0" applyNumberFormat="1" applyFont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right" vertical="center"/>
    </xf>
    <xf numFmtId="49" fontId="41" fillId="0" borderId="10" xfId="0" applyNumberFormat="1" applyFont="1" applyFill="1" applyBorder="1" applyAlignment="1">
      <alignment horizontal="center" vertical="center"/>
    </xf>
    <xf numFmtId="0" fontId="3" fillId="0" borderId="3" xfId="3" applyFont="1" applyBorder="1" applyAlignment="1">
      <alignment vertical="center"/>
    </xf>
    <xf numFmtId="0" fontId="17" fillId="0" borderId="10" xfId="3" applyFont="1" applyBorder="1" applyAlignment="1">
      <alignment horizontal="center" vertical="center"/>
    </xf>
    <xf numFmtId="49" fontId="3" fillId="6" borderId="3" xfId="0" applyNumberFormat="1" applyFont="1" applyFill="1" applyBorder="1" applyAlignment="1">
      <alignment horizontal="center" vertical="center"/>
    </xf>
    <xf numFmtId="49" fontId="17" fillId="6" borderId="10" xfId="0" applyNumberFormat="1" applyFont="1" applyFill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2" fillId="0" borderId="3" xfId="3" applyNumberFormat="1" applyFont="1" applyBorder="1" applyAlignment="1">
      <alignment horizontal="center" vertical="center"/>
    </xf>
    <xf numFmtId="49" fontId="16" fillId="0" borderId="10" xfId="3" applyNumberFormat="1" applyFont="1" applyBorder="1" applyAlignment="1">
      <alignment horizontal="center" vertical="center"/>
    </xf>
    <xf numFmtId="49" fontId="3" fillId="6" borderId="3" xfId="3" applyNumberFormat="1" applyFont="1" applyFill="1" applyBorder="1" applyAlignment="1">
      <alignment horizontal="center" vertical="center"/>
    </xf>
    <xf numFmtId="49" fontId="17" fillId="6" borderId="10" xfId="3" applyNumberFormat="1" applyFont="1" applyFill="1" applyBorder="1" applyAlignment="1">
      <alignment horizontal="center" vertical="center"/>
    </xf>
    <xf numFmtId="0" fontId="2" fillId="0" borderId="3" xfId="3" applyBorder="1" applyAlignment="1">
      <alignment horizontal="center" vertical="center"/>
    </xf>
    <xf numFmtId="0" fontId="3" fillId="6" borderId="3" xfId="3" applyFont="1" applyFill="1" applyBorder="1" applyAlignment="1">
      <alignment horizontal="center" vertical="center"/>
    </xf>
    <xf numFmtId="0" fontId="17" fillId="6" borderId="10" xfId="3" applyFont="1" applyFill="1" applyBorder="1" applyAlignment="1">
      <alignment horizontal="center" vertical="center"/>
    </xf>
    <xf numFmtId="0" fontId="2" fillId="0" borderId="3" xfId="3" applyFill="1" applyBorder="1" applyAlignment="1">
      <alignment horizontal="center" vertical="center"/>
    </xf>
    <xf numFmtId="0" fontId="16" fillId="0" borderId="10" xfId="3" applyFont="1" applyFill="1" applyBorder="1" applyAlignment="1">
      <alignment horizontal="center" vertical="center"/>
    </xf>
    <xf numFmtId="0" fontId="3" fillId="0" borderId="3" xfId="3" applyFont="1" applyBorder="1" applyAlignment="1">
      <alignment horizontal="center" vertical="center"/>
    </xf>
    <xf numFmtId="0" fontId="3" fillId="6" borderId="4" xfId="3" applyFont="1" applyFill="1" applyBorder="1" applyAlignment="1">
      <alignment vertical="center"/>
    </xf>
    <xf numFmtId="3" fontId="3" fillId="6" borderId="4" xfId="3" applyNumberFormat="1" applyFont="1" applyFill="1" applyBorder="1" applyAlignment="1">
      <alignment vertical="center"/>
    </xf>
    <xf numFmtId="3" fontId="3" fillId="6" borderId="18" xfId="3" applyNumberFormat="1" applyFont="1" applyFill="1" applyBorder="1" applyAlignment="1">
      <alignment vertical="center"/>
    </xf>
    <xf numFmtId="3" fontId="4" fillId="0" borderId="4" xfId="3" applyNumberFormat="1" applyFont="1" applyBorder="1" applyAlignment="1">
      <alignment vertical="center"/>
    </xf>
    <xf numFmtId="3" fontId="4" fillId="0" borderId="18" xfId="3" applyNumberFormat="1" applyFont="1" applyBorder="1" applyAlignment="1">
      <alignment vertical="center"/>
    </xf>
    <xf numFmtId="0" fontId="4" fillId="0" borderId="4" xfId="3" applyFont="1" applyFill="1" applyBorder="1" applyAlignment="1">
      <alignment vertical="center"/>
    </xf>
    <xf numFmtId="0" fontId="2" fillId="0" borderId="4" xfId="3" applyFont="1" applyBorder="1" applyAlignment="1">
      <alignment vertical="center"/>
    </xf>
    <xf numFmtId="0" fontId="23" fillId="0" borderId="4" xfId="3" applyFont="1" applyBorder="1" applyAlignment="1">
      <alignment vertical="center"/>
    </xf>
    <xf numFmtId="0" fontId="23" fillId="0" borderId="4" xfId="3" applyFont="1" applyBorder="1" applyAlignment="1">
      <alignment vertical="center" wrapText="1"/>
    </xf>
    <xf numFmtId="0" fontId="2" fillId="0" borderId="4" xfId="3" applyFill="1" applyBorder="1" applyAlignment="1">
      <alignment vertical="center"/>
    </xf>
    <xf numFmtId="3" fontId="4" fillId="0" borderId="4" xfId="3" applyNumberFormat="1" applyFont="1" applyFill="1" applyBorder="1" applyAlignment="1">
      <alignment vertical="center"/>
    </xf>
    <xf numFmtId="3" fontId="4" fillId="0" borderId="18" xfId="3" applyNumberFormat="1" applyFont="1" applyFill="1" applyBorder="1" applyAlignment="1">
      <alignment vertical="center"/>
    </xf>
    <xf numFmtId="0" fontId="2" fillId="0" borderId="4" xfId="3" applyFont="1" applyFill="1" applyBorder="1" applyAlignment="1">
      <alignment vertical="center"/>
    </xf>
    <xf numFmtId="0" fontId="23" fillId="0" borderId="4" xfId="3" applyFont="1" applyFill="1" applyBorder="1" applyAlignment="1">
      <alignment vertical="center"/>
    </xf>
    <xf numFmtId="3" fontId="23" fillId="0" borderId="4" xfId="3" applyNumberFormat="1" applyFont="1" applyFill="1" applyBorder="1" applyAlignment="1">
      <alignment vertical="center"/>
    </xf>
    <xf numFmtId="3" fontId="23" fillId="0" borderId="18" xfId="3" applyNumberFormat="1" applyFont="1" applyFill="1" applyBorder="1" applyAlignment="1">
      <alignment vertical="center"/>
    </xf>
    <xf numFmtId="3" fontId="4" fillId="0" borderId="4" xfId="3" applyNumberFormat="1" applyFont="1" applyFill="1" applyBorder="1" applyAlignment="1" applyProtection="1">
      <alignment vertical="center"/>
      <protection locked="0"/>
    </xf>
    <xf numFmtId="3" fontId="4" fillId="0" borderId="18" xfId="3" applyNumberFormat="1" applyFont="1" applyFill="1" applyBorder="1" applyAlignment="1" applyProtection="1">
      <alignment vertical="center"/>
      <protection locked="0"/>
    </xf>
    <xf numFmtId="3" fontId="23" fillId="0" borderId="4" xfId="3" applyNumberFormat="1" applyFont="1" applyFill="1" applyBorder="1" applyAlignment="1" applyProtection="1">
      <alignment vertical="center"/>
      <protection locked="0"/>
    </xf>
    <xf numFmtId="3" fontId="23" fillId="0" borderId="18" xfId="3" applyNumberFormat="1" applyFont="1" applyFill="1" applyBorder="1" applyAlignment="1" applyProtection="1">
      <alignment vertical="center"/>
      <protection locked="0"/>
    </xf>
    <xf numFmtId="0" fontId="23" fillId="0" borderId="4" xfId="12" applyFont="1" applyFill="1" applyBorder="1" applyAlignment="1">
      <alignment vertical="center"/>
    </xf>
    <xf numFmtId="3" fontId="23" fillId="0" borderId="4" xfId="12" applyNumberFormat="1" applyFont="1" applyBorder="1" applyAlignment="1">
      <alignment vertical="center"/>
    </xf>
    <xf numFmtId="3" fontId="23" fillId="0" borderId="18" xfId="12" applyNumberFormat="1" applyFont="1" applyBorder="1" applyAlignment="1">
      <alignment vertical="center"/>
    </xf>
    <xf numFmtId="3" fontId="2" fillId="0" borderId="4" xfId="3" applyNumberFormat="1" applyFill="1" applyBorder="1" applyAlignment="1">
      <alignment vertical="center"/>
    </xf>
    <xf numFmtId="3" fontId="2" fillId="0" borderId="18" xfId="3" applyNumberFormat="1" applyFill="1" applyBorder="1" applyAlignment="1">
      <alignment vertical="center"/>
    </xf>
    <xf numFmtId="3" fontId="2" fillId="0" borderId="4" xfId="3" applyNumberFormat="1" applyFont="1" applyFill="1" applyBorder="1" applyAlignment="1">
      <alignment vertical="center"/>
    </xf>
    <xf numFmtId="3" fontId="2" fillId="0" borderId="18" xfId="3" applyNumberFormat="1" applyFont="1" applyFill="1" applyBorder="1" applyAlignment="1">
      <alignment vertical="center"/>
    </xf>
    <xf numFmtId="0" fontId="23" fillId="0" borderId="12" xfId="3" applyFont="1" applyFill="1" applyBorder="1" applyAlignment="1">
      <alignment vertical="center"/>
    </xf>
    <xf numFmtId="0" fontId="23" fillId="0" borderId="4" xfId="0" applyFont="1" applyFill="1" applyBorder="1" applyAlignment="1">
      <alignment vertical="center"/>
    </xf>
    <xf numFmtId="0" fontId="2" fillId="0" borderId="4" xfId="3" applyFont="1" applyFill="1" applyBorder="1" applyAlignment="1">
      <alignment vertical="center" wrapText="1"/>
    </xf>
    <xf numFmtId="0" fontId="23" fillId="0" borderId="4" xfId="3" applyFont="1" applyFill="1" applyBorder="1" applyAlignment="1">
      <alignment vertical="center" wrapText="1"/>
    </xf>
    <xf numFmtId="0" fontId="23" fillId="0" borderId="4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vertical="center"/>
    </xf>
    <xf numFmtId="3" fontId="2" fillId="0" borderId="4" xfId="3" applyNumberFormat="1" applyFont="1" applyBorder="1" applyAlignment="1">
      <alignment vertical="center"/>
    </xf>
    <xf numFmtId="3" fontId="2" fillId="0" borderId="18" xfId="3" applyNumberFormat="1" applyFont="1" applyBorder="1" applyAlignment="1">
      <alignment vertical="center"/>
    </xf>
    <xf numFmtId="0" fontId="23" fillId="0" borderId="4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3" fillId="0" borderId="4" xfId="0" applyFont="1" applyBorder="1" applyAlignment="1">
      <alignment vertical="center" wrapText="1"/>
    </xf>
    <xf numFmtId="0" fontId="3" fillId="0" borderId="4" xfId="3" applyFont="1" applyBorder="1" applyAlignment="1">
      <alignment vertical="center"/>
    </xf>
    <xf numFmtId="3" fontId="3" fillId="0" borderId="4" xfId="3" applyNumberFormat="1" applyFont="1" applyBorder="1" applyAlignment="1">
      <alignment vertical="center"/>
    </xf>
    <xf numFmtId="3" fontId="3" fillId="0" borderId="18" xfId="3" applyNumberFormat="1" applyFont="1" applyBorder="1" applyAlignment="1">
      <alignment vertical="center"/>
    </xf>
    <xf numFmtId="0" fontId="3" fillId="6" borderId="4" xfId="0" applyFont="1" applyFill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0" fillId="0" borderId="4" xfId="0" applyBorder="1" applyAlignment="1">
      <alignment vertical="center"/>
    </xf>
    <xf numFmtId="0" fontId="1" fillId="0" borderId="4" xfId="3" applyFont="1" applyFill="1" applyBorder="1" applyAlignment="1">
      <alignment vertical="center"/>
    </xf>
    <xf numFmtId="0" fontId="10" fillId="0" borderId="4" xfId="3" applyFont="1" applyFill="1" applyBorder="1" applyAlignment="1">
      <alignment vertical="center"/>
    </xf>
    <xf numFmtId="3" fontId="2" fillId="0" borderId="4" xfId="3" applyNumberFormat="1" applyBorder="1" applyAlignment="1">
      <alignment vertical="center"/>
    </xf>
    <xf numFmtId="3" fontId="2" fillId="0" borderId="18" xfId="3" applyNumberFormat="1" applyBorder="1" applyAlignment="1">
      <alignment vertical="center"/>
    </xf>
    <xf numFmtId="0" fontId="1" fillId="0" borderId="4" xfId="3" applyFont="1" applyBorder="1" applyAlignment="1">
      <alignment vertical="center"/>
    </xf>
    <xf numFmtId="0" fontId="16" fillId="0" borderId="10" xfId="3" applyFont="1" applyBorder="1" applyAlignment="1" applyProtection="1">
      <alignment horizontal="center" vertical="center"/>
      <protection locked="0"/>
    </xf>
    <xf numFmtId="0" fontId="17" fillId="6" borderId="10" xfId="3" applyFont="1" applyFill="1" applyBorder="1" applyAlignment="1" applyProtection="1">
      <alignment horizontal="center" vertical="center"/>
      <protection locked="0"/>
    </xf>
    <xf numFmtId="0" fontId="28" fillId="0" borderId="10" xfId="3" applyFont="1" applyBorder="1" applyAlignment="1" applyProtection="1">
      <alignment horizontal="center" vertical="center"/>
      <protection locked="0"/>
    </xf>
    <xf numFmtId="0" fontId="8" fillId="6" borderId="3" xfId="0" applyFont="1" applyFill="1" applyBorder="1" applyAlignment="1">
      <alignment horizontal="center" vertical="center"/>
    </xf>
    <xf numFmtId="0" fontId="8" fillId="6" borderId="4" xfId="0" applyFont="1" applyFill="1" applyBorder="1" applyAlignment="1">
      <alignment vertical="center"/>
    </xf>
    <xf numFmtId="3" fontId="8" fillId="6" borderId="4" xfId="0" applyNumberFormat="1" applyFont="1" applyFill="1" applyBorder="1" applyAlignment="1">
      <alignment vertical="center"/>
    </xf>
    <xf numFmtId="3" fontId="21" fillId="6" borderId="4" xfId="0" applyNumberFormat="1" applyFont="1" applyFill="1" applyBorder="1" applyAlignment="1">
      <alignment vertical="center"/>
    </xf>
    <xf numFmtId="0" fontId="8" fillId="6" borderId="4" xfId="0" applyFont="1" applyFill="1" applyBorder="1" applyAlignment="1">
      <alignment vertical="center" wrapText="1"/>
    </xf>
    <xf numFmtId="3" fontId="8" fillId="6" borderId="8" xfId="0" applyNumberFormat="1" applyFont="1" applyFill="1" applyBorder="1" applyAlignment="1">
      <alignment vertical="center"/>
    </xf>
    <xf numFmtId="3" fontId="21" fillId="6" borderId="8" xfId="0" applyNumberFormat="1" applyFont="1" applyFill="1" applyBorder="1" applyAlignment="1">
      <alignment vertical="center"/>
    </xf>
    <xf numFmtId="0" fontId="8" fillId="0" borderId="3" xfId="0" applyFont="1" applyBorder="1" applyAlignment="1">
      <alignment horizontal="right" vertical="center"/>
    </xf>
    <xf numFmtId="0" fontId="8" fillId="0" borderId="4" xfId="0" applyFont="1" applyBorder="1" applyAlignment="1">
      <alignment vertical="center" wrapText="1"/>
    </xf>
    <xf numFmtId="3" fontId="8" fillId="0" borderId="8" xfId="0" applyNumberFormat="1" applyFont="1" applyBorder="1" applyAlignment="1">
      <alignment vertical="center"/>
    </xf>
    <xf numFmtId="3" fontId="21" fillId="0" borderId="8" xfId="0" applyNumberFormat="1" applyFont="1" applyBorder="1" applyAlignment="1">
      <alignment vertical="center"/>
    </xf>
    <xf numFmtId="0" fontId="1" fillId="0" borderId="3" xfId="0" applyFont="1" applyBorder="1" applyAlignment="1">
      <alignment horizontal="right" vertical="center"/>
    </xf>
    <xf numFmtId="0" fontId="42" fillId="0" borderId="4" xfId="0" applyFont="1" applyBorder="1" applyAlignment="1">
      <alignment vertical="center"/>
    </xf>
    <xf numFmtId="3" fontId="1" fillId="0" borderId="8" xfId="0" applyNumberFormat="1" applyFont="1" applyBorder="1" applyAlignment="1">
      <alignment vertical="center"/>
    </xf>
    <xf numFmtId="3" fontId="30" fillId="0" borderId="8" xfId="0" applyNumberFormat="1" applyFont="1" applyBorder="1" applyAlignment="1">
      <alignment vertical="center"/>
    </xf>
    <xf numFmtId="3" fontId="1" fillId="0" borderId="8" xfId="0" applyNumberFormat="1" applyFont="1" applyFill="1" applyBorder="1" applyAlignment="1">
      <alignment vertical="center"/>
    </xf>
    <xf numFmtId="3" fontId="30" fillId="0" borderId="8" xfId="0" applyNumberFormat="1" applyFont="1" applyFill="1" applyBorder="1" applyAlignment="1">
      <alignment vertical="center"/>
    </xf>
    <xf numFmtId="0" fontId="8" fillId="0" borderId="4" xfId="0" applyFont="1" applyFill="1" applyBorder="1" applyAlignment="1">
      <alignment vertical="center"/>
    </xf>
    <xf numFmtId="3" fontId="8" fillId="0" borderId="8" xfId="0" applyNumberFormat="1" applyFont="1" applyFill="1" applyBorder="1" applyAlignment="1">
      <alignment vertical="center"/>
    </xf>
    <xf numFmtId="3" fontId="21" fillId="0" borderId="8" xfId="0" applyNumberFormat="1" applyFont="1" applyFill="1" applyBorder="1" applyAlignment="1">
      <alignment vertical="center"/>
    </xf>
    <xf numFmtId="0" fontId="43" fillId="0" borderId="4" xfId="0" applyFont="1" applyFill="1" applyBorder="1" applyAlignment="1">
      <alignment vertical="center" wrapText="1"/>
    </xf>
    <xf numFmtId="0" fontId="43" fillId="0" borderId="4" xfId="0" applyFont="1" applyBorder="1" applyAlignment="1">
      <alignment vertical="center"/>
    </xf>
    <xf numFmtId="0" fontId="42" fillId="0" borderId="4" xfId="0" applyFont="1" applyBorder="1" applyAlignment="1">
      <alignment vertical="center" wrapText="1"/>
    </xf>
    <xf numFmtId="0" fontId="23" fillId="0" borderId="3" xfId="0" applyFont="1" applyBorder="1" applyAlignment="1">
      <alignment horizontal="right" vertical="center"/>
    </xf>
    <xf numFmtId="0" fontId="44" fillId="0" borderId="4" xfId="0" applyFont="1" applyBorder="1" applyAlignment="1">
      <alignment vertical="center"/>
    </xf>
    <xf numFmtId="3" fontId="23" fillId="0" borderId="8" xfId="0" applyNumberFormat="1" applyFont="1" applyFill="1" applyBorder="1" applyAlignment="1">
      <alignment vertical="center"/>
    </xf>
    <xf numFmtId="3" fontId="38" fillId="0" borderId="8" xfId="0" applyNumberFormat="1" applyFont="1" applyFill="1" applyBorder="1" applyAlignment="1">
      <alignment vertical="center"/>
    </xf>
    <xf numFmtId="0" fontId="1" fillId="0" borderId="24" xfId="0" applyFont="1" applyBorder="1" applyAlignment="1">
      <alignment horizontal="right" vertical="center"/>
    </xf>
    <xf numFmtId="0" fontId="42" fillId="0" borderId="12" xfId="0" applyFont="1" applyBorder="1" applyAlignment="1">
      <alignment vertical="center"/>
    </xf>
    <xf numFmtId="3" fontId="1" fillId="0" borderId="26" xfId="0" applyNumberFormat="1" applyFont="1" applyFill="1" applyBorder="1" applyAlignment="1">
      <alignment vertical="center"/>
    </xf>
    <xf numFmtId="3" fontId="30" fillId="0" borderId="26" xfId="0" applyNumberFormat="1" applyFont="1" applyFill="1" applyBorder="1" applyAlignment="1">
      <alignment vertical="center"/>
    </xf>
    <xf numFmtId="0" fontId="1" fillId="0" borderId="4" xfId="0" applyFont="1" applyBorder="1" applyAlignment="1">
      <alignment vertical="center"/>
    </xf>
    <xf numFmtId="0" fontId="8" fillId="6" borderId="4" xfId="1" applyNumberFormat="1" applyFont="1" applyFill="1" applyBorder="1" applyAlignment="1">
      <alignment vertical="center" wrapText="1"/>
    </xf>
    <xf numFmtId="0" fontId="8" fillId="0" borderId="4" xfId="0" applyFont="1" applyFill="1" applyBorder="1" applyAlignment="1">
      <alignment vertical="center" wrapText="1"/>
    </xf>
    <xf numFmtId="0" fontId="42" fillId="0" borderId="4" xfId="0" applyFont="1" applyFill="1" applyBorder="1" applyAlignment="1">
      <alignment vertical="center"/>
    </xf>
    <xf numFmtId="0" fontId="15" fillId="0" borderId="3" xfId="0" applyFont="1" applyBorder="1" applyAlignment="1">
      <alignment horizontal="right" vertical="center"/>
    </xf>
    <xf numFmtId="0" fontId="45" fillId="0" borderId="4" xfId="0" applyFont="1" applyFill="1" applyBorder="1" applyAlignment="1">
      <alignment vertical="center"/>
    </xf>
    <xf numFmtId="3" fontId="15" fillId="0" borderId="8" xfId="0" applyNumberFormat="1" applyFont="1" applyFill="1" applyBorder="1" applyAlignment="1">
      <alignment vertical="center"/>
    </xf>
    <xf numFmtId="3" fontId="31" fillId="0" borderId="8" xfId="0" applyNumberFormat="1" applyFont="1" applyFill="1" applyBorder="1" applyAlignment="1">
      <alignment vertical="center"/>
    </xf>
    <xf numFmtId="0" fontId="44" fillId="0" borderId="4" xfId="0" applyFont="1" applyFill="1" applyBorder="1" applyAlignment="1">
      <alignment vertical="center" wrapText="1"/>
    </xf>
    <xf numFmtId="0" fontId="45" fillId="0" borderId="4" xfId="0" applyFont="1" applyFill="1" applyBorder="1" applyAlignment="1">
      <alignment vertical="center" wrapText="1"/>
    </xf>
    <xf numFmtId="0" fontId="42" fillId="0" borderId="4" xfId="0" applyFont="1" applyFill="1" applyBorder="1" applyAlignment="1">
      <alignment vertical="center" wrapText="1"/>
    </xf>
    <xf numFmtId="0" fontId="15" fillId="0" borderId="4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/>
    </xf>
    <xf numFmtId="0" fontId="15" fillId="0" borderId="4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12" xfId="0" applyFont="1" applyBorder="1" applyAlignment="1">
      <alignment vertical="center"/>
    </xf>
    <xf numFmtId="3" fontId="8" fillId="0" borderId="4" xfId="0" applyNumberFormat="1" applyFont="1" applyBorder="1" applyAlignment="1">
      <alignment vertical="center"/>
    </xf>
    <xf numFmtId="3" fontId="21" fillId="0" borderId="4" xfId="0" applyNumberFormat="1" applyFont="1" applyBorder="1" applyAlignment="1">
      <alignment vertical="center"/>
    </xf>
    <xf numFmtId="0" fontId="8" fillId="0" borderId="3" xfId="0" applyFont="1" applyBorder="1" applyAlignment="1">
      <alignment horizontal="right" vertical="center" wrapText="1"/>
    </xf>
    <xf numFmtId="0" fontId="8" fillId="0" borderId="4" xfId="0" applyFont="1" applyBorder="1" applyAlignment="1">
      <alignment horizontal="right" vertical="center" wrapText="1"/>
    </xf>
    <xf numFmtId="3" fontId="37" fillId="0" borderId="8" xfId="0" applyNumberFormat="1" applyFont="1" applyBorder="1" applyAlignment="1">
      <alignment vertical="center"/>
    </xf>
    <xf numFmtId="3" fontId="40" fillId="0" borderId="8" xfId="0" applyNumberFormat="1" applyFont="1" applyBorder="1" applyAlignment="1">
      <alignment vertical="center"/>
    </xf>
    <xf numFmtId="0" fontId="15" fillId="6" borderId="3" xfId="0" applyFont="1" applyFill="1" applyBorder="1" applyAlignment="1">
      <alignment horizontal="center" vertical="center"/>
    </xf>
    <xf numFmtId="0" fontId="44" fillId="0" borderId="4" xfId="11" applyFont="1" applyFill="1" applyBorder="1" applyAlignment="1">
      <alignment vertical="center" wrapText="1"/>
    </xf>
    <xf numFmtId="3" fontId="23" fillId="0" borderId="8" xfId="0" applyNumberFormat="1" applyFont="1" applyBorder="1" applyAlignment="1">
      <alignment vertical="center"/>
    </xf>
    <xf numFmtId="3" fontId="38" fillId="0" borderId="8" xfId="0" applyNumberFormat="1" applyFont="1" applyBorder="1" applyAlignment="1">
      <alignment vertical="center"/>
    </xf>
    <xf numFmtId="0" fontId="8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30" fillId="0" borderId="6" xfId="0" applyFont="1" applyBorder="1" applyAlignment="1">
      <alignment vertical="center"/>
    </xf>
    <xf numFmtId="3" fontId="8" fillId="6" borderId="28" xfId="0" applyNumberFormat="1" applyFont="1" applyFill="1" applyBorder="1" applyAlignment="1">
      <alignment vertical="center"/>
    </xf>
    <xf numFmtId="3" fontId="21" fillId="6" borderId="28" xfId="0" applyNumberFormat="1" applyFont="1" applyFill="1" applyBorder="1" applyAlignment="1">
      <alignment vertical="center"/>
    </xf>
    <xf numFmtId="0" fontId="0" fillId="0" borderId="0" xfId="0"/>
    <xf numFmtId="0" fontId="27" fillId="0" borderId="44" xfId="0" applyFont="1" applyBorder="1" applyAlignment="1">
      <alignment horizontal="left"/>
    </xf>
    <xf numFmtId="0" fontId="27" fillId="0" borderId="45" xfId="0" applyFont="1" applyBorder="1" applyAlignment="1">
      <alignment horizontal="left"/>
    </xf>
    <xf numFmtId="0" fontId="5" fillId="0" borderId="0" xfId="3" applyFont="1" applyBorder="1" applyAlignment="1">
      <alignment horizontal="left"/>
    </xf>
    <xf numFmtId="0" fontId="7" fillId="0" borderId="0" xfId="12" applyFont="1" applyAlignment="1">
      <alignment horizontal="left"/>
    </xf>
    <xf numFmtId="0" fontId="3" fillId="6" borderId="12" xfId="3" applyFont="1" applyFill="1" applyBorder="1" applyAlignment="1">
      <alignment horizontal="center" vertical="center" wrapText="1"/>
    </xf>
    <xf numFmtId="0" fontId="3" fillId="0" borderId="14" xfId="3" applyFont="1" applyBorder="1" applyAlignment="1">
      <alignment horizontal="right"/>
    </xf>
    <xf numFmtId="0" fontId="0" fillId="0" borderId="0" xfId="0" applyBorder="1" applyAlignment="1"/>
    <xf numFmtId="3" fontId="8" fillId="0" borderId="10" xfId="12" applyNumberFormat="1" applyFont="1" applyFill="1" applyBorder="1"/>
    <xf numFmtId="3" fontId="8" fillId="0" borderId="10" xfId="12" applyNumberFormat="1" applyFont="1" applyFill="1" applyBorder="1" applyAlignment="1">
      <alignment horizontal="right"/>
    </xf>
    <xf numFmtId="3" fontId="2" fillId="0" borderId="33" xfId="3" applyNumberFormat="1" applyBorder="1"/>
    <xf numFmtId="3" fontId="3" fillId="0" borderId="10" xfId="3" applyNumberFormat="1" applyFont="1" applyBorder="1" applyAlignment="1">
      <alignment horizontal="center"/>
    </xf>
    <xf numFmtId="3" fontId="3" fillId="0" borderId="10" xfId="12" applyNumberFormat="1" applyFont="1" applyBorder="1" applyAlignment="1">
      <alignment horizontal="right"/>
    </xf>
    <xf numFmtId="3" fontId="3" fillId="0" borderId="33" xfId="3" applyNumberFormat="1" applyFont="1" applyBorder="1"/>
    <xf numFmtId="3" fontId="3" fillId="0" borderId="25" xfId="12" applyNumberFormat="1" applyFont="1" applyFill="1" applyBorder="1"/>
    <xf numFmtId="3" fontId="3" fillId="7" borderId="10" xfId="12" applyNumberFormat="1" applyFont="1" applyFill="1" applyBorder="1"/>
    <xf numFmtId="3" fontId="4" fillId="7" borderId="10" xfId="12" applyNumberFormat="1" applyFont="1" applyFill="1" applyBorder="1"/>
    <xf numFmtId="3" fontId="1" fillId="7" borderId="10" xfId="12" applyNumberFormat="1" applyFill="1" applyBorder="1"/>
    <xf numFmtId="3" fontId="3" fillId="0" borderId="10" xfId="12" applyNumberFormat="1" applyFont="1" applyFill="1" applyBorder="1" applyProtection="1"/>
    <xf numFmtId="3" fontId="4" fillId="0" borderId="10" xfId="12" applyNumberFormat="1" applyFont="1" applyFill="1" applyBorder="1" applyProtection="1"/>
    <xf numFmtId="3" fontId="1" fillId="0" borderId="10" xfId="12" applyNumberFormat="1" applyFill="1" applyBorder="1" applyProtection="1"/>
    <xf numFmtId="3" fontId="4" fillId="0" borderId="10" xfId="12" applyNumberFormat="1" applyFont="1" applyBorder="1" applyProtection="1"/>
    <xf numFmtId="3" fontId="3" fillId="3" borderId="10" xfId="12" applyNumberFormat="1" applyFont="1" applyFill="1" applyBorder="1" applyProtection="1"/>
    <xf numFmtId="3" fontId="1" fillId="0" borderId="10" xfId="12" applyNumberFormat="1" applyFont="1" applyFill="1" applyBorder="1" applyProtection="1"/>
    <xf numFmtId="3" fontId="3" fillId="0" borderId="10" xfId="12" applyNumberFormat="1" applyFont="1" applyBorder="1" applyProtection="1"/>
    <xf numFmtId="3" fontId="3" fillId="0" borderId="10" xfId="12" applyNumberFormat="1" applyFont="1" applyFill="1" applyBorder="1" applyAlignment="1" applyProtection="1">
      <alignment horizontal="right"/>
    </xf>
    <xf numFmtId="0" fontId="3" fillId="0" borderId="16" xfId="3" applyFont="1" applyBorder="1" applyAlignment="1">
      <alignment horizontal="center"/>
    </xf>
    <xf numFmtId="3" fontId="3" fillId="6" borderId="8" xfId="3" applyNumberFormat="1" applyFont="1" applyFill="1" applyBorder="1" applyAlignment="1">
      <alignment horizontal="right"/>
    </xf>
    <xf numFmtId="3" fontId="3" fillId="0" borderId="8" xfId="3" applyNumberFormat="1" applyFont="1" applyBorder="1" applyAlignment="1">
      <alignment horizontal="right"/>
    </xf>
    <xf numFmtId="3" fontId="4" fillId="0" borderId="8" xfId="3" applyNumberFormat="1" applyFont="1" applyBorder="1" applyAlignment="1">
      <alignment horizontal="right"/>
    </xf>
    <xf numFmtId="3" fontId="3" fillId="0" borderId="8" xfId="3" applyNumberFormat="1" applyFont="1" applyFill="1" applyBorder="1" applyAlignment="1">
      <alignment horizontal="right"/>
    </xf>
    <xf numFmtId="3" fontId="3" fillId="6" borderId="8" xfId="3" applyNumberFormat="1" applyFont="1" applyFill="1" applyBorder="1"/>
    <xf numFmtId="3" fontId="4" fillId="0" borderId="8" xfId="3" applyNumberFormat="1" applyFont="1" applyBorder="1"/>
    <xf numFmtId="3" fontId="23" fillId="0" borderId="8" xfId="3" applyNumberFormat="1" applyFont="1" applyBorder="1"/>
    <xf numFmtId="3" fontId="2" fillId="0" borderId="8" xfId="3" applyNumberFormat="1" applyFill="1" applyBorder="1"/>
    <xf numFmtId="3" fontId="3" fillId="6" borderId="8" xfId="3" applyNumberFormat="1" applyFont="1" applyFill="1" applyBorder="1" applyAlignment="1">
      <alignment vertical="center"/>
    </xf>
    <xf numFmtId="3" fontId="4" fillId="0" borderId="8" xfId="3" applyNumberFormat="1" applyFont="1" applyBorder="1" applyAlignment="1">
      <alignment vertical="center"/>
    </xf>
    <xf numFmtId="3" fontId="23" fillId="0" borderId="8" xfId="3" applyNumberFormat="1" applyFont="1" applyBorder="1" applyAlignment="1">
      <alignment vertical="center"/>
    </xf>
    <xf numFmtId="3" fontId="4" fillId="0" borderId="8" xfId="3" applyNumberFormat="1" applyFont="1" applyFill="1" applyBorder="1" applyAlignment="1">
      <alignment vertical="center"/>
    </xf>
    <xf numFmtId="3" fontId="23" fillId="0" borderId="8" xfId="3" applyNumberFormat="1" applyFont="1" applyFill="1" applyBorder="1" applyAlignment="1">
      <alignment vertical="center"/>
    </xf>
    <xf numFmtId="3" fontId="4" fillId="0" borderId="8" xfId="3" applyNumberFormat="1" applyFont="1" applyFill="1" applyBorder="1" applyAlignment="1" applyProtection="1">
      <alignment vertical="center"/>
      <protection locked="0"/>
    </xf>
    <xf numFmtId="3" fontId="23" fillId="0" borderId="8" xfId="3" applyNumberFormat="1" applyFont="1" applyFill="1" applyBorder="1" applyAlignment="1" applyProtection="1">
      <alignment vertical="center"/>
      <protection locked="0"/>
    </xf>
    <xf numFmtId="3" fontId="23" fillId="0" borderId="8" xfId="12" applyNumberFormat="1" applyFont="1" applyBorder="1" applyAlignment="1">
      <alignment vertical="center"/>
    </xf>
    <xf numFmtId="3" fontId="2" fillId="0" borderId="8" xfId="3" applyNumberFormat="1" applyFill="1" applyBorder="1" applyAlignment="1">
      <alignment vertical="center"/>
    </xf>
    <xf numFmtId="3" fontId="2" fillId="0" borderId="8" xfId="3" applyNumberFormat="1" applyFont="1" applyFill="1" applyBorder="1" applyAlignment="1">
      <alignment vertical="center"/>
    </xf>
    <xf numFmtId="3" fontId="2" fillId="0" borderId="8" xfId="3" applyNumberFormat="1" applyFont="1" applyBorder="1" applyAlignment="1">
      <alignment vertical="center"/>
    </xf>
    <xf numFmtId="3" fontId="3" fillId="0" borderId="8" xfId="3" applyNumberFormat="1" applyFont="1" applyBorder="1" applyAlignment="1">
      <alignment vertical="center"/>
    </xf>
    <xf numFmtId="3" fontId="2" fillId="0" borderId="8" xfId="3" applyNumberFormat="1" applyBorder="1" applyAlignment="1">
      <alignment vertical="center"/>
    </xf>
    <xf numFmtId="0" fontId="3" fillId="6" borderId="24" xfId="3" applyFont="1" applyFill="1" applyBorder="1" applyAlignment="1">
      <alignment horizontal="center" vertical="center" wrapText="1"/>
    </xf>
    <xf numFmtId="0" fontId="12" fillId="6" borderId="27" xfId="3" applyFont="1" applyFill="1" applyBorder="1" applyAlignment="1">
      <alignment horizontal="center" vertical="center" wrapText="1"/>
    </xf>
    <xf numFmtId="0" fontId="17" fillId="0" borderId="18" xfId="3" applyFont="1" applyFill="1" applyBorder="1" applyAlignment="1">
      <alignment horizontal="center"/>
    </xf>
    <xf numFmtId="3" fontId="3" fillId="6" borderId="3" xfId="3" applyNumberFormat="1" applyFont="1" applyFill="1" applyBorder="1" applyAlignment="1">
      <alignment horizontal="right"/>
    </xf>
    <xf numFmtId="3" fontId="12" fillId="6" borderId="18" xfId="3" applyNumberFormat="1" applyFont="1" applyFill="1" applyBorder="1" applyAlignment="1">
      <alignment horizontal="right"/>
    </xf>
    <xf numFmtId="3" fontId="3" fillId="0" borderId="3" xfId="3" applyNumberFormat="1" applyFont="1" applyBorder="1" applyAlignment="1">
      <alignment horizontal="right"/>
    </xf>
    <xf numFmtId="3" fontId="4" fillId="0" borderId="3" xfId="3" applyNumberFormat="1" applyFont="1" applyFill="1" applyBorder="1" applyAlignment="1">
      <alignment horizontal="right"/>
    </xf>
    <xf numFmtId="3" fontId="6" fillId="6" borderId="18" xfId="3" applyNumberFormat="1" applyFont="1" applyFill="1" applyBorder="1" applyAlignment="1">
      <alignment horizontal="right"/>
    </xf>
    <xf numFmtId="3" fontId="4" fillId="0" borderId="3" xfId="3" applyNumberFormat="1" applyFont="1" applyBorder="1" applyAlignment="1">
      <alignment horizontal="right"/>
    </xf>
    <xf numFmtId="3" fontId="3" fillId="0" borderId="3" xfId="3" applyNumberFormat="1" applyFont="1" applyFill="1" applyBorder="1" applyAlignment="1">
      <alignment horizontal="right"/>
    </xf>
    <xf numFmtId="3" fontId="3" fillId="6" borderId="3" xfId="3" applyNumberFormat="1" applyFont="1" applyFill="1" applyBorder="1"/>
    <xf numFmtId="3" fontId="12" fillId="6" borderId="18" xfId="3" applyNumberFormat="1" applyFont="1" applyFill="1" applyBorder="1"/>
    <xf numFmtId="3" fontId="4" fillId="0" borderId="3" xfId="3" applyNumberFormat="1" applyFont="1" applyBorder="1"/>
    <xf numFmtId="3" fontId="6" fillId="6" borderId="18" xfId="3" applyNumberFormat="1" applyFont="1" applyFill="1" applyBorder="1"/>
    <xf numFmtId="3" fontId="23" fillId="0" borderId="3" xfId="3" applyNumberFormat="1" applyFont="1" applyBorder="1"/>
    <xf numFmtId="3" fontId="29" fillId="6" borderId="18" xfId="3" applyNumberFormat="1" applyFont="1" applyFill="1" applyBorder="1"/>
    <xf numFmtId="3" fontId="2" fillId="0" borderId="3" xfId="3" applyNumberFormat="1" applyFill="1" applyBorder="1"/>
    <xf numFmtId="3" fontId="3" fillId="6" borderId="3" xfId="3" applyNumberFormat="1" applyFont="1" applyFill="1" applyBorder="1" applyAlignment="1">
      <alignment vertical="center"/>
    </xf>
    <xf numFmtId="3" fontId="12" fillId="6" borderId="18" xfId="3" applyNumberFormat="1" applyFont="1" applyFill="1" applyBorder="1" applyAlignment="1">
      <alignment vertical="center"/>
    </xf>
    <xf numFmtId="3" fontId="4" fillId="0" borderId="3" xfId="3" applyNumberFormat="1" applyFont="1" applyBorder="1" applyAlignment="1">
      <alignment vertical="center"/>
    </xf>
    <xf numFmtId="3" fontId="6" fillId="6" borderId="18" xfId="3" applyNumberFormat="1" applyFont="1" applyFill="1" applyBorder="1" applyAlignment="1">
      <alignment vertical="center"/>
    </xf>
    <xf numFmtId="3" fontId="23" fillId="0" borderId="3" xfId="3" applyNumberFormat="1" applyFont="1" applyBorder="1" applyAlignment="1">
      <alignment vertical="center"/>
    </xf>
    <xf numFmtId="3" fontId="38" fillId="6" borderId="18" xfId="3" applyNumberFormat="1" applyFont="1" applyFill="1" applyBorder="1" applyAlignment="1">
      <alignment vertical="center"/>
    </xf>
    <xf numFmtId="3" fontId="4" fillId="0" borderId="3" xfId="3" applyNumberFormat="1" applyFont="1" applyFill="1" applyBorder="1" applyAlignment="1">
      <alignment vertical="center"/>
    </xf>
    <xf numFmtId="3" fontId="23" fillId="0" borderId="3" xfId="3" applyNumberFormat="1" applyFont="1" applyFill="1" applyBorder="1" applyAlignment="1">
      <alignment vertical="center"/>
    </xf>
    <xf numFmtId="3" fontId="29" fillId="6" borderId="18" xfId="3" applyNumberFormat="1" applyFont="1" applyFill="1" applyBorder="1" applyAlignment="1">
      <alignment vertical="center"/>
    </xf>
    <xf numFmtId="3" fontId="4" fillId="0" borderId="3" xfId="3" applyNumberFormat="1" applyFont="1" applyFill="1" applyBorder="1" applyAlignment="1" applyProtection="1">
      <alignment vertical="center"/>
      <protection locked="0"/>
    </xf>
    <xf numFmtId="3" fontId="6" fillId="6" borderId="18" xfId="3" applyNumberFormat="1" applyFont="1" applyFill="1" applyBorder="1" applyAlignment="1" applyProtection="1">
      <alignment vertical="center"/>
      <protection locked="0"/>
    </xf>
    <xf numFmtId="3" fontId="23" fillId="0" borderId="3" xfId="3" applyNumberFormat="1" applyFont="1" applyFill="1" applyBorder="1" applyAlignment="1" applyProtection="1">
      <alignment vertical="center"/>
      <protection locked="0"/>
    </xf>
    <xf numFmtId="3" fontId="29" fillId="6" borderId="18" xfId="3" applyNumberFormat="1" applyFont="1" applyFill="1" applyBorder="1" applyAlignment="1" applyProtection="1">
      <alignment vertical="center"/>
      <protection locked="0"/>
    </xf>
    <xf numFmtId="3" fontId="23" fillId="0" borderId="3" xfId="12" applyNumberFormat="1" applyFont="1" applyBorder="1" applyAlignment="1">
      <alignment vertical="center"/>
    </xf>
    <xf numFmtId="3" fontId="29" fillId="6" borderId="18" xfId="12" applyNumberFormat="1" applyFont="1" applyFill="1" applyBorder="1" applyAlignment="1">
      <alignment vertical="center"/>
    </xf>
    <xf numFmtId="3" fontId="2" fillId="0" borderId="3" xfId="3" applyNumberFormat="1" applyFill="1" applyBorder="1" applyAlignment="1">
      <alignment vertical="center"/>
    </xf>
    <xf numFmtId="3" fontId="2" fillId="0" borderId="3" xfId="3" applyNumberFormat="1" applyFont="1" applyFill="1" applyBorder="1" applyAlignment="1">
      <alignment vertical="center"/>
    </xf>
    <xf numFmtId="3" fontId="2" fillId="0" borderId="3" xfId="3" applyNumberFormat="1" applyFont="1" applyBorder="1" applyAlignment="1">
      <alignment vertical="center"/>
    </xf>
    <xf numFmtId="3" fontId="3" fillId="0" borderId="3" xfId="3" applyNumberFormat="1" applyFont="1" applyBorder="1" applyAlignment="1">
      <alignment vertical="center"/>
    </xf>
    <xf numFmtId="3" fontId="2" fillId="0" borderId="3" xfId="3" applyNumberFormat="1" applyBorder="1" applyAlignment="1">
      <alignment vertical="center"/>
    </xf>
    <xf numFmtId="0" fontId="6" fillId="6" borderId="29" xfId="3" applyFont="1" applyFill="1" applyBorder="1"/>
    <xf numFmtId="0" fontId="3" fillId="2" borderId="2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/>
    </xf>
    <xf numFmtId="0" fontId="17" fillId="0" borderId="26" xfId="0" applyFont="1" applyFill="1" applyBorder="1" applyAlignment="1">
      <alignment horizontal="center" vertical="center"/>
    </xf>
    <xf numFmtId="0" fontId="17" fillId="0" borderId="18" xfId="12" applyFont="1" applyFill="1" applyBorder="1" applyAlignment="1">
      <alignment horizontal="center" vertical="center" wrapText="1"/>
    </xf>
    <xf numFmtId="4" fontId="46" fillId="0" borderId="0" xfId="5" applyNumberFormat="1" applyFont="1"/>
    <xf numFmtId="3" fontId="8" fillId="0" borderId="8" xfId="3" applyNumberFormat="1" applyFont="1" applyBorder="1"/>
    <xf numFmtId="3" fontId="3" fillId="0" borderId="18" xfId="12" applyNumberFormat="1" applyFont="1" applyBorder="1" applyAlignment="1">
      <alignment horizontal="right"/>
    </xf>
    <xf numFmtId="0" fontId="1" fillId="0" borderId="18" xfId="12" applyFont="1" applyFill="1" applyBorder="1"/>
    <xf numFmtId="0" fontId="8" fillId="0" borderId="18" xfId="12" applyFont="1" applyFill="1" applyBorder="1" applyAlignment="1">
      <alignment horizontal="right"/>
    </xf>
    <xf numFmtId="0" fontId="17" fillId="6" borderId="18" xfId="3" applyFont="1" applyFill="1" applyBorder="1" applyAlignment="1">
      <alignment horizontal="center"/>
    </xf>
    <xf numFmtId="0" fontId="12" fillId="6" borderId="18" xfId="3" applyFont="1" applyFill="1" applyBorder="1" applyAlignment="1">
      <alignment horizontal="center"/>
    </xf>
    <xf numFmtId="3" fontId="12" fillId="6" borderId="18" xfId="4" applyNumberFormat="1" applyFont="1" applyFill="1" applyBorder="1"/>
    <xf numFmtId="3" fontId="6" fillId="6" borderId="18" xfId="4" applyNumberFormat="1" applyFont="1" applyFill="1" applyBorder="1"/>
    <xf numFmtId="3" fontId="6" fillId="6" borderId="29" xfId="3" applyNumberFormat="1" applyFont="1" applyFill="1" applyBorder="1"/>
    <xf numFmtId="0" fontId="12" fillId="6" borderId="19" xfId="3" applyFont="1" applyFill="1" applyBorder="1" applyAlignment="1">
      <alignment horizontal="center"/>
    </xf>
    <xf numFmtId="3" fontId="12" fillId="6" borderId="19" xfId="3" applyNumberFormat="1" applyFont="1" applyFill="1" applyBorder="1" applyAlignment="1">
      <alignment horizontal="right"/>
    </xf>
    <xf numFmtId="3" fontId="6" fillId="6" borderId="19" xfId="3" applyNumberFormat="1" applyFont="1" applyFill="1" applyBorder="1"/>
    <xf numFmtId="3" fontId="12" fillId="6" borderId="19" xfId="3" applyNumberFormat="1" applyFont="1" applyFill="1" applyBorder="1"/>
    <xf numFmtId="3" fontId="12" fillId="6" borderId="19" xfId="4" applyNumberFormat="1" applyFont="1" applyFill="1" applyBorder="1"/>
    <xf numFmtId="0" fontId="6" fillId="6" borderId="18" xfId="3" applyFont="1" applyFill="1" applyBorder="1"/>
    <xf numFmtId="3" fontId="8" fillId="0" borderId="3" xfId="3" applyNumberFormat="1" applyFont="1" applyBorder="1"/>
    <xf numFmtId="3" fontId="21" fillId="6" borderId="18" xfId="3" applyNumberFormat="1" applyFont="1" applyFill="1" applyBorder="1"/>
    <xf numFmtId="0" fontId="12" fillId="6" borderId="27" xfId="3" applyFont="1" applyFill="1" applyBorder="1" applyAlignment="1" applyProtection="1">
      <alignment horizontal="center" vertical="center" wrapText="1"/>
    </xf>
    <xf numFmtId="0" fontId="17" fillId="6" borderId="18" xfId="3" applyFont="1" applyFill="1" applyBorder="1" applyAlignment="1" applyProtection="1">
      <alignment horizontal="center"/>
    </xf>
    <xf numFmtId="3" fontId="12" fillId="6" borderId="18" xfId="3" applyNumberFormat="1" applyFont="1" applyFill="1" applyBorder="1" applyAlignment="1" applyProtection="1">
      <alignment horizontal="center"/>
    </xf>
    <xf numFmtId="3" fontId="12" fillId="6" borderId="18" xfId="4" applyNumberFormat="1" applyFont="1" applyFill="1" applyBorder="1" applyProtection="1"/>
    <xf numFmtId="3" fontId="6" fillId="6" borderId="18" xfId="4" applyNumberFormat="1" applyFont="1" applyFill="1" applyBorder="1" applyProtection="1"/>
    <xf numFmtId="3" fontId="6" fillId="6" borderId="18" xfId="3" applyNumberFormat="1" applyFont="1" applyFill="1" applyBorder="1" applyProtection="1"/>
    <xf numFmtId="3" fontId="12" fillId="6" borderId="18" xfId="3" applyNumberFormat="1" applyFont="1" applyFill="1" applyBorder="1" applyProtection="1"/>
    <xf numFmtId="3" fontId="12" fillId="6" borderId="18" xfId="3" applyNumberFormat="1" applyFont="1" applyFill="1" applyBorder="1" applyAlignment="1" applyProtection="1">
      <alignment horizontal="right"/>
    </xf>
    <xf numFmtId="3" fontId="6" fillId="6" borderId="29" xfId="3" applyNumberFormat="1" applyFont="1" applyFill="1" applyBorder="1" applyProtection="1"/>
    <xf numFmtId="3" fontId="12" fillId="6" borderId="18" xfId="3" applyNumberFormat="1" applyFont="1" applyFill="1" applyBorder="1" applyAlignment="1">
      <alignment horizontal="center"/>
    </xf>
    <xf numFmtId="0" fontId="12" fillId="6" borderId="18" xfId="3" applyFont="1" applyFill="1" applyBorder="1" applyAlignment="1">
      <alignment horizontal="center" vertical="center" wrapText="1"/>
    </xf>
    <xf numFmtId="3" fontId="6" fillId="6" borderId="18" xfId="12" applyNumberFormat="1" applyFont="1" applyFill="1" applyBorder="1"/>
    <xf numFmtId="3" fontId="12" fillId="6" borderId="18" xfId="12" applyNumberFormat="1" applyFont="1" applyFill="1" applyBorder="1"/>
    <xf numFmtId="0" fontId="12" fillId="6" borderId="18" xfId="3" applyFont="1" applyFill="1" applyBorder="1" applyAlignment="1">
      <alignment horizontal="right"/>
    </xf>
    <xf numFmtId="3" fontId="6" fillId="6" borderId="18" xfId="4" applyNumberFormat="1" applyFont="1" applyFill="1" applyBorder="1" applyAlignment="1">
      <alignment vertical="center"/>
    </xf>
    <xf numFmtId="3" fontId="12" fillId="6" borderId="29" xfId="3" applyNumberFormat="1" applyFont="1" applyFill="1" applyBorder="1"/>
    <xf numFmtId="0" fontId="0" fillId="0" borderId="0" xfId="0"/>
    <xf numFmtId="0" fontId="27" fillId="0" borderId="43" xfId="0" applyFont="1" applyBorder="1" applyAlignment="1">
      <alignment horizontal="left"/>
    </xf>
    <xf numFmtId="0" fontId="27" fillId="0" borderId="44" xfId="0" applyFont="1" applyBorder="1" applyAlignment="1">
      <alignment horizontal="left"/>
    </xf>
    <xf numFmtId="0" fontId="27" fillId="0" borderId="45" xfId="0" applyFont="1" applyBorder="1" applyAlignment="1">
      <alignment horizontal="left"/>
    </xf>
    <xf numFmtId="0" fontId="1" fillId="0" borderId="0" xfId="0" applyFont="1" applyAlignment="1">
      <alignment horizontal="justify" wrapText="1"/>
    </xf>
    <xf numFmtId="0" fontId="0" fillId="0" borderId="0" xfId="0" applyAlignment="1">
      <alignment horizontal="center"/>
    </xf>
    <xf numFmtId="0" fontId="7" fillId="0" borderId="0" xfId="12" applyFont="1" applyAlignment="1">
      <alignment horizontal="left"/>
    </xf>
    <xf numFmtId="0" fontId="0" fillId="0" borderId="0" xfId="0" applyBorder="1" applyAlignment="1"/>
    <xf numFmtId="0" fontId="3" fillId="2" borderId="17" xfId="12" applyFont="1" applyFill="1" applyBorder="1" applyAlignment="1">
      <alignment horizontal="center" vertical="center" wrapText="1"/>
    </xf>
    <xf numFmtId="4" fontId="21" fillId="6" borderId="18" xfId="0" applyNumberFormat="1" applyFont="1" applyFill="1" applyBorder="1" applyAlignment="1">
      <alignment vertical="center"/>
    </xf>
    <xf numFmtId="4" fontId="8" fillId="6" borderId="18" xfId="0" applyNumberFormat="1" applyFont="1" applyFill="1" applyBorder="1" applyAlignment="1">
      <alignment vertical="center"/>
    </xf>
    <xf numFmtId="4" fontId="8" fillId="0" borderId="18" xfId="0" applyNumberFormat="1" applyFont="1" applyFill="1" applyBorder="1" applyAlignment="1">
      <alignment vertical="center"/>
    </xf>
    <xf numFmtId="4" fontId="1" fillId="0" borderId="18" xfId="0" applyNumberFormat="1" applyFont="1" applyFill="1" applyBorder="1" applyAlignment="1">
      <alignment vertical="center"/>
    </xf>
    <xf numFmtId="4" fontId="23" fillId="0" borderId="18" xfId="0" applyNumberFormat="1" applyFont="1" applyFill="1" applyBorder="1" applyAlignment="1">
      <alignment vertical="center"/>
    </xf>
    <xf numFmtId="4" fontId="1" fillId="0" borderId="27" xfId="0" applyNumberFormat="1" applyFont="1" applyBorder="1" applyAlignment="1">
      <alignment vertical="center"/>
    </xf>
    <xf numFmtId="4" fontId="1" fillId="0" borderId="18" xfId="0" applyNumberFormat="1" applyFont="1" applyBorder="1" applyAlignment="1">
      <alignment vertical="center"/>
    </xf>
    <xf numFmtId="4" fontId="8" fillId="0" borderId="18" xfId="0" applyNumberFormat="1" applyFont="1" applyBorder="1" applyAlignment="1">
      <alignment vertical="center"/>
    </xf>
    <xf numFmtId="4" fontId="23" fillId="0" borderId="18" xfId="0" applyNumberFormat="1" applyFont="1" applyBorder="1" applyAlignment="1">
      <alignment vertical="center"/>
    </xf>
    <xf numFmtId="4" fontId="1" fillId="0" borderId="27" xfId="0" applyNumberFormat="1" applyFont="1" applyFill="1" applyBorder="1" applyAlignment="1">
      <alignment vertical="center"/>
    </xf>
    <xf numFmtId="4" fontId="21" fillId="0" borderId="18" xfId="0" applyNumberFormat="1" applyFont="1" applyBorder="1" applyAlignment="1">
      <alignment vertical="center"/>
    </xf>
    <xf numFmtId="4" fontId="1" fillId="0" borderId="29" xfId="0" applyNumberFormat="1" applyFont="1" applyBorder="1" applyAlignment="1">
      <alignment vertical="center"/>
    </xf>
    <xf numFmtId="4" fontId="21" fillId="6" borderId="61" xfId="0" applyNumberFormat="1" applyFont="1" applyFill="1" applyBorder="1" applyAlignment="1">
      <alignment vertical="center"/>
    </xf>
    <xf numFmtId="4" fontId="2" fillId="0" borderId="62" xfId="3" applyNumberFormat="1" applyBorder="1"/>
    <xf numFmtId="3" fontId="1" fillId="0" borderId="63" xfId="0" applyNumberFormat="1" applyFont="1" applyFill="1" applyBorder="1" applyAlignment="1">
      <alignment vertical="center"/>
    </xf>
    <xf numFmtId="0" fontId="1" fillId="0" borderId="0" xfId="3" applyFont="1" applyFill="1" applyAlignment="1">
      <alignment horizontal="right"/>
    </xf>
    <xf numFmtId="3" fontId="1" fillId="0" borderId="0" xfId="3" applyNumberFormat="1" applyFont="1" applyAlignment="1">
      <alignment horizontal="center"/>
    </xf>
    <xf numFmtId="0" fontId="3" fillId="0" borderId="3" xfId="12" applyFont="1" applyFill="1" applyBorder="1" applyAlignment="1">
      <alignment horizontal="right"/>
    </xf>
    <xf numFmtId="0" fontId="1" fillId="0" borderId="8" xfId="0" applyFont="1" applyFill="1" applyBorder="1" applyAlignment="1">
      <alignment wrapText="1"/>
    </xf>
    <xf numFmtId="0" fontId="4" fillId="0" borderId="4" xfId="0" applyFont="1" applyFill="1" applyBorder="1" applyAlignment="1">
      <alignment vertical="center" wrapText="1"/>
    </xf>
    <xf numFmtId="0" fontId="0" fillId="0" borderId="0" xfId="0"/>
    <xf numFmtId="0" fontId="1" fillId="0" borderId="0" xfId="3" applyFont="1" applyFill="1"/>
    <xf numFmtId="0" fontId="0" fillId="0" borderId="0" xfId="0"/>
    <xf numFmtId="2" fontId="8" fillId="4" borderId="4" xfId="0" applyNumberFormat="1" applyFont="1" applyFill="1" applyBorder="1" applyAlignment="1">
      <alignment horizontal="right" vertical="center"/>
    </xf>
    <xf numFmtId="2" fontId="8" fillId="4" borderId="22" xfId="0" applyNumberFormat="1" applyFont="1" applyFill="1" applyBorder="1" applyAlignment="1">
      <alignment horizontal="right" vertical="center"/>
    </xf>
    <xf numFmtId="0" fontId="27" fillId="0" borderId="43" xfId="0" applyFont="1" applyBorder="1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168" fontId="8" fillId="0" borderId="0" xfId="0" applyNumberFormat="1" applyFont="1" applyFill="1"/>
    <xf numFmtId="0" fontId="23" fillId="0" borderId="8" xfId="0" applyFont="1" applyFill="1" applyBorder="1" applyAlignment="1">
      <alignment vertical="center" wrapText="1"/>
    </xf>
    <xf numFmtId="0" fontId="27" fillId="0" borderId="43" xfId="0" applyFont="1" applyBorder="1" applyAlignment="1">
      <alignment horizontal="left"/>
    </xf>
    <xf numFmtId="0" fontId="44" fillId="0" borderId="4" xfId="0" applyFont="1" applyFill="1" applyBorder="1" applyAlignment="1">
      <alignment wrapText="1"/>
    </xf>
    <xf numFmtId="0" fontId="0" fillId="0" borderId="0" xfId="0" applyAlignment="1"/>
    <xf numFmtId="0" fontId="0" fillId="0" borderId="0" xfId="0"/>
    <xf numFmtId="0" fontId="9" fillId="0" borderId="0" xfId="0" applyFont="1" applyAlignment="1">
      <alignment horizontal="center" vertical="top"/>
    </xf>
    <xf numFmtId="0" fontId="0" fillId="0" borderId="0" xfId="0" applyAlignment="1">
      <alignment horizontal="justify" wrapText="1"/>
    </xf>
    <xf numFmtId="0" fontId="0" fillId="0" borderId="0" xfId="0" applyAlignment="1">
      <alignment horizontal="justify"/>
    </xf>
    <xf numFmtId="0" fontId="0" fillId="0" borderId="0" xfId="0" applyBorder="1"/>
    <xf numFmtId="3" fontId="30" fillId="8" borderId="8" xfId="0" applyNumberFormat="1" applyFont="1" applyFill="1" applyBorder="1" applyAlignment="1">
      <alignment vertical="center"/>
    </xf>
    <xf numFmtId="3" fontId="38" fillId="8" borderId="8" xfId="0" applyNumberFormat="1" applyFont="1" applyFill="1" applyBorder="1" applyAlignment="1">
      <alignment vertical="center"/>
    </xf>
    <xf numFmtId="0" fontId="1" fillId="0" borderId="4" xfId="0" applyFont="1" applyFill="1" applyBorder="1"/>
    <xf numFmtId="0" fontId="1" fillId="0" borderId="3" xfId="0" applyFont="1" applyBorder="1" applyAlignment="1">
      <alignment horizontal="right"/>
    </xf>
    <xf numFmtId="0" fontId="23" fillId="0" borderId="4" xfId="0" applyFont="1" applyFill="1" applyBorder="1" applyAlignment="1">
      <alignment horizontal="left"/>
    </xf>
    <xf numFmtId="3" fontId="1" fillId="0" borderId="8" xfId="0" applyNumberFormat="1" applyFont="1" applyFill="1" applyBorder="1"/>
    <xf numFmtId="3" fontId="30" fillId="0" borderId="8" xfId="0" applyNumberFormat="1" applyFont="1" applyFill="1" applyBorder="1"/>
    <xf numFmtId="4" fontId="1" fillId="0" borderId="18" xfId="0" applyNumberFormat="1" applyFont="1" applyBorder="1"/>
    <xf numFmtId="3" fontId="1" fillId="0" borderId="0" xfId="0" applyNumberFormat="1" applyFont="1" applyFill="1"/>
    <xf numFmtId="0" fontId="15" fillId="0" borderId="3" xfId="0" applyFont="1" applyBorder="1" applyAlignment="1">
      <alignment horizontal="right"/>
    </xf>
    <xf numFmtId="3" fontId="23" fillId="0" borderId="8" xfId="0" applyNumberFormat="1" applyFont="1" applyFill="1" applyBorder="1"/>
    <xf numFmtId="3" fontId="38" fillId="0" borderId="8" xfId="0" applyNumberFormat="1" applyFont="1" applyFill="1" applyBorder="1"/>
    <xf numFmtId="4" fontId="23" fillId="0" borderId="18" xfId="0" applyNumberFormat="1" applyFont="1" applyBorder="1"/>
    <xf numFmtId="0" fontId="8" fillId="0" borderId="3" xfId="0" applyFont="1" applyBorder="1" applyAlignment="1">
      <alignment horizontal="right"/>
    </xf>
    <xf numFmtId="0" fontId="23" fillId="9" borderId="0" xfId="0" applyFont="1" applyFill="1"/>
    <xf numFmtId="3" fontId="1" fillId="9" borderId="63" xfId="0" applyNumberFormat="1" applyFont="1" applyFill="1" applyBorder="1" applyAlignment="1">
      <alignment vertical="center"/>
    </xf>
    <xf numFmtId="3" fontId="0" fillId="9" borderId="0" xfId="0" applyNumberFormat="1" applyFill="1"/>
    <xf numFmtId="0" fontId="0" fillId="9" borderId="0" xfId="0" applyFill="1"/>
    <xf numFmtId="0" fontId="0" fillId="0" borderId="0" xfId="0" applyAlignment="1"/>
    <xf numFmtId="0" fontId="0" fillId="0" borderId="0" xfId="0"/>
    <xf numFmtId="0" fontId="1" fillId="0" borderId="0" xfId="0" applyFont="1" applyAlignment="1">
      <alignment horizontal="justify" wrapText="1"/>
    </xf>
    <xf numFmtId="0" fontId="0" fillId="0" borderId="0" xfId="0" applyFill="1" applyAlignment="1">
      <alignment horizontal="justify" vertical="top"/>
    </xf>
    <xf numFmtId="0" fontId="0" fillId="0" borderId="0" xfId="0" applyBorder="1" applyAlignment="1"/>
    <xf numFmtId="0" fontId="0" fillId="0" borderId="0" xfId="0" applyBorder="1" applyAlignment="1">
      <alignment wrapText="1"/>
    </xf>
    <xf numFmtId="0" fontId="3" fillId="2" borderId="2" xfId="12" applyFont="1" applyFill="1" applyBorder="1" applyAlignment="1">
      <alignment horizontal="center" vertical="center" wrapText="1"/>
    </xf>
    <xf numFmtId="0" fontId="17" fillId="0" borderId="4" xfId="12" applyFont="1" applyFill="1" applyBorder="1" applyAlignment="1">
      <alignment horizontal="center" vertical="center" wrapText="1"/>
    </xf>
    <xf numFmtId="4" fontId="21" fillId="6" borderId="4" xfId="0" applyNumberFormat="1" applyFont="1" applyFill="1" applyBorder="1" applyAlignment="1">
      <alignment vertical="center"/>
    </xf>
    <xf numFmtId="4" fontId="8" fillId="6" borderId="4" xfId="0" applyNumberFormat="1" applyFont="1" applyFill="1" applyBorder="1" applyAlignment="1">
      <alignment vertical="center"/>
    </xf>
    <xf numFmtId="4" fontId="8" fillId="0" borderId="4" xfId="0" applyNumberFormat="1" applyFont="1" applyFill="1" applyBorder="1" applyAlignment="1">
      <alignment vertical="center"/>
    </xf>
    <xf numFmtId="4" fontId="1" fillId="0" borderId="4" xfId="0" applyNumberFormat="1" applyFont="1" applyFill="1" applyBorder="1" applyAlignment="1">
      <alignment vertical="center"/>
    </xf>
    <xf numFmtId="4" fontId="23" fillId="0" borderId="4" xfId="0" applyNumberFormat="1" applyFont="1" applyFill="1" applyBorder="1" applyAlignment="1">
      <alignment vertical="center"/>
    </xf>
    <xf numFmtId="4" fontId="1" fillId="0" borderId="12" xfId="0" applyNumberFormat="1" applyFont="1" applyBorder="1" applyAlignment="1">
      <alignment vertical="center"/>
    </xf>
    <xf numFmtId="4" fontId="1" fillId="0" borderId="4" xfId="0" applyNumberFormat="1" applyFont="1" applyBorder="1" applyAlignment="1">
      <alignment vertical="center"/>
    </xf>
    <xf numFmtId="4" fontId="8" fillId="0" borderId="4" xfId="0" applyNumberFormat="1" applyFont="1" applyBorder="1" applyAlignment="1">
      <alignment vertical="center"/>
    </xf>
    <xf numFmtId="4" fontId="23" fillId="0" borderId="4" xfId="0" applyNumberFormat="1" applyFont="1" applyBorder="1" applyAlignment="1">
      <alignment vertical="center"/>
    </xf>
    <xf numFmtId="4" fontId="1" fillId="0" borderId="12" xfId="0" applyNumberFormat="1" applyFont="1" applyFill="1" applyBorder="1" applyAlignment="1">
      <alignment vertical="center"/>
    </xf>
    <xf numFmtId="4" fontId="21" fillId="0" borderId="4" xfId="0" applyNumberFormat="1" applyFont="1" applyBorder="1" applyAlignment="1">
      <alignment vertical="center"/>
    </xf>
    <xf numFmtId="4" fontId="1" fillId="0" borderId="4" xfId="0" applyNumberFormat="1" applyFont="1" applyBorder="1"/>
    <xf numFmtId="4" fontId="23" fillId="0" borderId="4" xfId="0" applyNumberFormat="1" applyFont="1" applyBorder="1"/>
    <xf numFmtId="4" fontId="1" fillId="0" borderId="6" xfId="0" applyNumberFormat="1" applyFont="1" applyBorder="1" applyAlignment="1">
      <alignment vertical="center"/>
    </xf>
    <xf numFmtId="4" fontId="21" fillId="6" borderId="28" xfId="0" applyNumberFormat="1" applyFont="1" applyFill="1" applyBorder="1" applyAlignment="1">
      <alignment vertical="center"/>
    </xf>
    <xf numFmtId="3" fontId="0" fillId="0" borderId="0" xfId="0" applyNumberFormat="1" applyBorder="1" applyAlignment="1"/>
    <xf numFmtId="0" fontId="17" fillId="0" borderId="3" xfId="12" applyFont="1" applyBorder="1" applyAlignment="1">
      <alignment horizontal="center"/>
    </xf>
    <xf numFmtId="0" fontId="17" fillId="0" borderId="18" xfId="12" applyFont="1" applyBorder="1" applyAlignment="1">
      <alignment horizontal="center"/>
    </xf>
    <xf numFmtId="4" fontId="3" fillId="6" borderId="3" xfId="3" applyNumberFormat="1" applyFont="1" applyFill="1" applyBorder="1" applyAlignment="1">
      <alignment horizontal="right"/>
    </xf>
    <xf numFmtId="4" fontId="3" fillId="6" borderId="18" xfId="3" applyNumberFormat="1" applyFont="1" applyFill="1" applyBorder="1" applyAlignment="1">
      <alignment horizontal="right"/>
    </xf>
    <xf numFmtId="4" fontId="4" fillId="0" borderId="3" xfId="3" applyNumberFormat="1" applyFont="1" applyBorder="1" applyAlignment="1">
      <alignment horizontal="right"/>
    </xf>
    <xf numFmtId="4" fontId="4" fillId="0" borderId="18" xfId="3" applyNumberFormat="1" applyFont="1" applyBorder="1" applyAlignment="1">
      <alignment horizontal="right"/>
    </xf>
    <xf numFmtId="4" fontId="8" fillId="6" borderId="3" xfId="3" applyNumberFormat="1" applyFont="1" applyFill="1" applyBorder="1" applyAlignment="1">
      <alignment horizontal="right"/>
    </xf>
    <xf numFmtId="4" fontId="8" fillId="6" borderId="18" xfId="3" applyNumberFormat="1" applyFont="1" applyFill="1" applyBorder="1" applyAlignment="1">
      <alignment horizontal="right"/>
    </xf>
    <xf numFmtId="4" fontId="23" fillId="0" borderId="3" xfId="3" applyNumberFormat="1" applyFont="1" applyBorder="1" applyAlignment="1">
      <alignment horizontal="right"/>
    </xf>
    <xf numFmtId="4" fontId="23" fillId="0" borderId="18" xfId="3" applyNumberFormat="1" applyFont="1" applyBorder="1" applyAlignment="1">
      <alignment horizontal="right"/>
    </xf>
    <xf numFmtId="4" fontId="8" fillId="6" borderId="3" xfId="3" applyNumberFormat="1" applyFont="1" applyFill="1" applyBorder="1" applyAlignment="1">
      <alignment horizontal="right" vertical="center"/>
    </xf>
    <xf numFmtId="4" fontId="8" fillId="6" borderId="18" xfId="3" applyNumberFormat="1" applyFont="1" applyFill="1" applyBorder="1" applyAlignment="1">
      <alignment horizontal="right" vertical="center"/>
    </xf>
    <xf numFmtId="4" fontId="4" fillId="0" borderId="3" xfId="3" applyNumberFormat="1" applyFont="1" applyBorder="1" applyAlignment="1">
      <alignment horizontal="right" vertical="center"/>
    </xf>
    <xf numFmtId="4" fontId="4" fillId="0" borderId="18" xfId="3" applyNumberFormat="1" applyFont="1" applyBorder="1" applyAlignment="1">
      <alignment horizontal="right" vertical="center"/>
    </xf>
    <xf numFmtId="4" fontId="23" fillId="0" borderId="3" xfId="3" applyNumberFormat="1" applyFont="1" applyBorder="1" applyAlignment="1">
      <alignment horizontal="right" vertical="center"/>
    </xf>
    <xf numFmtId="4" fontId="23" fillId="0" borderId="18" xfId="3" applyNumberFormat="1" applyFont="1" applyBorder="1" applyAlignment="1">
      <alignment horizontal="right" vertical="center"/>
    </xf>
    <xf numFmtId="4" fontId="23" fillId="0" borderId="3" xfId="12" applyNumberFormat="1" applyFont="1" applyBorder="1" applyAlignment="1">
      <alignment horizontal="right" vertical="center"/>
    </xf>
    <xf numFmtId="4" fontId="23" fillId="0" borderId="18" xfId="12" applyNumberFormat="1" applyFont="1" applyBorder="1" applyAlignment="1">
      <alignment horizontal="right" vertical="center"/>
    </xf>
    <xf numFmtId="4" fontId="8" fillId="0" borderId="3" xfId="3" applyNumberFormat="1" applyFont="1" applyBorder="1" applyAlignment="1">
      <alignment horizontal="right"/>
    </xf>
    <xf numFmtId="4" fontId="8" fillId="0" borderId="18" xfId="3" applyNumberFormat="1" applyFont="1" applyBorder="1" applyAlignment="1">
      <alignment horizontal="right"/>
    </xf>
    <xf numFmtId="4" fontId="2" fillId="0" borderId="5" xfId="3" applyNumberFormat="1" applyBorder="1"/>
    <xf numFmtId="4" fontId="2" fillId="0" borderId="29" xfId="3" applyNumberFormat="1" applyBorder="1"/>
    <xf numFmtId="4" fontId="26" fillId="0" borderId="3" xfId="3" applyNumberFormat="1" applyFont="1" applyBorder="1" applyAlignment="1">
      <alignment horizontal="center"/>
    </xf>
    <xf numFmtId="4" fontId="26" fillId="0" borderId="18" xfId="3" applyNumberFormat="1" applyFont="1" applyBorder="1" applyAlignment="1">
      <alignment horizontal="center"/>
    </xf>
    <xf numFmtId="4" fontId="26" fillId="0" borderId="3" xfId="3" applyNumberFormat="1" applyFont="1" applyFill="1" applyBorder="1"/>
    <xf numFmtId="4" fontId="26" fillId="0" borderId="18" xfId="3" applyNumberFormat="1" applyFont="1" applyFill="1" applyBorder="1"/>
    <xf numFmtId="4" fontId="20" fillId="0" borderId="3" xfId="3" applyNumberFormat="1" applyFont="1" applyFill="1" applyBorder="1"/>
    <xf numFmtId="4" fontId="20" fillId="0" borderId="18" xfId="3" applyNumberFormat="1" applyFont="1" applyFill="1" applyBorder="1"/>
    <xf numFmtId="4" fontId="20" fillId="0" borderId="5" xfId="3" applyNumberFormat="1" applyFont="1" applyBorder="1"/>
    <xf numFmtId="4" fontId="20" fillId="0" borderId="29" xfId="3" applyNumberFormat="1" applyFont="1" applyBorder="1"/>
    <xf numFmtId="4" fontId="20" fillId="0" borderId="3" xfId="3" applyNumberFormat="1" applyFont="1" applyBorder="1"/>
    <xf numFmtId="4" fontId="20" fillId="0" borderId="18" xfId="3" applyNumberFormat="1" applyFont="1" applyBorder="1"/>
    <xf numFmtId="4" fontId="20" fillId="0" borderId="3" xfId="12" applyNumberFormat="1" applyFont="1" applyFill="1" applyBorder="1"/>
    <xf numFmtId="4" fontId="20" fillId="0" borderId="18" xfId="12" applyNumberFormat="1" applyFont="1" applyFill="1" applyBorder="1"/>
    <xf numFmtId="0" fontId="17" fillId="0" borderId="3" xfId="12" applyFont="1" applyBorder="1" applyAlignment="1" applyProtection="1">
      <alignment horizontal="center"/>
      <protection locked="0"/>
    </xf>
    <xf numFmtId="0" fontId="17" fillId="0" borderId="18" xfId="12" applyFont="1" applyBorder="1" applyAlignment="1" applyProtection="1">
      <alignment horizontal="center"/>
      <protection locked="0"/>
    </xf>
    <xf numFmtId="4" fontId="26" fillId="0" borderId="3" xfId="3" applyNumberFormat="1" applyFont="1" applyBorder="1" applyAlignment="1" applyProtection="1">
      <alignment horizontal="center"/>
      <protection locked="0"/>
    </xf>
    <xf numFmtId="4" fontId="26" fillId="0" borderId="18" xfId="3" applyNumberFormat="1" applyFont="1" applyBorder="1" applyAlignment="1" applyProtection="1">
      <alignment horizontal="center"/>
      <protection locked="0"/>
    </xf>
    <xf numFmtId="4" fontId="26" fillId="0" borderId="3" xfId="3" applyNumberFormat="1" applyFont="1" applyFill="1" applyBorder="1" applyProtection="1">
      <protection locked="0"/>
    </xf>
    <xf numFmtId="4" fontId="26" fillId="0" borderId="18" xfId="3" applyNumberFormat="1" applyFont="1" applyFill="1" applyBorder="1" applyProtection="1">
      <protection locked="0"/>
    </xf>
    <xf numFmtId="4" fontId="20" fillId="0" borderId="3" xfId="3" applyNumberFormat="1" applyFont="1" applyFill="1" applyBorder="1" applyProtection="1">
      <protection locked="0"/>
    </xf>
    <xf numFmtId="4" fontId="20" fillId="0" borderId="18" xfId="3" applyNumberFormat="1" applyFont="1" applyFill="1" applyBorder="1" applyProtection="1">
      <protection locked="0"/>
    </xf>
    <xf numFmtId="4" fontId="20" fillId="0" borderId="5" xfId="3" applyNumberFormat="1" applyFont="1" applyBorder="1" applyProtection="1">
      <protection locked="0"/>
    </xf>
    <xf numFmtId="4" fontId="20" fillId="0" borderId="29" xfId="3" applyNumberFormat="1" applyFont="1" applyBorder="1" applyProtection="1">
      <protection locked="0"/>
    </xf>
    <xf numFmtId="4" fontId="26" fillId="0" borderId="5" xfId="3" applyNumberFormat="1" applyFont="1" applyBorder="1"/>
    <xf numFmtId="4" fontId="26" fillId="0" borderId="29" xfId="3" applyNumberFormat="1" applyFont="1" applyBorder="1"/>
    <xf numFmtId="0" fontId="0" fillId="0" borderId="0" xfId="0" applyAlignment="1"/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13" fillId="7" borderId="0" xfId="0" applyFont="1" applyFill="1" applyAlignment="1">
      <alignment horizontal="center" wrapText="1"/>
    </xf>
    <xf numFmtId="0" fontId="0" fillId="0" borderId="0" xfId="0"/>
    <xf numFmtId="0" fontId="0" fillId="7" borderId="0" xfId="0" applyFill="1" applyAlignment="1"/>
    <xf numFmtId="0" fontId="9" fillId="0" borderId="0" xfId="0" applyFont="1" applyAlignment="1">
      <alignment horizontal="center" vertical="top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horizontal="center"/>
    </xf>
    <xf numFmtId="0" fontId="27" fillId="0" borderId="43" xfId="0" applyFont="1" applyBorder="1" applyAlignment="1">
      <alignment horizontal="left"/>
    </xf>
    <xf numFmtId="0" fontId="0" fillId="0" borderId="44" xfId="0" applyBorder="1" applyAlignment="1">
      <alignment horizontal="left"/>
    </xf>
    <xf numFmtId="0" fontId="0" fillId="0" borderId="45" xfId="0" applyBorder="1" applyAlignment="1">
      <alignment horizontal="left"/>
    </xf>
    <xf numFmtId="0" fontId="3" fillId="6" borderId="8" xfId="0" applyFont="1" applyFill="1" applyBorder="1" applyAlignment="1">
      <alignment horizontal="left"/>
    </xf>
    <xf numFmtId="0" fontId="3" fillId="6" borderId="25" xfId="0" applyFont="1" applyFill="1" applyBorder="1" applyAlignment="1">
      <alignment horizontal="left"/>
    </xf>
    <xf numFmtId="0" fontId="3" fillId="6" borderId="10" xfId="0" applyFont="1" applyFill="1" applyBorder="1" applyAlignment="1">
      <alignment horizontal="left"/>
    </xf>
    <xf numFmtId="0" fontId="9" fillId="0" borderId="0" xfId="0" applyFont="1" applyAlignment="1">
      <alignment horizontal="left"/>
    </xf>
    <xf numFmtId="0" fontId="27" fillId="0" borderId="44" xfId="0" applyFont="1" applyBorder="1" applyAlignment="1">
      <alignment horizontal="left"/>
    </xf>
    <xf numFmtId="0" fontId="27" fillId="0" borderId="45" xfId="0" applyFont="1" applyBorder="1" applyAlignment="1">
      <alignment horizontal="left"/>
    </xf>
    <xf numFmtId="0" fontId="27" fillId="0" borderId="51" xfId="0" applyFont="1" applyBorder="1" applyAlignment="1">
      <alignment horizontal="left"/>
    </xf>
    <xf numFmtId="0" fontId="27" fillId="0" borderId="52" xfId="0" applyFont="1" applyBorder="1" applyAlignment="1">
      <alignment horizontal="left"/>
    </xf>
    <xf numFmtId="0" fontId="27" fillId="0" borderId="53" xfId="0" applyFont="1" applyBorder="1" applyAlignment="1">
      <alignment horizontal="left"/>
    </xf>
    <xf numFmtId="0" fontId="1" fillId="0" borderId="0" xfId="0" applyFont="1" applyAlignment="1">
      <alignment horizontal="justify" wrapText="1"/>
    </xf>
    <xf numFmtId="0" fontId="1" fillId="0" borderId="0" xfId="0" applyFont="1" applyAlignment="1">
      <alignment horizontal="justify" vertical="top"/>
    </xf>
    <xf numFmtId="0" fontId="2" fillId="0" borderId="0" xfId="0" applyFont="1" applyAlignment="1">
      <alignment horizontal="justify" vertical="top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8" fillId="0" borderId="30" xfId="0" applyFont="1" applyBorder="1" applyAlignment="1">
      <alignment horizontal="right" vertical="center" wrapText="1"/>
    </xf>
    <xf numFmtId="0" fontId="8" fillId="0" borderId="10" xfId="0" applyFont="1" applyBorder="1" applyAlignment="1">
      <alignment horizontal="right" vertical="center" wrapText="1"/>
    </xf>
    <xf numFmtId="0" fontId="21" fillId="6" borderId="13" xfId="0" applyFont="1" applyFill="1" applyBorder="1" applyAlignment="1">
      <alignment horizontal="right" vertical="center" wrapText="1"/>
    </xf>
    <xf numFmtId="0" fontId="21" fillId="6" borderId="31" xfId="0" applyFont="1" applyFill="1" applyBorder="1" applyAlignment="1">
      <alignment horizontal="right" vertical="center" wrapText="1"/>
    </xf>
    <xf numFmtId="166" fontId="5" fillId="0" borderId="14" xfId="1" applyNumberFormat="1" applyFont="1" applyBorder="1" applyAlignment="1">
      <alignment horizontal="left" wrapText="1"/>
    </xf>
    <xf numFmtId="0" fontId="0" fillId="0" borderId="14" xfId="0" applyBorder="1" applyAlignment="1">
      <alignment wrapText="1"/>
    </xf>
    <xf numFmtId="4" fontId="25" fillId="6" borderId="37" xfId="12" applyNumberFormat="1" applyFont="1" applyFill="1" applyBorder="1" applyAlignment="1">
      <alignment horizontal="center" vertical="center" wrapText="1"/>
    </xf>
    <xf numFmtId="0" fontId="27" fillId="6" borderId="27" xfId="0" applyFont="1" applyFill="1" applyBorder="1" applyAlignment="1">
      <alignment horizontal="center" vertical="center"/>
    </xf>
    <xf numFmtId="0" fontId="0" fillId="0" borderId="0" xfId="0" applyFill="1" applyAlignment="1">
      <alignment horizontal="justify" vertical="top"/>
    </xf>
    <xf numFmtId="3" fontId="5" fillId="0" borderId="14" xfId="3" applyNumberFormat="1" applyFont="1" applyBorder="1" applyAlignment="1">
      <alignment horizontal="left"/>
    </xf>
    <xf numFmtId="3" fontId="0" fillId="0" borderId="14" xfId="0" applyNumberFormat="1" applyBorder="1" applyAlignment="1"/>
    <xf numFmtId="0" fontId="5" fillId="0" borderId="0" xfId="3" applyFont="1" applyBorder="1" applyAlignment="1">
      <alignment horizontal="left"/>
    </xf>
    <xf numFmtId="0" fontId="7" fillId="0" borderId="0" xfId="12" applyFont="1" applyAlignment="1">
      <alignment horizontal="left"/>
    </xf>
    <xf numFmtId="0" fontId="12" fillId="6" borderId="55" xfId="12" applyFont="1" applyFill="1" applyBorder="1" applyAlignment="1">
      <alignment horizontal="center" vertical="center" wrapText="1"/>
    </xf>
    <xf numFmtId="0" fontId="6" fillId="6" borderId="34" xfId="0" applyFont="1" applyFill="1" applyBorder="1" applyAlignment="1">
      <alignment horizontal="center" vertical="center" wrapText="1"/>
    </xf>
    <xf numFmtId="0" fontId="6" fillId="6" borderId="60" xfId="0" applyFont="1" applyFill="1" applyBorder="1" applyAlignment="1">
      <alignment horizontal="center" vertical="center" wrapText="1"/>
    </xf>
    <xf numFmtId="0" fontId="3" fillId="6" borderId="35" xfId="3" applyFont="1" applyFill="1" applyBorder="1" applyAlignment="1">
      <alignment horizontal="center" vertical="center" wrapText="1"/>
    </xf>
    <xf numFmtId="0" fontId="0" fillId="6" borderId="24" xfId="0" applyFill="1" applyBorder="1" applyAlignment="1">
      <alignment horizontal="center" vertical="center" wrapText="1"/>
    </xf>
    <xf numFmtId="0" fontId="3" fillId="6" borderId="36" xfId="3" applyFont="1" applyFill="1" applyBorder="1" applyAlignment="1">
      <alignment horizontal="center" vertical="center" textRotation="90" wrapText="1"/>
    </xf>
    <xf numFmtId="0" fontId="0" fillId="6" borderId="12" xfId="0" applyFill="1" applyBorder="1" applyAlignment="1">
      <alignment horizontal="center" vertical="center" textRotation="90" wrapText="1"/>
    </xf>
    <xf numFmtId="0" fontId="3" fillId="6" borderId="36" xfId="3" applyFont="1" applyFill="1" applyBorder="1" applyAlignment="1">
      <alignment horizontal="center" vertical="center"/>
    </xf>
    <xf numFmtId="0" fontId="0" fillId="6" borderId="12" xfId="0" applyFill="1" applyBorder="1" applyAlignment="1">
      <alignment horizontal="center" vertical="center"/>
    </xf>
    <xf numFmtId="0" fontId="3" fillId="6" borderId="36" xfId="3" applyFont="1" applyFill="1" applyBorder="1" applyAlignment="1">
      <alignment horizontal="center" vertical="center" wrapText="1"/>
    </xf>
    <xf numFmtId="0" fontId="3" fillId="6" borderId="12" xfId="3" applyFont="1" applyFill="1" applyBorder="1" applyAlignment="1">
      <alignment horizontal="center" vertical="center" wrapText="1"/>
    </xf>
    <xf numFmtId="0" fontId="3" fillId="6" borderId="54" xfId="3" applyFont="1" applyFill="1" applyBorder="1" applyAlignment="1">
      <alignment horizontal="center" vertical="center" wrapText="1"/>
    </xf>
    <xf numFmtId="0" fontId="3" fillId="6" borderId="26" xfId="3" applyFont="1" applyFill="1" applyBorder="1" applyAlignment="1">
      <alignment horizontal="center" vertical="center" wrapText="1"/>
    </xf>
    <xf numFmtId="4" fontId="25" fillId="6" borderId="35" xfId="12" applyNumberFormat="1" applyFont="1" applyFill="1" applyBorder="1" applyAlignment="1">
      <alignment horizontal="center" vertical="center" wrapText="1"/>
    </xf>
    <xf numFmtId="0" fontId="27" fillId="6" borderId="24" xfId="0" applyFont="1" applyFill="1" applyBorder="1" applyAlignment="1">
      <alignment horizontal="center" vertical="center"/>
    </xf>
    <xf numFmtId="0" fontId="3" fillId="6" borderId="37" xfId="12" applyFont="1" applyFill="1" applyBorder="1" applyAlignment="1">
      <alignment horizontal="center" vertical="center" wrapText="1"/>
    </xf>
    <xf numFmtId="0" fontId="3" fillId="6" borderId="27" xfId="12" applyFont="1" applyFill="1" applyBorder="1" applyAlignment="1">
      <alignment horizontal="center" vertical="center" wrapText="1"/>
    </xf>
    <xf numFmtId="4" fontId="26" fillId="0" borderId="37" xfId="12" applyNumberFormat="1" applyFont="1" applyFill="1" applyBorder="1" applyAlignment="1">
      <alignment horizontal="center" vertical="center" wrapText="1"/>
    </xf>
    <xf numFmtId="0" fontId="27" fillId="0" borderId="27" xfId="0" applyFont="1" applyFill="1" applyBorder="1" applyAlignment="1">
      <alignment horizontal="center" vertical="center"/>
    </xf>
    <xf numFmtId="0" fontId="9" fillId="6" borderId="38" xfId="3" applyFont="1" applyFill="1" applyBorder="1" applyAlignment="1">
      <alignment horizontal="left" vertical="center"/>
    </xf>
    <xf numFmtId="0" fontId="9" fillId="6" borderId="39" xfId="3" applyFont="1" applyFill="1" applyBorder="1" applyAlignment="1">
      <alignment horizontal="left" vertical="center"/>
    </xf>
    <xf numFmtId="0" fontId="0" fillId="0" borderId="40" xfId="0" applyBorder="1" applyAlignment="1"/>
    <xf numFmtId="0" fontId="8" fillId="0" borderId="37" xfId="12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3" fillId="0" borderId="14" xfId="3" applyFont="1" applyBorder="1" applyAlignment="1">
      <alignment horizontal="right"/>
    </xf>
    <xf numFmtId="0" fontId="36" fillId="0" borderId="55" xfId="12" applyFont="1" applyFill="1" applyBorder="1" applyAlignment="1" applyProtection="1">
      <alignment horizontal="center" vertical="center" wrapText="1"/>
      <protection locked="0"/>
    </xf>
    <xf numFmtId="0" fontId="14" fillId="0" borderId="34" xfId="0" applyFont="1" applyBorder="1" applyAlignment="1">
      <alignment horizontal="center" vertical="center" wrapText="1"/>
    </xf>
    <xf numFmtId="0" fontId="14" fillId="0" borderId="60" xfId="0" applyFont="1" applyBorder="1" applyAlignment="1">
      <alignment horizontal="center" vertical="center" wrapText="1"/>
    </xf>
    <xf numFmtId="0" fontId="25" fillId="0" borderId="35" xfId="3" applyFont="1" applyBorder="1" applyAlignment="1">
      <alignment horizontal="center" vertical="center" textRotation="90" wrapText="1"/>
    </xf>
    <xf numFmtId="0" fontId="0" fillId="0" borderId="24" xfId="0" applyBorder="1" applyAlignment="1">
      <alignment horizontal="center" vertical="center" textRotation="90" wrapText="1"/>
    </xf>
    <xf numFmtId="0" fontId="17" fillId="0" borderId="36" xfId="3" applyFont="1" applyBorder="1" applyAlignment="1">
      <alignment horizontal="center" vertical="center" textRotation="90" wrapText="1"/>
    </xf>
    <xf numFmtId="0" fontId="16" fillId="0" borderId="12" xfId="0" applyFont="1" applyBorder="1" applyAlignment="1">
      <alignment horizontal="center" vertical="center" textRotation="90" wrapText="1"/>
    </xf>
    <xf numFmtId="0" fontId="17" fillId="0" borderId="36" xfId="3" applyFont="1" applyFill="1" applyBorder="1" applyAlignment="1">
      <alignment horizontal="center" vertical="center" textRotation="90" wrapText="1"/>
    </xf>
    <xf numFmtId="0" fontId="8" fillId="0" borderId="36" xfId="3" applyFont="1" applyBorder="1" applyAlignment="1">
      <alignment horizontal="center" vertical="center" textRotation="90" wrapText="1"/>
    </xf>
    <xf numFmtId="0" fontId="0" fillId="0" borderId="12" xfId="0" applyBorder="1" applyAlignment="1">
      <alignment horizontal="center" vertical="center" textRotation="90" wrapText="1"/>
    </xf>
    <xf numFmtId="0" fontId="3" fillId="0" borderId="36" xfId="3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" fillId="0" borderId="36" xfId="3" applyFont="1" applyFill="1" applyBorder="1" applyAlignment="1">
      <alignment horizontal="center" vertical="center" wrapText="1"/>
    </xf>
    <xf numFmtId="0" fontId="25" fillId="0" borderId="36" xfId="3" applyFont="1" applyFill="1" applyBorder="1" applyAlignment="1">
      <alignment horizontal="center" vertical="center" wrapText="1"/>
    </xf>
    <xf numFmtId="4" fontId="26" fillId="0" borderId="35" xfId="12" applyNumberFormat="1" applyFont="1" applyFill="1" applyBorder="1" applyAlignment="1">
      <alignment horizontal="center" vertical="center" wrapText="1"/>
    </xf>
    <xf numFmtId="0" fontId="27" fillId="0" borderId="24" xfId="0" applyFont="1" applyFill="1" applyBorder="1" applyAlignment="1">
      <alignment horizontal="center" vertical="center"/>
    </xf>
    <xf numFmtId="0" fontId="25" fillId="0" borderId="36" xfId="3" applyFont="1" applyFill="1" applyBorder="1" applyAlignment="1">
      <alignment horizontal="center" vertical="center" textRotation="90" wrapText="1"/>
    </xf>
    <xf numFmtId="0" fontId="0" fillId="0" borderId="39" xfId="0" applyBorder="1" applyAlignment="1"/>
    <xf numFmtId="0" fontId="8" fillId="0" borderId="36" xfId="3" applyFont="1" applyBorder="1" applyAlignment="1">
      <alignment horizontal="center" vertical="center" wrapText="1"/>
    </xf>
    <xf numFmtId="0" fontId="8" fillId="0" borderId="36" xfId="3" applyFont="1" applyFill="1" applyBorder="1" applyAlignment="1">
      <alignment horizontal="center" vertical="center" wrapText="1"/>
    </xf>
    <xf numFmtId="0" fontId="26" fillId="0" borderId="54" xfId="3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26" fillId="0" borderId="36" xfId="3" applyFont="1" applyFill="1" applyBorder="1" applyAlignment="1">
      <alignment horizontal="center" vertical="center" textRotation="90" wrapText="1"/>
    </xf>
    <xf numFmtId="4" fontId="26" fillId="0" borderId="37" xfId="3" applyNumberFormat="1" applyFont="1" applyFill="1" applyBorder="1" applyAlignment="1">
      <alignment horizontal="center" vertical="center" wrapText="1"/>
    </xf>
    <xf numFmtId="0" fontId="36" fillId="0" borderId="55" xfId="3" applyFont="1" applyFill="1" applyBorder="1" applyAlignment="1" applyProtection="1">
      <alignment horizontal="center" vertical="center" wrapText="1"/>
      <protection locked="0"/>
    </xf>
    <xf numFmtId="0" fontId="14" fillId="0" borderId="32" xfId="0" applyFont="1" applyBorder="1" applyAlignment="1">
      <alignment horizontal="center" vertical="center" wrapText="1"/>
    </xf>
    <xf numFmtId="0" fontId="3" fillId="0" borderId="36" xfId="3" applyFont="1" applyBorder="1" applyAlignment="1">
      <alignment horizontal="center" vertical="center" textRotation="90" wrapText="1"/>
    </xf>
    <xf numFmtId="0" fontId="3" fillId="0" borderId="36" xfId="3" applyFont="1" applyFill="1" applyBorder="1" applyAlignment="1">
      <alignment horizontal="center" vertical="center" textRotation="90" wrapText="1"/>
    </xf>
    <xf numFmtId="0" fontId="26" fillId="0" borderId="36" xfId="3" applyFont="1" applyFill="1" applyBorder="1" applyAlignment="1">
      <alignment horizontal="center" vertical="center" wrapText="1"/>
    </xf>
    <xf numFmtId="0" fontId="8" fillId="0" borderId="54" xfId="3" applyFont="1" applyFill="1" applyBorder="1" applyAlignment="1">
      <alignment horizontal="center" vertical="center" wrapText="1"/>
    </xf>
    <xf numFmtId="0" fontId="0" fillId="0" borderId="39" xfId="0" applyBorder="1" applyAlignment="1">
      <alignment vertical="center"/>
    </xf>
    <xf numFmtId="4" fontId="26" fillId="0" borderId="37" xfId="12" applyNumberFormat="1" applyFont="1" applyFill="1" applyBorder="1" applyAlignment="1" applyProtection="1">
      <alignment horizontal="center" vertical="center" wrapText="1"/>
      <protection locked="0"/>
    </xf>
    <xf numFmtId="0" fontId="27" fillId="0" borderId="27" xfId="0" applyFont="1" applyFill="1" applyBorder="1" applyAlignment="1" applyProtection="1">
      <alignment horizontal="center" vertical="center"/>
      <protection locked="0"/>
    </xf>
    <xf numFmtId="4" fontId="26" fillId="0" borderId="35" xfId="12" applyNumberFormat="1" applyFont="1" applyFill="1" applyBorder="1" applyAlignment="1" applyProtection="1">
      <alignment horizontal="center" vertical="center" wrapText="1"/>
      <protection locked="0"/>
    </xf>
    <xf numFmtId="0" fontId="27" fillId="0" borderId="24" xfId="0" applyFont="1" applyFill="1" applyBorder="1" applyAlignment="1" applyProtection="1">
      <alignment horizontal="center" vertical="center"/>
      <protection locked="0"/>
    </xf>
    <xf numFmtId="0" fontId="14" fillId="0" borderId="0" xfId="0" applyFont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0" fontId="1" fillId="0" borderId="0" xfId="0" applyFont="1" applyBorder="1" applyAlignment="1">
      <alignment horizontal="center"/>
    </xf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Alignment="1">
      <alignment horizontal="justify" vertical="top"/>
    </xf>
    <xf numFmtId="0" fontId="0" fillId="0" borderId="0" xfId="0" applyAlignment="1">
      <alignment horizontal="justify"/>
    </xf>
  </cellXfs>
  <cellStyles count="14">
    <cellStyle name="Comma_izvrsenje300903-s planom 2" xfId="1"/>
    <cellStyle name="Loše" xfId="2" builtinId="27"/>
    <cellStyle name="Normal_sablon1-230704" xfId="3"/>
    <cellStyle name="Normal_sablon1-230704 2" xfId="4"/>
    <cellStyle name="Normal_sablon1-230704 2 2 2" xfId="12"/>
    <cellStyle name="Obično" xfId="0" builtinId="0"/>
    <cellStyle name="Obično 2" xfId="7"/>
    <cellStyle name="Obično 2 2" xfId="11"/>
    <cellStyle name="Obično 3" xfId="9"/>
    <cellStyle name="Postotak" xfId="5" builtinId="5"/>
    <cellStyle name="Zarez 2" xfId="6"/>
    <cellStyle name="Zarez 2 2" xfId="8"/>
    <cellStyle name="Zarez 2 2 2" xfId="13"/>
    <cellStyle name="Zarez 2 3" xfId="1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190500</xdr:colOff>
      <xdr:row>0</xdr:row>
      <xdr:rowOff>105704</xdr:rowOff>
    </xdr:from>
    <xdr:to>
      <xdr:col>7</xdr:col>
      <xdr:colOff>495694</xdr:colOff>
      <xdr:row>7</xdr:row>
      <xdr:rowOff>91836</xdr:rowOff>
    </xdr:to>
    <xdr:pic>
      <xdr:nvPicPr>
        <xdr:cNvPr id="5" name="Slika 4" descr="logo.png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76700" y="105704"/>
          <a:ext cx="952894" cy="1119607"/>
        </a:xfrm>
        <a:prstGeom prst="rect">
          <a:avLst/>
        </a:prstGeom>
      </xdr:spPr>
    </xdr:pic>
    <xdr:clientData/>
  </xdr:twoCellAnchor>
  <xdr:twoCellAnchor editAs="oneCell">
    <xdr:from>
      <xdr:col>6</xdr:col>
      <xdr:colOff>190500</xdr:colOff>
      <xdr:row>0</xdr:row>
      <xdr:rowOff>105704</xdr:rowOff>
    </xdr:from>
    <xdr:to>
      <xdr:col>7</xdr:col>
      <xdr:colOff>495694</xdr:colOff>
      <xdr:row>7</xdr:row>
      <xdr:rowOff>91836</xdr:rowOff>
    </xdr:to>
    <xdr:pic>
      <xdr:nvPicPr>
        <xdr:cNvPr id="3" name="Slika 2" descr="logo.png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76700" y="105704"/>
          <a:ext cx="952894" cy="1119607"/>
        </a:xfrm>
        <a:prstGeom prst="rect">
          <a:avLst/>
        </a:prstGeom>
      </xdr:spPr>
    </xdr:pic>
    <xdr:clientData/>
  </xdr:twoCellAnchor>
  <xdr:twoCellAnchor editAs="oneCell">
    <xdr:from>
      <xdr:col>6</xdr:col>
      <xdr:colOff>190500</xdr:colOff>
      <xdr:row>0</xdr:row>
      <xdr:rowOff>105704</xdr:rowOff>
    </xdr:from>
    <xdr:to>
      <xdr:col>7</xdr:col>
      <xdr:colOff>495694</xdr:colOff>
      <xdr:row>7</xdr:row>
      <xdr:rowOff>91836</xdr:rowOff>
    </xdr:to>
    <xdr:pic>
      <xdr:nvPicPr>
        <xdr:cNvPr id="4" name="Slika 3" descr="logo.png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76700" y="105704"/>
          <a:ext cx="952894" cy="1119607"/>
        </a:xfrm>
        <a:prstGeom prst="rect">
          <a:avLst/>
        </a:prstGeom>
      </xdr:spPr>
    </xdr:pic>
    <xdr:clientData/>
  </xdr:twoCellAnchor>
  <xdr:twoCellAnchor editAs="oneCell">
    <xdr:from>
      <xdr:col>6</xdr:col>
      <xdr:colOff>190500</xdr:colOff>
      <xdr:row>0</xdr:row>
      <xdr:rowOff>105704</xdr:rowOff>
    </xdr:from>
    <xdr:to>
      <xdr:col>7</xdr:col>
      <xdr:colOff>495694</xdr:colOff>
      <xdr:row>7</xdr:row>
      <xdr:rowOff>91836</xdr:rowOff>
    </xdr:to>
    <xdr:pic>
      <xdr:nvPicPr>
        <xdr:cNvPr id="6" name="Slika 5" descr="logo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76700" y="105704"/>
          <a:ext cx="952894" cy="1119607"/>
        </a:xfrm>
        <a:prstGeom prst="rect">
          <a:avLst/>
        </a:prstGeom>
      </xdr:spPr>
    </xdr:pic>
    <xdr:clientData/>
  </xdr:twoCellAnchor>
  <xdr:twoCellAnchor editAs="oneCell">
    <xdr:from>
      <xdr:col>6</xdr:col>
      <xdr:colOff>190500</xdr:colOff>
      <xdr:row>0</xdr:row>
      <xdr:rowOff>105704</xdr:rowOff>
    </xdr:from>
    <xdr:to>
      <xdr:col>7</xdr:col>
      <xdr:colOff>495694</xdr:colOff>
      <xdr:row>7</xdr:row>
      <xdr:rowOff>91836</xdr:rowOff>
    </xdr:to>
    <xdr:pic>
      <xdr:nvPicPr>
        <xdr:cNvPr id="7" name="Slika 6" descr="logo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76700" y="105704"/>
          <a:ext cx="952894" cy="11196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0"/>
  <sheetViews>
    <sheetView zoomScaleNormal="100" workbookViewId="0">
      <selection activeCell="P11" sqref="P11"/>
    </sheetView>
  </sheetViews>
  <sheetFormatPr defaultRowHeight="12.75"/>
  <cols>
    <col min="1" max="14" width="9.7109375" style="882" customWidth="1"/>
    <col min="15" max="16384" width="9.140625" style="882"/>
  </cols>
  <sheetData>
    <row r="1" spans="1:14">
      <c r="A1" s="975"/>
      <c r="B1" s="975"/>
      <c r="C1" s="975"/>
      <c r="D1" s="975"/>
      <c r="E1" s="975"/>
      <c r="F1" s="975"/>
      <c r="G1" s="975"/>
      <c r="H1" s="975"/>
      <c r="I1" s="975"/>
    </row>
    <row r="2" spans="1:14" ht="12.75" customHeight="1">
      <c r="B2" s="257"/>
      <c r="C2" s="258"/>
      <c r="D2" s="976" t="s">
        <v>897</v>
      </c>
      <c r="E2" s="977"/>
      <c r="F2" s="977"/>
      <c r="I2" s="976" t="s">
        <v>898</v>
      </c>
      <c r="J2" s="982"/>
      <c r="K2" s="982"/>
    </row>
    <row r="3" spans="1:14">
      <c r="B3" s="258"/>
      <c r="C3" s="258"/>
      <c r="D3" s="977"/>
      <c r="E3" s="977"/>
      <c r="F3" s="977"/>
      <c r="I3" s="982"/>
      <c r="J3" s="982"/>
      <c r="K3" s="982"/>
    </row>
    <row r="4" spans="1:14">
      <c r="B4" s="258"/>
      <c r="C4" s="258"/>
      <c r="D4" s="977"/>
      <c r="E4" s="977"/>
      <c r="F4" s="977"/>
      <c r="I4" s="982"/>
      <c r="J4" s="982"/>
      <c r="K4" s="982"/>
    </row>
    <row r="5" spans="1:14">
      <c r="B5" s="258"/>
      <c r="C5" s="258"/>
      <c r="D5" s="977"/>
      <c r="E5" s="977"/>
      <c r="F5" s="977"/>
      <c r="I5" s="982"/>
      <c r="J5" s="982"/>
      <c r="K5" s="982"/>
    </row>
    <row r="6" spans="1:14">
      <c r="B6" s="258"/>
      <c r="C6" s="258"/>
      <c r="D6" s="977"/>
      <c r="E6" s="977"/>
      <c r="F6" s="977"/>
      <c r="I6" s="982"/>
      <c r="J6" s="982"/>
      <c r="K6" s="982"/>
    </row>
    <row r="7" spans="1:14">
      <c r="B7" s="258"/>
      <c r="C7" s="258"/>
      <c r="D7" s="977"/>
      <c r="E7" s="977"/>
      <c r="F7" s="977"/>
      <c r="I7" s="982"/>
      <c r="J7" s="982"/>
      <c r="K7" s="982"/>
    </row>
    <row r="8" spans="1:14" ht="13.5" thickBot="1">
      <c r="A8" s="331"/>
      <c r="B8" s="331"/>
      <c r="C8" s="331"/>
      <c r="D8" s="331"/>
      <c r="E8" s="331"/>
      <c r="F8" s="331"/>
      <c r="G8" s="331"/>
      <c r="H8" s="331"/>
      <c r="I8" s="331"/>
      <c r="J8" s="331"/>
      <c r="K8" s="331"/>
      <c r="L8" s="331"/>
      <c r="M8" s="331"/>
      <c r="N8" s="331"/>
    </row>
    <row r="9" spans="1:14" ht="13.5" thickTop="1"/>
    <row r="15" spans="1:14" ht="12.75" customHeight="1">
      <c r="A15" s="978" t="s">
        <v>896</v>
      </c>
      <c r="B15" s="979"/>
      <c r="C15" s="979"/>
      <c r="D15" s="979"/>
      <c r="E15" s="979"/>
      <c r="F15" s="979"/>
      <c r="G15" s="979"/>
      <c r="H15" s="979"/>
      <c r="I15" s="979"/>
      <c r="J15" s="979"/>
      <c r="K15" s="979"/>
      <c r="L15" s="980"/>
      <c r="M15" s="980"/>
      <c r="N15" s="980"/>
    </row>
    <row r="16" spans="1:14">
      <c r="A16" s="979"/>
      <c r="B16" s="979"/>
      <c r="C16" s="979"/>
      <c r="D16" s="979"/>
      <c r="E16" s="979"/>
      <c r="F16" s="979"/>
      <c r="G16" s="979"/>
      <c r="H16" s="979"/>
      <c r="I16" s="979"/>
      <c r="J16" s="979"/>
      <c r="K16" s="979"/>
      <c r="L16" s="980"/>
      <c r="M16" s="980"/>
      <c r="N16" s="980"/>
    </row>
    <row r="17" spans="1:14">
      <c r="A17" s="979"/>
      <c r="B17" s="979"/>
      <c r="C17" s="979"/>
      <c r="D17" s="979"/>
      <c r="E17" s="979"/>
      <c r="F17" s="979"/>
      <c r="G17" s="979"/>
      <c r="H17" s="979"/>
      <c r="I17" s="979"/>
      <c r="J17" s="979"/>
      <c r="K17" s="979"/>
      <c r="L17" s="980"/>
      <c r="M17" s="980"/>
      <c r="N17" s="980"/>
    </row>
    <row r="18" spans="1:14">
      <c r="A18" s="979"/>
      <c r="B18" s="979"/>
      <c r="C18" s="979"/>
      <c r="D18" s="979"/>
      <c r="E18" s="979"/>
      <c r="F18" s="979"/>
      <c r="G18" s="979"/>
      <c r="H18" s="979"/>
      <c r="I18" s="979"/>
      <c r="J18" s="979"/>
      <c r="K18" s="979"/>
      <c r="L18" s="980"/>
      <c r="M18" s="980"/>
      <c r="N18" s="980"/>
    </row>
    <row r="19" spans="1:14">
      <c r="A19" s="979"/>
      <c r="B19" s="979"/>
      <c r="C19" s="979"/>
      <c r="D19" s="979"/>
      <c r="E19" s="979"/>
      <c r="F19" s="979"/>
      <c r="G19" s="979"/>
      <c r="H19" s="979"/>
      <c r="I19" s="979"/>
      <c r="J19" s="979"/>
      <c r="K19" s="979"/>
      <c r="L19" s="980"/>
      <c r="M19" s="980"/>
      <c r="N19" s="980"/>
    </row>
    <row r="20" spans="1:14" ht="13.5" customHeight="1">
      <c r="A20" s="979"/>
      <c r="B20" s="979"/>
      <c r="C20" s="979"/>
      <c r="D20" s="979"/>
      <c r="E20" s="979"/>
      <c r="F20" s="979"/>
      <c r="G20" s="979"/>
      <c r="H20" s="979"/>
      <c r="I20" s="979"/>
      <c r="J20" s="979"/>
      <c r="K20" s="979"/>
      <c r="L20" s="980"/>
      <c r="M20" s="980"/>
      <c r="N20" s="980"/>
    </row>
    <row r="23" spans="1:14">
      <c r="A23" s="983" t="s">
        <v>895</v>
      </c>
      <c r="B23" s="983"/>
      <c r="C23" s="983"/>
      <c r="D23" s="983"/>
      <c r="E23" s="983"/>
      <c r="F23" s="983"/>
      <c r="G23" s="983"/>
      <c r="H23" s="983"/>
      <c r="I23" s="983"/>
      <c r="J23" s="983"/>
      <c r="K23" s="983"/>
      <c r="L23" s="983"/>
      <c r="M23" s="983"/>
      <c r="N23" s="983"/>
    </row>
    <row r="38" spans="1:14">
      <c r="A38" s="981" t="s">
        <v>899</v>
      </c>
      <c r="B38" s="975"/>
      <c r="C38" s="975"/>
      <c r="D38" s="975"/>
      <c r="E38" s="975"/>
      <c r="F38" s="975"/>
      <c r="G38" s="975"/>
      <c r="H38" s="975"/>
      <c r="I38" s="975"/>
      <c r="J38" s="975"/>
      <c r="K38" s="975"/>
      <c r="L38" s="975"/>
      <c r="M38" s="975"/>
      <c r="N38" s="975"/>
    </row>
    <row r="39" spans="1:14">
      <c r="A39" s="975"/>
      <c r="B39" s="975"/>
      <c r="C39" s="975"/>
      <c r="D39" s="975"/>
      <c r="E39" s="975"/>
      <c r="F39" s="975"/>
      <c r="G39" s="975"/>
      <c r="H39" s="975"/>
      <c r="I39" s="975"/>
      <c r="J39" s="975"/>
      <c r="K39" s="975"/>
      <c r="L39" s="975"/>
      <c r="M39" s="975"/>
      <c r="N39" s="975"/>
    </row>
    <row r="40" spans="1:14" ht="15.75">
      <c r="A40" s="883"/>
      <c r="B40" s="883"/>
      <c r="C40" s="883"/>
      <c r="D40" s="883"/>
      <c r="E40" s="883"/>
      <c r="F40" s="883"/>
      <c r="G40" s="883"/>
      <c r="H40" s="883"/>
      <c r="I40" s="883"/>
    </row>
  </sheetData>
  <mergeCells count="6">
    <mergeCell ref="A1:I1"/>
    <mergeCell ref="D2:F7"/>
    <mergeCell ref="A15:N20"/>
    <mergeCell ref="A38:N39"/>
    <mergeCell ref="I2:K7"/>
    <mergeCell ref="A23:N23"/>
  </mergeCells>
  <phoneticPr fontId="0" type="noConversion"/>
  <pageMargins left="0.6692913385826772" right="0.43307086614173229" top="0.5" bottom="0.76" header="0.51181102362204722" footer="0.51181102362204722"/>
  <pageSetup paperSize="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R96"/>
  <sheetViews>
    <sheetView topLeftCell="H1" zoomScaleNormal="100" workbookViewId="0">
      <selection activeCell="Q20" sqref="Q20"/>
    </sheetView>
  </sheetViews>
  <sheetFormatPr defaultColWidth="9.140625" defaultRowHeight="12.75"/>
  <cols>
    <col min="1" max="1" width="4.42578125" style="161" customWidth="1"/>
    <col min="2" max="2" width="4.7109375" style="9" customWidth="1"/>
    <col min="3" max="3" width="5.42578125" style="9" customWidth="1"/>
    <col min="4" max="4" width="5" style="9" customWidth="1"/>
    <col min="5" max="5" width="5" style="161" customWidth="1"/>
    <col min="6" max="6" width="8.7109375" style="18" customWidth="1"/>
    <col min="7" max="7" width="8.7109375" style="166" customWidth="1"/>
    <col min="8" max="8" width="50.7109375" style="9" customWidth="1"/>
    <col min="9" max="10" width="14.7109375" style="9" customWidth="1"/>
    <col min="11" max="11" width="12.5703125" style="161" customWidth="1"/>
    <col min="12" max="13" width="14.7109375" style="161" customWidth="1"/>
    <col min="14" max="14" width="15.7109375" style="9" customWidth="1"/>
    <col min="15" max="16" width="7.7109375" style="214" customWidth="1"/>
    <col min="17" max="16384" width="9.140625" style="9"/>
  </cols>
  <sheetData>
    <row r="1" spans="1:18" ht="13.5" thickBot="1"/>
    <row r="2" spans="1:18" s="244" customFormat="1" ht="20.100000000000001" customHeight="1" thickTop="1" thickBot="1">
      <c r="B2" s="1034" t="s">
        <v>867</v>
      </c>
      <c r="C2" s="1035"/>
      <c r="D2" s="1035"/>
      <c r="E2" s="1035"/>
      <c r="F2" s="1035"/>
      <c r="G2" s="1035"/>
      <c r="H2" s="1035"/>
      <c r="I2" s="1035"/>
      <c r="J2" s="1035"/>
      <c r="K2" s="1035"/>
      <c r="L2" s="1035"/>
      <c r="M2" s="1035"/>
      <c r="N2" s="1035"/>
      <c r="O2" s="1057"/>
      <c r="P2" s="1036"/>
    </row>
    <row r="3" spans="1:18" s="1" customFormat="1" ht="8.1" customHeight="1" thickTop="1" thickBot="1">
      <c r="A3" s="158"/>
      <c r="E3" s="158"/>
      <c r="F3" s="2"/>
      <c r="G3" s="159"/>
      <c r="H3" s="1039"/>
      <c r="I3" s="1039"/>
      <c r="J3" s="139"/>
      <c r="K3" s="721"/>
      <c r="L3" s="74"/>
      <c r="M3" s="74"/>
      <c r="N3" s="74"/>
      <c r="O3" s="208"/>
      <c r="P3" s="208"/>
    </row>
    <row r="4" spans="1:18" s="1" customFormat="1" ht="39" customHeight="1">
      <c r="A4" s="158"/>
      <c r="B4" s="1043" t="s">
        <v>76</v>
      </c>
      <c r="C4" s="1045" t="s">
        <v>77</v>
      </c>
      <c r="D4" s="1047" t="s">
        <v>102</v>
      </c>
      <c r="E4" s="1062" t="s">
        <v>692</v>
      </c>
      <c r="F4" s="1058" t="s">
        <v>466</v>
      </c>
      <c r="G4" s="1048" t="s">
        <v>493</v>
      </c>
      <c r="H4" s="1050" t="s">
        <v>78</v>
      </c>
      <c r="I4" s="1059" t="s">
        <v>901</v>
      </c>
      <c r="J4" s="1068" t="s">
        <v>813</v>
      </c>
      <c r="K4" s="1037" t="s">
        <v>906</v>
      </c>
      <c r="L4" s="1040" t="s">
        <v>905</v>
      </c>
      <c r="M4" s="1041"/>
      <c r="N4" s="1042"/>
      <c r="O4" s="1054" t="s">
        <v>945</v>
      </c>
      <c r="P4" s="1032" t="s">
        <v>946</v>
      </c>
      <c r="R4" s="61"/>
    </row>
    <row r="5" spans="1:18" s="158" customFormat="1" ht="27" customHeight="1">
      <c r="B5" s="1044"/>
      <c r="C5" s="1046"/>
      <c r="D5" s="1046"/>
      <c r="E5" s="1049"/>
      <c r="F5" s="1051"/>
      <c r="G5" s="1049"/>
      <c r="H5" s="1051"/>
      <c r="I5" s="1051"/>
      <c r="J5" s="1051"/>
      <c r="K5" s="1038"/>
      <c r="L5" s="373" t="s">
        <v>526</v>
      </c>
      <c r="M5" s="242" t="s">
        <v>527</v>
      </c>
      <c r="N5" s="764" t="s">
        <v>319</v>
      </c>
      <c r="O5" s="1055"/>
      <c r="P5" s="1033"/>
    </row>
    <row r="6" spans="1:18" s="2" customFormat="1" ht="12.95" customHeight="1">
      <c r="A6" s="159"/>
      <c r="B6" s="328">
        <v>1</v>
      </c>
      <c r="C6" s="195">
        <v>2</v>
      </c>
      <c r="D6" s="195">
        <v>3</v>
      </c>
      <c r="E6" s="195">
        <v>4</v>
      </c>
      <c r="F6" s="195">
        <v>5</v>
      </c>
      <c r="G6" s="195">
        <v>6</v>
      </c>
      <c r="H6" s="195">
        <v>7</v>
      </c>
      <c r="I6" s="195">
        <v>8</v>
      </c>
      <c r="J6" s="195">
        <v>9</v>
      </c>
      <c r="K6" s="188">
        <v>10</v>
      </c>
      <c r="L6" s="328">
        <v>11</v>
      </c>
      <c r="M6" s="195">
        <v>12</v>
      </c>
      <c r="N6" s="810" t="s">
        <v>694</v>
      </c>
      <c r="O6" s="929" t="s">
        <v>814</v>
      </c>
      <c r="P6" s="930" t="s">
        <v>944</v>
      </c>
    </row>
    <row r="7" spans="1:18" s="2" customFormat="1" ht="12.95" customHeight="1">
      <c r="A7" s="159"/>
      <c r="B7" s="6" t="s">
        <v>110</v>
      </c>
      <c r="C7" s="7" t="s">
        <v>79</v>
      </c>
      <c r="D7" s="7" t="s">
        <v>113</v>
      </c>
      <c r="E7" s="415" t="s">
        <v>693</v>
      </c>
      <c r="F7" s="5"/>
      <c r="G7" s="160"/>
      <c r="H7" s="5"/>
      <c r="I7" s="5"/>
      <c r="J7" s="5"/>
      <c r="K7" s="173"/>
      <c r="L7" s="4"/>
      <c r="M7" s="160"/>
      <c r="N7" s="811"/>
      <c r="O7" s="951"/>
      <c r="P7" s="952"/>
    </row>
    <row r="8" spans="1:18" s="1" customFormat="1" ht="12.95" customHeight="1">
      <c r="A8" s="158"/>
      <c r="B8" s="12"/>
      <c r="C8" s="8"/>
      <c r="D8" s="8"/>
      <c r="E8" s="8"/>
      <c r="F8" s="176">
        <v>611000</v>
      </c>
      <c r="G8" s="195"/>
      <c r="H8" s="25" t="s">
        <v>140</v>
      </c>
      <c r="I8" s="227">
        <f t="shared" ref="I8:N8" si="0">SUM(I9:I12)</f>
        <v>67240</v>
      </c>
      <c r="J8" s="227">
        <f t="shared" si="0"/>
        <v>67240</v>
      </c>
      <c r="K8" s="723">
        <f t="shared" si="0"/>
        <v>57582</v>
      </c>
      <c r="L8" s="482">
        <f t="shared" si="0"/>
        <v>65632</v>
      </c>
      <c r="M8" s="236">
        <f t="shared" si="0"/>
        <v>0</v>
      </c>
      <c r="N8" s="812">
        <f t="shared" si="0"/>
        <v>65632</v>
      </c>
      <c r="O8" s="953">
        <f t="shared" ref="O8:O31" si="1">IF(J8=0,"",N8/J8*100)</f>
        <v>97.608566329565733</v>
      </c>
      <c r="P8" s="954">
        <f>IF(K8=0,"",N8/K8*100)</f>
        <v>113.98006321419889</v>
      </c>
    </row>
    <row r="9" spans="1:18" ht="12.95" customHeight="1">
      <c r="B9" s="10"/>
      <c r="C9" s="11"/>
      <c r="D9" s="11"/>
      <c r="E9" s="163"/>
      <c r="F9" s="177">
        <v>611100</v>
      </c>
      <c r="G9" s="196"/>
      <c r="H9" s="428" t="s">
        <v>161</v>
      </c>
      <c r="I9" s="235">
        <f>56790</f>
        <v>56790</v>
      </c>
      <c r="J9" s="235">
        <f>56790</f>
        <v>56790</v>
      </c>
      <c r="K9" s="487">
        <v>50966</v>
      </c>
      <c r="L9" s="357">
        <v>56745</v>
      </c>
      <c r="M9" s="235">
        <v>0</v>
      </c>
      <c r="N9" s="813">
        <f>SUM(L9:M9)</f>
        <v>56745</v>
      </c>
      <c r="O9" s="955">
        <f t="shared" si="1"/>
        <v>99.920760697305866</v>
      </c>
      <c r="P9" s="956">
        <f t="shared" ref="P9:P53" si="2">IF(K9=0,"",N9/K9*100)</f>
        <v>111.33893183691089</v>
      </c>
    </row>
    <row r="10" spans="1:18" ht="12.95" customHeight="1">
      <c r="B10" s="10"/>
      <c r="C10" s="11"/>
      <c r="D10" s="11"/>
      <c r="E10" s="163"/>
      <c r="F10" s="177">
        <v>611200</v>
      </c>
      <c r="G10" s="196"/>
      <c r="H10" s="24" t="s">
        <v>162</v>
      </c>
      <c r="I10" s="235">
        <f>9050+2*700</f>
        <v>10450</v>
      </c>
      <c r="J10" s="235">
        <f>9050+2*700</f>
        <v>10450</v>
      </c>
      <c r="K10" s="487">
        <v>6616</v>
      </c>
      <c r="L10" s="357">
        <v>8887</v>
      </c>
      <c r="M10" s="235">
        <v>0</v>
      </c>
      <c r="N10" s="813">
        <f t="shared" ref="N10:N11" si="3">SUM(L10:M10)</f>
        <v>8887</v>
      </c>
      <c r="O10" s="955">
        <f t="shared" si="1"/>
        <v>85.043062200956939</v>
      </c>
      <c r="P10" s="956">
        <f t="shared" si="2"/>
        <v>134.32587666263603</v>
      </c>
    </row>
    <row r="11" spans="1:18" ht="12.95" customHeight="1">
      <c r="B11" s="10"/>
      <c r="C11" s="11"/>
      <c r="D11" s="11"/>
      <c r="E11" s="163"/>
      <c r="F11" s="177">
        <v>611200</v>
      </c>
      <c r="G11" s="196"/>
      <c r="H11" s="435" t="s">
        <v>434</v>
      </c>
      <c r="I11" s="230">
        <v>0</v>
      </c>
      <c r="J11" s="230">
        <v>0</v>
      </c>
      <c r="K11" s="487">
        <v>0</v>
      </c>
      <c r="L11" s="357">
        <v>0</v>
      </c>
      <c r="M11" s="235">
        <v>0</v>
      </c>
      <c r="N11" s="813">
        <f t="shared" si="3"/>
        <v>0</v>
      </c>
      <c r="O11" s="955" t="str">
        <f t="shared" si="1"/>
        <v/>
      </c>
      <c r="P11" s="956" t="str">
        <f t="shared" si="2"/>
        <v/>
      </c>
      <c r="R11" s="50"/>
    </row>
    <row r="12" spans="1:18" ht="8.1" customHeight="1">
      <c r="B12" s="10"/>
      <c r="C12" s="11"/>
      <c r="D12" s="11"/>
      <c r="E12" s="163"/>
      <c r="F12" s="177"/>
      <c r="G12" s="196"/>
      <c r="H12" s="428"/>
      <c r="I12" s="230"/>
      <c r="J12" s="230"/>
      <c r="K12" s="487"/>
      <c r="L12" s="357"/>
      <c r="M12" s="235"/>
      <c r="N12" s="813"/>
      <c r="O12" s="955" t="str">
        <f t="shared" si="1"/>
        <v/>
      </c>
      <c r="P12" s="956" t="str">
        <f t="shared" si="2"/>
        <v/>
      </c>
    </row>
    <row r="13" spans="1:18" s="1" customFormat="1" ht="12.95" customHeight="1">
      <c r="A13" s="158"/>
      <c r="B13" s="12"/>
      <c r="C13" s="8"/>
      <c r="D13" s="8"/>
      <c r="E13" s="8"/>
      <c r="F13" s="176">
        <v>612000</v>
      </c>
      <c r="G13" s="195"/>
      <c r="H13" s="25" t="s">
        <v>139</v>
      </c>
      <c r="I13" s="227">
        <f t="shared" ref="I13:N13" si="4">I14</f>
        <v>5990</v>
      </c>
      <c r="J13" s="227">
        <f t="shared" si="4"/>
        <v>5990</v>
      </c>
      <c r="K13" s="723">
        <f t="shared" si="4"/>
        <v>5351</v>
      </c>
      <c r="L13" s="482">
        <f t="shared" si="4"/>
        <v>5958</v>
      </c>
      <c r="M13" s="236">
        <f t="shared" si="4"/>
        <v>0</v>
      </c>
      <c r="N13" s="812">
        <f t="shared" si="4"/>
        <v>5958</v>
      </c>
      <c r="O13" s="953">
        <f t="shared" si="1"/>
        <v>99.465776293823041</v>
      </c>
      <c r="P13" s="954">
        <f t="shared" si="2"/>
        <v>111.34367407961128</v>
      </c>
    </row>
    <row r="14" spans="1:18" ht="12.95" customHeight="1">
      <c r="B14" s="10"/>
      <c r="C14" s="11"/>
      <c r="D14" s="11"/>
      <c r="E14" s="163"/>
      <c r="F14" s="177">
        <v>612100</v>
      </c>
      <c r="G14" s="196"/>
      <c r="H14" s="430" t="s">
        <v>81</v>
      </c>
      <c r="I14" s="230">
        <f>5990</f>
        <v>5990</v>
      </c>
      <c r="J14" s="230">
        <f>5990</f>
        <v>5990</v>
      </c>
      <c r="K14" s="487">
        <v>5351</v>
      </c>
      <c r="L14" s="357">
        <v>5958</v>
      </c>
      <c r="M14" s="235">
        <v>0</v>
      </c>
      <c r="N14" s="813">
        <f>SUM(L14:M14)</f>
        <v>5958</v>
      </c>
      <c r="O14" s="955">
        <f t="shared" si="1"/>
        <v>99.465776293823041</v>
      </c>
      <c r="P14" s="956">
        <f t="shared" si="2"/>
        <v>111.34367407961128</v>
      </c>
    </row>
    <row r="15" spans="1:18" ht="8.1" customHeight="1">
      <c r="B15" s="10"/>
      <c r="C15" s="11"/>
      <c r="D15" s="11"/>
      <c r="E15" s="163"/>
      <c r="F15" s="177"/>
      <c r="G15" s="196"/>
      <c r="H15" s="24"/>
      <c r="I15" s="230"/>
      <c r="J15" s="230"/>
      <c r="K15" s="487"/>
      <c r="L15" s="358"/>
      <c r="M15" s="231"/>
      <c r="N15" s="776"/>
      <c r="O15" s="955" t="str">
        <f t="shared" si="1"/>
        <v/>
      </c>
      <c r="P15" s="956" t="str">
        <f t="shared" si="2"/>
        <v/>
      </c>
    </row>
    <row r="16" spans="1:18" s="1" customFormat="1" ht="12.95" customHeight="1">
      <c r="A16" s="158"/>
      <c r="B16" s="12"/>
      <c r="C16" s="8"/>
      <c r="D16" s="8"/>
      <c r="E16" s="8"/>
      <c r="F16" s="176">
        <v>613000</v>
      </c>
      <c r="G16" s="195"/>
      <c r="H16" s="25" t="s">
        <v>141</v>
      </c>
      <c r="I16" s="227">
        <f t="shared" ref="I16:N16" si="5">SUM(I17:I26)</f>
        <v>800</v>
      </c>
      <c r="J16" s="227">
        <f t="shared" si="5"/>
        <v>800</v>
      </c>
      <c r="K16" s="723">
        <f t="shared" si="5"/>
        <v>163</v>
      </c>
      <c r="L16" s="483">
        <f t="shared" si="5"/>
        <v>251</v>
      </c>
      <c r="M16" s="234">
        <f t="shared" si="5"/>
        <v>0</v>
      </c>
      <c r="N16" s="774">
        <f t="shared" si="5"/>
        <v>251</v>
      </c>
      <c r="O16" s="953">
        <f t="shared" si="1"/>
        <v>31.374999999999996</v>
      </c>
      <c r="P16" s="954">
        <f t="shared" si="2"/>
        <v>153.98773006134968</v>
      </c>
    </row>
    <row r="17" spans="1:18" ht="12.95" customHeight="1">
      <c r="B17" s="10"/>
      <c r="C17" s="11"/>
      <c r="D17" s="11"/>
      <c r="E17" s="163"/>
      <c r="F17" s="177">
        <v>613100</v>
      </c>
      <c r="G17" s="196"/>
      <c r="H17" s="24" t="s">
        <v>82</v>
      </c>
      <c r="I17" s="230">
        <v>300</v>
      </c>
      <c r="J17" s="230">
        <v>300</v>
      </c>
      <c r="K17" s="487">
        <v>0</v>
      </c>
      <c r="L17" s="358">
        <v>0</v>
      </c>
      <c r="M17" s="231">
        <v>0</v>
      </c>
      <c r="N17" s="813">
        <f t="shared" ref="N17:N26" si="6">SUM(L17:M17)</f>
        <v>0</v>
      </c>
      <c r="O17" s="955">
        <f t="shared" si="1"/>
        <v>0</v>
      </c>
      <c r="P17" s="956" t="str">
        <f t="shared" si="2"/>
        <v/>
      </c>
    </row>
    <row r="18" spans="1:18" ht="12.95" customHeight="1">
      <c r="B18" s="10"/>
      <c r="C18" s="11"/>
      <c r="D18" s="11"/>
      <c r="E18" s="163"/>
      <c r="F18" s="177">
        <v>613200</v>
      </c>
      <c r="G18" s="196"/>
      <c r="H18" s="24" t="s">
        <v>83</v>
      </c>
      <c r="I18" s="230">
        <v>0</v>
      </c>
      <c r="J18" s="230">
        <v>0</v>
      </c>
      <c r="K18" s="487">
        <v>0</v>
      </c>
      <c r="L18" s="358">
        <v>0</v>
      </c>
      <c r="M18" s="231">
        <v>0</v>
      </c>
      <c r="N18" s="813">
        <f t="shared" si="6"/>
        <v>0</v>
      </c>
      <c r="O18" s="955" t="str">
        <f t="shared" si="1"/>
        <v/>
      </c>
      <c r="P18" s="956" t="str">
        <f t="shared" si="2"/>
        <v/>
      </c>
    </row>
    <row r="19" spans="1:18" ht="12.95" customHeight="1">
      <c r="B19" s="10"/>
      <c r="C19" s="11"/>
      <c r="D19" s="11"/>
      <c r="E19" s="163"/>
      <c r="F19" s="177">
        <v>613300</v>
      </c>
      <c r="G19" s="196"/>
      <c r="H19" s="428" t="s">
        <v>163</v>
      </c>
      <c r="I19" s="230">
        <v>0</v>
      </c>
      <c r="J19" s="230">
        <v>0</v>
      </c>
      <c r="K19" s="487">
        <v>0</v>
      </c>
      <c r="L19" s="358">
        <v>0</v>
      </c>
      <c r="M19" s="231">
        <v>0</v>
      </c>
      <c r="N19" s="813">
        <f t="shared" si="6"/>
        <v>0</v>
      </c>
      <c r="O19" s="955" t="str">
        <f t="shared" si="1"/>
        <v/>
      </c>
      <c r="P19" s="956" t="str">
        <f t="shared" si="2"/>
        <v/>
      </c>
    </row>
    <row r="20" spans="1:18" ht="12.95" customHeight="1">
      <c r="B20" s="10"/>
      <c r="C20" s="11"/>
      <c r="D20" s="11"/>
      <c r="E20" s="163"/>
      <c r="F20" s="177">
        <v>613400</v>
      </c>
      <c r="G20" s="196"/>
      <c r="H20" s="24" t="s">
        <v>142</v>
      </c>
      <c r="I20" s="230">
        <v>0</v>
      </c>
      <c r="J20" s="230">
        <v>0</v>
      </c>
      <c r="K20" s="487">
        <v>0</v>
      </c>
      <c r="L20" s="358">
        <v>0</v>
      </c>
      <c r="M20" s="231">
        <v>0</v>
      </c>
      <c r="N20" s="813">
        <f t="shared" si="6"/>
        <v>0</v>
      </c>
      <c r="O20" s="955" t="str">
        <f t="shared" si="1"/>
        <v/>
      </c>
      <c r="P20" s="956" t="str">
        <f t="shared" si="2"/>
        <v/>
      </c>
    </row>
    <row r="21" spans="1:18" ht="12.95" customHeight="1">
      <c r="B21" s="10"/>
      <c r="C21" s="11"/>
      <c r="D21" s="11"/>
      <c r="E21" s="163"/>
      <c r="F21" s="177">
        <v>613500</v>
      </c>
      <c r="G21" s="196"/>
      <c r="H21" s="24" t="s">
        <v>84</v>
      </c>
      <c r="I21" s="230">
        <v>0</v>
      </c>
      <c r="J21" s="230">
        <v>0</v>
      </c>
      <c r="K21" s="487">
        <v>0</v>
      </c>
      <c r="L21" s="358">
        <v>0</v>
      </c>
      <c r="M21" s="231">
        <v>0</v>
      </c>
      <c r="N21" s="813">
        <f t="shared" si="6"/>
        <v>0</v>
      </c>
      <c r="O21" s="955" t="str">
        <f t="shared" si="1"/>
        <v/>
      </c>
      <c r="P21" s="956" t="str">
        <f t="shared" si="2"/>
        <v/>
      </c>
    </row>
    <row r="22" spans="1:18" ht="12.95" customHeight="1">
      <c r="B22" s="10"/>
      <c r="C22" s="11"/>
      <c r="D22" s="11"/>
      <c r="E22" s="163"/>
      <c r="F22" s="177">
        <v>613600</v>
      </c>
      <c r="G22" s="196"/>
      <c r="H22" s="428" t="s">
        <v>164</v>
      </c>
      <c r="I22" s="230">
        <v>0</v>
      </c>
      <c r="J22" s="230">
        <v>0</v>
      </c>
      <c r="K22" s="487">
        <v>0</v>
      </c>
      <c r="L22" s="358">
        <v>0</v>
      </c>
      <c r="M22" s="231">
        <v>0</v>
      </c>
      <c r="N22" s="813">
        <f t="shared" si="6"/>
        <v>0</v>
      </c>
      <c r="O22" s="955" t="str">
        <f t="shared" si="1"/>
        <v/>
      </c>
      <c r="P22" s="956" t="str">
        <f t="shared" si="2"/>
        <v/>
      </c>
    </row>
    <row r="23" spans="1:18" ht="12.95" customHeight="1">
      <c r="B23" s="10"/>
      <c r="C23" s="11"/>
      <c r="D23" s="11"/>
      <c r="E23" s="163"/>
      <c r="F23" s="177">
        <v>613700</v>
      </c>
      <c r="G23" s="196"/>
      <c r="H23" s="24" t="s">
        <v>85</v>
      </c>
      <c r="I23" s="230">
        <v>0</v>
      </c>
      <c r="J23" s="230">
        <v>0</v>
      </c>
      <c r="K23" s="487">
        <v>0</v>
      </c>
      <c r="L23" s="358">
        <v>0</v>
      </c>
      <c r="M23" s="231">
        <v>0</v>
      </c>
      <c r="N23" s="813">
        <f t="shared" si="6"/>
        <v>0</v>
      </c>
      <c r="O23" s="955" t="str">
        <f t="shared" si="1"/>
        <v/>
      </c>
      <c r="P23" s="956" t="str">
        <f t="shared" si="2"/>
        <v/>
      </c>
    </row>
    <row r="24" spans="1:18" ht="12.95" customHeight="1">
      <c r="B24" s="10"/>
      <c r="C24" s="11"/>
      <c r="D24" s="11"/>
      <c r="E24" s="163"/>
      <c r="F24" s="177">
        <v>613800</v>
      </c>
      <c r="G24" s="196"/>
      <c r="H24" s="24" t="s">
        <v>143</v>
      </c>
      <c r="I24" s="230">
        <v>0</v>
      </c>
      <c r="J24" s="230">
        <v>0</v>
      </c>
      <c r="K24" s="487">
        <v>0</v>
      </c>
      <c r="L24" s="358">
        <v>0</v>
      </c>
      <c r="M24" s="231">
        <v>0</v>
      </c>
      <c r="N24" s="813">
        <f t="shared" si="6"/>
        <v>0</v>
      </c>
      <c r="O24" s="955" t="str">
        <f t="shared" si="1"/>
        <v/>
      </c>
      <c r="P24" s="956" t="str">
        <f t="shared" si="2"/>
        <v/>
      </c>
      <c r="R24" s="45"/>
    </row>
    <row r="25" spans="1:18" ht="12.95" customHeight="1">
      <c r="B25" s="10"/>
      <c r="C25" s="11"/>
      <c r="D25" s="11"/>
      <c r="E25" s="163"/>
      <c r="F25" s="177">
        <v>613900</v>
      </c>
      <c r="G25" s="196"/>
      <c r="H25" s="24" t="s">
        <v>144</v>
      </c>
      <c r="I25" s="230">
        <v>500</v>
      </c>
      <c r="J25" s="230">
        <v>500</v>
      </c>
      <c r="K25" s="487">
        <v>163</v>
      </c>
      <c r="L25" s="358">
        <v>251</v>
      </c>
      <c r="M25" s="231">
        <v>0</v>
      </c>
      <c r="N25" s="813">
        <f t="shared" si="6"/>
        <v>251</v>
      </c>
      <c r="O25" s="955">
        <f t="shared" si="1"/>
        <v>50.2</v>
      </c>
      <c r="P25" s="956">
        <f t="shared" si="2"/>
        <v>153.98773006134968</v>
      </c>
    </row>
    <row r="26" spans="1:18" ht="12.95" customHeight="1">
      <c r="B26" s="10"/>
      <c r="C26" s="11"/>
      <c r="D26" s="11"/>
      <c r="E26" s="163"/>
      <c r="F26" s="177">
        <v>613900</v>
      </c>
      <c r="G26" s="196"/>
      <c r="H26" s="435" t="s">
        <v>435</v>
      </c>
      <c r="I26" s="230">
        <v>0</v>
      </c>
      <c r="J26" s="230">
        <v>0</v>
      </c>
      <c r="K26" s="487">
        <v>0</v>
      </c>
      <c r="L26" s="359">
        <v>0</v>
      </c>
      <c r="M26" s="233">
        <v>0</v>
      </c>
      <c r="N26" s="813">
        <f t="shared" si="6"/>
        <v>0</v>
      </c>
      <c r="O26" s="955" t="str">
        <f t="shared" si="1"/>
        <v/>
      </c>
      <c r="P26" s="956" t="str">
        <f t="shared" si="2"/>
        <v/>
      </c>
    </row>
    <row r="27" spans="1:18" s="1" customFormat="1" ht="8.1" customHeight="1">
      <c r="A27" s="158"/>
      <c r="B27" s="12"/>
      <c r="C27" s="8"/>
      <c r="D27" s="8"/>
      <c r="E27" s="414"/>
      <c r="F27" s="187"/>
      <c r="G27" s="207"/>
      <c r="H27" s="25"/>
      <c r="I27" s="230"/>
      <c r="J27" s="230"/>
      <c r="K27" s="487"/>
      <c r="L27" s="358"/>
      <c r="M27" s="231"/>
      <c r="N27" s="776"/>
      <c r="O27" s="955" t="str">
        <f t="shared" si="1"/>
        <v/>
      </c>
      <c r="P27" s="956" t="str">
        <f t="shared" si="2"/>
        <v/>
      </c>
    </row>
    <row r="28" spans="1:18" s="1" customFormat="1" ht="12.95" customHeight="1">
      <c r="A28" s="158"/>
      <c r="B28" s="12"/>
      <c r="C28" s="8"/>
      <c r="D28" s="8"/>
      <c r="E28" s="8"/>
      <c r="F28" s="176">
        <v>821000</v>
      </c>
      <c r="G28" s="195"/>
      <c r="H28" s="25" t="s">
        <v>88</v>
      </c>
      <c r="I28" s="227">
        <f t="shared" ref="I28:J28" si="7">SUM(I29:I30)</f>
        <v>500</v>
      </c>
      <c r="J28" s="227">
        <f t="shared" si="7"/>
        <v>500</v>
      </c>
      <c r="K28" s="723">
        <f t="shared" ref="K28" si="8">SUM(K29:K30)</f>
        <v>1407</v>
      </c>
      <c r="L28" s="484">
        <f t="shared" ref="L28:M28" si="9">SUM(L29:L30)</f>
        <v>346</v>
      </c>
      <c r="M28" s="232">
        <f t="shared" si="9"/>
        <v>0</v>
      </c>
      <c r="N28" s="774">
        <f t="shared" ref="N28" si="10">SUM(N29:N30)</f>
        <v>346</v>
      </c>
      <c r="O28" s="955">
        <f t="shared" si="1"/>
        <v>69.199999999999989</v>
      </c>
      <c r="P28" s="956">
        <f t="shared" si="2"/>
        <v>24.591329068941008</v>
      </c>
    </row>
    <row r="29" spans="1:18" ht="12.95" customHeight="1">
      <c r="B29" s="10"/>
      <c r="C29" s="11"/>
      <c r="D29" s="11"/>
      <c r="E29" s="163"/>
      <c r="F29" s="177">
        <v>821200</v>
      </c>
      <c r="G29" s="196"/>
      <c r="H29" s="24" t="s">
        <v>89</v>
      </c>
      <c r="I29" s="230">
        <v>0</v>
      </c>
      <c r="J29" s="230">
        <v>0</v>
      </c>
      <c r="K29" s="487">
        <v>0</v>
      </c>
      <c r="L29" s="357">
        <v>0</v>
      </c>
      <c r="M29" s="235">
        <v>0</v>
      </c>
      <c r="N29" s="813">
        <f t="shared" ref="N29:N30" si="11">SUM(L29:M29)</f>
        <v>0</v>
      </c>
      <c r="O29" s="955" t="str">
        <f t="shared" si="1"/>
        <v/>
      </c>
      <c r="P29" s="956" t="str">
        <f t="shared" si="2"/>
        <v/>
      </c>
    </row>
    <row r="30" spans="1:18" ht="12.95" customHeight="1">
      <c r="B30" s="10"/>
      <c r="C30" s="11"/>
      <c r="D30" s="11"/>
      <c r="E30" s="163"/>
      <c r="F30" s="177">
        <v>821300</v>
      </c>
      <c r="G30" s="196"/>
      <c r="H30" s="24" t="s">
        <v>90</v>
      </c>
      <c r="I30" s="230">
        <v>500</v>
      </c>
      <c r="J30" s="230">
        <v>500</v>
      </c>
      <c r="K30" s="487">
        <v>1407</v>
      </c>
      <c r="L30" s="358">
        <v>346</v>
      </c>
      <c r="M30" s="231">
        <v>0</v>
      </c>
      <c r="N30" s="813">
        <f t="shared" si="11"/>
        <v>346</v>
      </c>
      <c r="O30" s="955">
        <f t="shared" si="1"/>
        <v>69.199999999999989</v>
      </c>
      <c r="P30" s="956">
        <f t="shared" si="2"/>
        <v>24.591329068941008</v>
      </c>
    </row>
    <row r="31" spans="1:18" ht="8.1" customHeight="1">
      <c r="B31" s="10"/>
      <c r="C31" s="11"/>
      <c r="D31" s="11"/>
      <c r="E31" s="163"/>
      <c r="F31" s="177"/>
      <c r="G31" s="196"/>
      <c r="H31" s="24"/>
      <c r="I31" s="227"/>
      <c r="J31" s="227"/>
      <c r="K31" s="723"/>
      <c r="L31" s="484"/>
      <c r="M31" s="232"/>
      <c r="N31" s="774"/>
      <c r="O31" s="955" t="str">
        <f t="shared" si="1"/>
        <v/>
      </c>
      <c r="P31" s="956" t="str">
        <f t="shared" si="2"/>
        <v/>
      </c>
    </row>
    <row r="32" spans="1:18" s="1" customFormat="1" ht="12.95" customHeight="1">
      <c r="A32" s="158"/>
      <c r="B32" s="12"/>
      <c r="C32" s="8"/>
      <c r="D32" s="8"/>
      <c r="E32" s="8"/>
      <c r="F32" s="176"/>
      <c r="G32" s="195"/>
      <c r="H32" s="25" t="s">
        <v>91</v>
      </c>
      <c r="I32" s="227">
        <v>2</v>
      </c>
      <c r="J32" s="227">
        <v>2</v>
      </c>
      <c r="K32" s="723">
        <v>2</v>
      </c>
      <c r="L32" s="484">
        <v>2</v>
      </c>
      <c r="M32" s="232"/>
      <c r="N32" s="774">
        <v>2</v>
      </c>
      <c r="O32" s="955"/>
      <c r="P32" s="956"/>
    </row>
    <row r="33" spans="1:16" s="1" customFormat="1" ht="12.95" customHeight="1">
      <c r="A33" s="158"/>
      <c r="B33" s="12"/>
      <c r="C33" s="8"/>
      <c r="D33" s="8"/>
      <c r="E33" s="8"/>
      <c r="F33" s="176"/>
      <c r="G33" s="195"/>
      <c r="H33" s="25" t="s">
        <v>105</v>
      </c>
      <c r="I33" s="165">
        <f t="shared" ref="I33:K33" si="12">I8+I13+I16+I28</f>
        <v>74530</v>
      </c>
      <c r="J33" s="165">
        <f t="shared" si="12"/>
        <v>74530</v>
      </c>
      <c r="K33" s="153">
        <f t="shared" si="12"/>
        <v>64503</v>
      </c>
      <c r="L33" s="370">
        <f>L8+L13+L16+L28</f>
        <v>72187</v>
      </c>
      <c r="M33" s="165">
        <f>M8+M13+M16+M28</f>
        <v>0</v>
      </c>
      <c r="N33" s="774">
        <f>N8+N13+N16+N28</f>
        <v>72187</v>
      </c>
      <c r="O33" s="953">
        <f>IF(J33=0,"",N33/J33*100)</f>
        <v>96.856299476720793</v>
      </c>
      <c r="P33" s="954">
        <f t="shared" si="2"/>
        <v>111.91262421902857</v>
      </c>
    </row>
    <row r="34" spans="1:16" s="1" customFormat="1" ht="12.95" customHeight="1">
      <c r="A34" s="158"/>
      <c r="B34" s="12"/>
      <c r="C34" s="8"/>
      <c r="D34" s="8"/>
      <c r="E34" s="8"/>
      <c r="F34" s="176"/>
      <c r="G34" s="195"/>
      <c r="H34" s="8" t="s">
        <v>92</v>
      </c>
      <c r="I34" s="15"/>
      <c r="J34" s="15"/>
      <c r="K34" s="153"/>
      <c r="L34" s="370"/>
      <c r="M34" s="165"/>
      <c r="N34" s="774"/>
      <c r="O34" s="955" t="str">
        <f>IF(J34=0,"",N34/J34*100)</f>
        <v/>
      </c>
      <c r="P34" s="956" t="str">
        <f t="shared" si="2"/>
        <v/>
      </c>
    </row>
    <row r="35" spans="1:16" s="1" customFormat="1" ht="12.95" customHeight="1">
      <c r="A35" s="158"/>
      <c r="B35" s="12"/>
      <c r="C35" s="8"/>
      <c r="D35" s="8"/>
      <c r="E35" s="8"/>
      <c r="F35" s="176"/>
      <c r="G35" s="195"/>
      <c r="H35" s="8" t="s">
        <v>93</v>
      </c>
      <c r="I35" s="29"/>
      <c r="J35" s="29"/>
      <c r="K35" s="148"/>
      <c r="L35" s="369"/>
      <c r="M35" s="156"/>
      <c r="N35" s="776"/>
      <c r="O35" s="955" t="str">
        <f>IF(J35=0,"",N35/J35*100)</f>
        <v/>
      </c>
      <c r="P35" s="956" t="str">
        <f t="shared" si="2"/>
        <v/>
      </c>
    </row>
    <row r="36" spans="1:16" ht="8.1" customHeight="1" thickBot="1">
      <c r="B36" s="16"/>
      <c r="C36" s="17"/>
      <c r="D36" s="17"/>
      <c r="E36" s="17"/>
      <c r="F36" s="178"/>
      <c r="G36" s="197"/>
      <c r="H36" s="17"/>
      <c r="I36" s="17"/>
      <c r="J36" s="17"/>
      <c r="K36" s="355"/>
      <c r="L36" s="16"/>
      <c r="M36" s="17"/>
      <c r="N36" s="800"/>
      <c r="O36" s="957"/>
      <c r="P36" s="958" t="str">
        <f t="shared" si="2"/>
        <v/>
      </c>
    </row>
    <row r="37" spans="1:16" ht="12.95" customHeight="1">
      <c r="F37" s="179"/>
      <c r="G37" s="198"/>
      <c r="N37" s="253"/>
      <c r="P37" s="214" t="str">
        <f t="shared" si="2"/>
        <v/>
      </c>
    </row>
    <row r="38" spans="1:16" ht="12.95" customHeight="1">
      <c r="B38" s="45"/>
      <c r="F38" s="179"/>
      <c r="G38" s="198"/>
      <c r="N38" s="253"/>
      <c r="P38" s="214" t="str">
        <f t="shared" si="2"/>
        <v/>
      </c>
    </row>
    <row r="39" spans="1:16" ht="12.95" customHeight="1">
      <c r="F39" s="179"/>
      <c r="G39" s="198"/>
      <c r="N39" s="253"/>
      <c r="P39" s="214" t="str">
        <f t="shared" si="2"/>
        <v/>
      </c>
    </row>
    <row r="40" spans="1:16" ht="12.95" customHeight="1">
      <c r="F40" s="179"/>
      <c r="G40" s="198"/>
      <c r="N40" s="253"/>
      <c r="P40" s="214" t="str">
        <f t="shared" si="2"/>
        <v/>
      </c>
    </row>
    <row r="41" spans="1:16" ht="12.95" customHeight="1">
      <c r="F41" s="179"/>
      <c r="G41" s="198"/>
      <c r="N41" s="253"/>
      <c r="P41" s="214" t="str">
        <f t="shared" si="2"/>
        <v/>
      </c>
    </row>
    <row r="42" spans="1:16" ht="12.95" customHeight="1">
      <c r="F42" s="179"/>
      <c r="G42" s="198"/>
      <c r="N42" s="253"/>
      <c r="P42" s="214" t="str">
        <f t="shared" si="2"/>
        <v/>
      </c>
    </row>
    <row r="43" spans="1:16" ht="12.95" customHeight="1">
      <c r="F43" s="179"/>
      <c r="G43" s="198"/>
      <c r="N43" s="253"/>
      <c r="P43" s="214" t="str">
        <f t="shared" si="2"/>
        <v/>
      </c>
    </row>
    <row r="44" spans="1:16" ht="12.95" customHeight="1">
      <c r="F44" s="179"/>
      <c r="G44" s="198"/>
      <c r="N44" s="253"/>
      <c r="P44" s="214" t="str">
        <f t="shared" si="2"/>
        <v/>
      </c>
    </row>
    <row r="45" spans="1:16" ht="12.95" customHeight="1">
      <c r="F45" s="179"/>
      <c r="G45" s="198"/>
      <c r="N45" s="253"/>
      <c r="P45" s="214" t="str">
        <f t="shared" si="2"/>
        <v/>
      </c>
    </row>
    <row r="46" spans="1:16" ht="12.95" customHeight="1">
      <c r="F46" s="179"/>
      <c r="G46" s="198"/>
      <c r="N46" s="253"/>
      <c r="P46" s="214" t="str">
        <f t="shared" si="2"/>
        <v/>
      </c>
    </row>
    <row r="47" spans="1:16" ht="12.95" customHeight="1">
      <c r="F47" s="179"/>
      <c r="G47" s="198"/>
      <c r="N47" s="253"/>
      <c r="P47" s="214" t="str">
        <f t="shared" si="2"/>
        <v/>
      </c>
    </row>
    <row r="48" spans="1:16" ht="12.95" customHeight="1">
      <c r="F48" s="179"/>
      <c r="G48" s="198"/>
      <c r="N48" s="253"/>
      <c r="P48" s="214" t="str">
        <f t="shared" si="2"/>
        <v/>
      </c>
    </row>
    <row r="49" spans="6:16" ht="12.95" customHeight="1">
      <c r="F49" s="179"/>
      <c r="G49" s="198"/>
      <c r="N49" s="253"/>
      <c r="P49" s="214" t="str">
        <f t="shared" si="2"/>
        <v/>
      </c>
    </row>
    <row r="50" spans="6:16" ht="12.95" customHeight="1">
      <c r="F50" s="179"/>
      <c r="G50" s="198"/>
      <c r="N50" s="253"/>
      <c r="P50" s="214" t="str">
        <f t="shared" si="2"/>
        <v/>
      </c>
    </row>
    <row r="51" spans="6:16" ht="12.95" customHeight="1">
      <c r="F51" s="179"/>
      <c r="G51" s="198"/>
      <c r="N51" s="253"/>
      <c r="P51" s="214" t="str">
        <f t="shared" si="2"/>
        <v/>
      </c>
    </row>
    <row r="52" spans="6:16" ht="12.95" customHeight="1">
      <c r="F52" s="179"/>
      <c r="G52" s="198"/>
      <c r="N52" s="253"/>
      <c r="P52" s="214" t="str">
        <f t="shared" si="2"/>
        <v/>
      </c>
    </row>
    <row r="53" spans="6:16" ht="12.95" customHeight="1">
      <c r="F53" s="179"/>
      <c r="G53" s="198"/>
      <c r="N53" s="253"/>
      <c r="P53" s="214" t="str">
        <f t="shared" si="2"/>
        <v/>
      </c>
    </row>
    <row r="54" spans="6:16" ht="12.95" customHeight="1">
      <c r="F54" s="179"/>
      <c r="G54" s="198"/>
      <c r="N54" s="253"/>
    </row>
    <row r="55" spans="6:16" ht="12.95" customHeight="1">
      <c r="F55" s="179"/>
      <c r="G55" s="198"/>
      <c r="N55" s="253"/>
    </row>
    <row r="56" spans="6:16" ht="12.95" customHeight="1">
      <c r="F56" s="179"/>
      <c r="G56" s="198"/>
      <c r="N56" s="253"/>
    </row>
    <row r="57" spans="6:16" ht="12.95" customHeight="1">
      <c r="F57" s="179"/>
      <c r="G57" s="198"/>
      <c r="N57" s="253"/>
    </row>
    <row r="58" spans="6:16" ht="12.95" customHeight="1">
      <c r="F58" s="179"/>
      <c r="G58" s="198"/>
      <c r="N58" s="253"/>
    </row>
    <row r="59" spans="6:16" ht="12.95" customHeight="1">
      <c r="F59" s="179"/>
      <c r="G59" s="198"/>
      <c r="N59" s="253"/>
    </row>
    <row r="60" spans="6:16" ht="17.100000000000001" customHeight="1">
      <c r="F60" s="179"/>
      <c r="G60" s="198"/>
      <c r="N60" s="253"/>
    </row>
    <row r="61" spans="6:16" ht="14.25">
      <c r="F61" s="179"/>
      <c r="G61" s="198"/>
      <c r="N61" s="253"/>
    </row>
    <row r="62" spans="6:16" ht="14.25">
      <c r="F62" s="179"/>
      <c r="G62" s="198"/>
      <c r="N62" s="253"/>
    </row>
    <row r="63" spans="6:16" ht="14.25">
      <c r="F63" s="179"/>
      <c r="G63" s="198"/>
      <c r="N63" s="253"/>
    </row>
    <row r="64" spans="6:16" ht="14.25">
      <c r="F64" s="179"/>
      <c r="G64" s="198"/>
      <c r="N64" s="253"/>
    </row>
    <row r="65" spans="6:14" ht="14.25">
      <c r="F65" s="179"/>
      <c r="G65" s="198"/>
      <c r="N65" s="253"/>
    </row>
    <row r="66" spans="6:14" ht="14.25">
      <c r="F66" s="179"/>
      <c r="G66" s="198"/>
      <c r="N66" s="253"/>
    </row>
    <row r="67" spans="6:14" ht="14.25">
      <c r="F67" s="179"/>
      <c r="G67" s="198"/>
      <c r="N67" s="253"/>
    </row>
    <row r="68" spans="6:14" ht="14.25">
      <c r="F68" s="179"/>
      <c r="G68" s="198"/>
      <c r="N68" s="253"/>
    </row>
    <row r="69" spans="6:14" ht="14.25">
      <c r="F69" s="179"/>
      <c r="G69" s="198"/>
      <c r="N69" s="253"/>
    </row>
    <row r="70" spans="6:14" ht="14.25">
      <c r="F70" s="179"/>
      <c r="G70" s="198"/>
      <c r="N70" s="253"/>
    </row>
    <row r="71" spans="6:14" ht="14.25">
      <c r="F71" s="179"/>
      <c r="G71" s="198"/>
      <c r="N71" s="253"/>
    </row>
    <row r="72" spans="6:14" ht="14.25">
      <c r="F72" s="179"/>
      <c r="G72" s="198"/>
      <c r="N72" s="253"/>
    </row>
    <row r="73" spans="6:14" ht="14.25">
      <c r="F73" s="179"/>
      <c r="G73" s="198"/>
      <c r="N73" s="253"/>
    </row>
    <row r="74" spans="6:14" ht="14.25">
      <c r="F74" s="179"/>
      <c r="G74" s="179"/>
      <c r="N74" s="253"/>
    </row>
    <row r="75" spans="6:14" ht="14.25">
      <c r="F75" s="179"/>
      <c r="G75" s="179"/>
      <c r="N75" s="253"/>
    </row>
    <row r="76" spans="6:14" ht="14.25">
      <c r="F76" s="179"/>
      <c r="G76" s="179"/>
      <c r="N76" s="253"/>
    </row>
    <row r="77" spans="6:14" ht="14.25">
      <c r="F77" s="179"/>
      <c r="G77" s="179"/>
      <c r="N77" s="253"/>
    </row>
    <row r="78" spans="6:14" ht="14.25">
      <c r="F78" s="179"/>
      <c r="G78" s="179"/>
      <c r="N78" s="253"/>
    </row>
    <row r="79" spans="6:14" ht="14.25">
      <c r="F79" s="179"/>
      <c r="G79" s="179"/>
      <c r="N79" s="253"/>
    </row>
    <row r="80" spans="6:14" ht="14.25">
      <c r="F80" s="179"/>
      <c r="G80" s="179"/>
      <c r="N80" s="253"/>
    </row>
    <row r="81" spans="6:14" ht="14.25">
      <c r="F81" s="179"/>
      <c r="G81" s="179"/>
      <c r="N81" s="253"/>
    </row>
    <row r="82" spans="6:14" ht="14.25">
      <c r="F82" s="179"/>
      <c r="G82" s="179"/>
      <c r="N82" s="253"/>
    </row>
    <row r="83" spans="6:14" ht="14.25">
      <c r="F83" s="179"/>
      <c r="G83" s="179"/>
      <c r="N83" s="253"/>
    </row>
    <row r="84" spans="6:14" ht="14.25">
      <c r="F84" s="179"/>
      <c r="G84" s="179"/>
      <c r="N84" s="253"/>
    </row>
    <row r="85" spans="6:14" ht="14.25">
      <c r="F85" s="179"/>
      <c r="G85" s="179"/>
      <c r="N85" s="253"/>
    </row>
    <row r="86" spans="6:14" ht="14.25">
      <c r="F86" s="179"/>
      <c r="G86" s="179"/>
      <c r="N86" s="253"/>
    </row>
    <row r="87" spans="6:14" ht="14.25">
      <c r="F87" s="179"/>
      <c r="G87" s="179"/>
      <c r="N87" s="253"/>
    </row>
    <row r="88" spans="6:14" ht="14.25">
      <c r="F88" s="179"/>
      <c r="G88" s="179"/>
      <c r="N88" s="253"/>
    </row>
    <row r="89" spans="6:14" ht="14.25">
      <c r="F89" s="179"/>
      <c r="G89" s="179"/>
      <c r="N89" s="253"/>
    </row>
    <row r="90" spans="6:14" ht="14.25">
      <c r="F90" s="179"/>
      <c r="G90" s="179"/>
      <c r="N90" s="253"/>
    </row>
    <row r="91" spans="6:14">
      <c r="G91" s="179"/>
    </row>
    <row r="92" spans="6:14">
      <c r="G92" s="179"/>
    </row>
    <row r="93" spans="6:14">
      <c r="G93" s="179"/>
    </row>
    <row r="94" spans="6:14">
      <c r="G94" s="179"/>
    </row>
    <row r="95" spans="6:14">
      <c r="G95" s="179"/>
    </row>
    <row r="96" spans="6:14">
      <c r="G96" s="179"/>
    </row>
  </sheetData>
  <mergeCells count="15">
    <mergeCell ref="P4:P5"/>
    <mergeCell ref="B2:P2"/>
    <mergeCell ref="K4:K5"/>
    <mergeCell ref="O4:O5"/>
    <mergeCell ref="H4:H5"/>
    <mergeCell ref="H3:I3"/>
    <mergeCell ref="L4:N4"/>
    <mergeCell ref="B4:B5"/>
    <mergeCell ref="C4:C5"/>
    <mergeCell ref="D4:D5"/>
    <mergeCell ref="G4:G5"/>
    <mergeCell ref="F4:F5"/>
    <mergeCell ref="I4:I5"/>
    <mergeCell ref="J4:J5"/>
    <mergeCell ref="E4:E5"/>
  </mergeCells>
  <phoneticPr fontId="2" type="noConversion"/>
  <pageMargins left="0.78740157480314965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42"/>
  <dimension ref="A1:R96"/>
  <sheetViews>
    <sheetView topLeftCell="H1" zoomScaleNormal="100" workbookViewId="0">
      <selection activeCell="T26" sqref="T26"/>
    </sheetView>
  </sheetViews>
  <sheetFormatPr defaultColWidth="9.140625" defaultRowHeight="12.75"/>
  <cols>
    <col min="1" max="1" width="4.42578125" style="161" customWidth="1"/>
    <col min="2" max="2" width="4.7109375" style="9" customWidth="1"/>
    <col min="3" max="3" width="5.140625" style="9" customWidth="1"/>
    <col min="4" max="4" width="5" style="9" customWidth="1"/>
    <col min="5" max="5" width="5" style="161" customWidth="1"/>
    <col min="6" max="6" width="8.7109375" style="18" customWidth="1"/>
    <col min="7" max="7" width="8.7109375" style="166" customWidth="1"/>
    <col min="8" max="8" width="50.7109375" style="9" customWidth="1"/>
    <col min="9" max="10" width="14.7109375" style="9" customWidth="1"/>
    <col min="11" max="11" width="12.5703125" style="161" customWidth="1"/>
    <col min="12" max="13" width="14.7109375" style="161" customWidth="1"/>
    <col min="14" max="14" width="15.7109375" style="9" customWidth="1"/>
    <col min="15" max="16" width="7.7109375" style="214" customWidth="1"/>
    <col min="17" max="16384" width="9.140625" style="9"/>
  </cols>
  <sheetData>
    <row r="1" spans="1:18" ht="13.5" thickBot="1"/>
    <row r="2" spans="1:18" s="244" customFormat="1" ht="20.100000000000001" customHeight="1" thickTop="1" thickBot="1">
      <c r="B2" s="1034" t="s">
        <v>868</v>
      </c>
      <c r="C2" s="1035"/>
      <c r="D2" s="1035"/>
      <c r="E2" s="1035"/>
      <c r="F2" s="1035"/>
      <c r="G2" s="1035"/>
      <c r="H2" s="1035"/>
      <c r="I2" s="1035"/>
      <c r="J2" s="1035"/>
      <c r="K2" s="1035"/>
      <c r="L2" s="1035"/>
      <c r="M2" s="1035"/>
      <c r="N2" s="1035"/>
      <c r="O2" s="1057"/>
      <c r="P2" s="1036"/>
    </row>
    <row r="3" spans="1:18" s="1" customFormat="1" ht="8.1" customHeight="1" thickTop="1" thickBot="1">
      <c r="A3" s="158"/>
      <c r="E3" s="158"/>
      <c r="F3" s="2"/>
      <c r="G3" s="159"/>
      <c r="H3" s="1039"/>
      <c r="I3" s="1039"/>
      <c r="J3" s="139"/>
      <c r="K3" s="721"/>
      <c r="L3" s="74"/>
      <c r="M3" s="74"/>
      <c r="N3" s="74"/>
      <c r="O3" s="208"/>
      <c r="P3" s="208"/>
    </row>
    <row r="4" spans="1:18" s="1" customFormat="1" ht="39" customHeight="1">
      <c r="A4" s="158"/>
      <c r="B4" s="1043" t="s">
        <v>76</v>
      </c>
      <c r="C4" s="1045" t="s">
        <v>77</v>
      </c>
      <c r="D4" s="1047" t="s">
        <v>102</v>
      </c>
      <c r="E4" s="1062" t="s">
        <v>692</v>
      </c>
      <c r="F4" s="1058" t="s">
        <v>466</v>
      </c>
      <c r="G4" s="1048" t="s">
        <v>493</v>
      </c>
      <c r="H4" s="1050" t="s">
        <v>78</v>
      </c>
      <c r="I4" s="1069" t="s">
        <v>901</v>
      </c>
      <c r="J4" s="1068" t="s">
        <v>813</v>
      </c>
      <c r="K4" s="1037" t="s">
        <v>906</v>
      </c>
      <c r="L4" s="1040" t="s">
        <v>905</v>
      </c>
      <c r="M4" s="1041"/>
      <c r="N4" s="1042"/>
      <c r="O4" s="1054" t="s">
        <v>945</v>
      </c>
      <c r="P4" s="1032" t="s">
        <v>946</v>
      </c>
      <c r="R4" s="61"/>
    </row>
    <row r="5" spans="1:18" s="158" customFormat="1" ht="27" customHeight="1">
      <c r="B5" s="1044"/>
      <c r="C5" s="1046"/>
      <c r="D5" s="1046"/>
      <c r="E5" s="1049"/>
      <c r="F5" s="1051"/>
      <c r="G5" s="1049"/>
      <c r="H5" s="1051"/>
      <c r="I5" s="1061"/>
      <c r="J5" s="1051"/>
      <c r="K5" s="1038"/>
      <c r="L5" s="373" t="s">
        <v>526</v>
      </c>
      <c r="M5" s="242" t="s">
        <v>527</v>
      </c>
      <c r="N5" s="764" t="s">
        <v>319</v>
      </c>
      <c r="O5" s="1055"/>
      <c r="P5" s="1033"/>
    </row>
    <row r="6" spans="1:18" s="2" customFormat="1" ht="12.95" customHeight="1">
      <c r="A6" s="159"/>
      <c r="B6" s="328">
        <v>1</v>
      </c>
      <c r="C6" s="195">
        <v>2</v>
      </c>
      <c r="D6" s="195">
        <v>3</v>
      </c>
      <c r="E6" s="195">
        <v>4</v>
      </c>
      <c r="F6" s="195">
        <v>5</v>
      </c>
      <c r="G6" s="195">
        <v>6</v>
      </c>
      <c r="H6" s="195">
        <v>7</v>
      </c>
      <c r="I6" s="329">
        <v>8</v>
      </c>
      <c r="J6" s="195">
        <v>9</v>
      </c>
      <c r="K6" s="188">
        <v>10</v>
      </c>
      <c r="L6" s="328">
        <v>11</v>
      </c>
      <c r="M6" s="195">
        <v>12</v>
      </c>
      <c r="N6" s="810" t="s">
        <v>694</v>
      </c>
      <c r="O6" s="929" t="s">
        <v>814</v>
      </c>
      <c r="P6" s="930" t="s">
        <v>944</v>
      </c>
    </row>
    <row r="7" spans="1:18" s="2" customFormat="1" ht="12.95" customHeight="1">
      <c r="A7" s="159"/>
      <c r="B7" s="6" t="s">
        <v>110</v>
      </c>
      <c r="C7" s="7" t="s">
        <v>79</v>
      </c>
      <c r="D7" s="7" t="s">
        <v>114</v>
      </c>
      <c r="E7" s="415" t="s">
        <v>693</v>
      </c>
      <c r="F7" s="5"/>
      <c r="G7" s="160"/>
      <c r="H7" s="5"/>
      <c r="I7" s="366"/>
      <c r="J7" s="160"/>
      <c r="K7" s="173"/>
      <c r="L7" s="4"/>
      <c r="M7" s="160"/>
      <c r="N7" s="811"/>
      <c r="O7" s="951"/>
      <c r="P7" s="952"/>
    </row>
    <row r="8" spans="1:18" s="1" customFormat="1" ht="12.95" customHeight="1">
      <c r="A8" s="158"/>
      <c r="B8" s="12"/>
      <c r="C8" s="8"/>
      <c r="D8" s="8"/>
      <c r="E8" s="8"/>
      <c r="F8" s="176">
        <v>611000</v>
      </c>
      <c r="G8" s="195"/>
      <c r="H8" s="25" t="s">
        <v>140</v>
      </c>
      <c r="I8" s="227">
        <f t="shared" ref="I8:N8" si="0">SUM(I9:I12)</f>
        <v>96920</v>
      </c>
      <c r="J8" s="227">
        <f t="shared" si="0"/>
        <v>96920</v>
      </c>
      <c r="K8" s="723">
        <f t="shared" si="0"/>
        <v>83225</v>
      </c>
      <c r="L8" s="482">
        <f t="shared" si="0"/>
        <v>95752</v>
      </c>
      <c r="M8" s="236">
        <f t="shared" si="0"/>
        <v>0</v>
      </c>
      <c r="N8" s="812">
        <f t="shared" si="0"/>
        <v>95752</v>
      </c>
      <c r="O8" s="953">
        <f t="shared" ref="O8:O31" si="1">IF(J8=0,"",N8/J8*100)</f>
        <v>98.794882377218329</v>
      </c>
      <c r="P8" s="954">
        <f>IF(K8=0,"",N8/K8*100)</f>
        <v>115.05196755782517</v>
      </c>
    </row>
    <row r="9" spans="1:18" ht="12.95" customHeight="1">
      <c r="B9" s="10"/>
      <c r="C9" s="11"/>
      <c r="D9" s="11"/>
      <c r="E9" s="163"/>
      <c r="F9" s="177">
        <v>611100</v>
      </c>
      <c r="G9" s="196"/>
      <c r="H9" s="428" t="s">
        <v>161</v>
      </c>
      <c r="I9" s="235">
        <f>77820+1420*2</f>
        <v>80660</v>
      </c>
      <c r="J9" s="235">
        <f>77820+1420*2</f>
        <v>80660</v>
      </c>
      <c r="K9" s="487">
        <v>68686</v>
      </c>
      <c r="L9" s="357">
        <v>80454</v>
      </c>
      <c r="M9" s="235">
        <v>0</v>
      </c>
      <c r="N9" s="813">
        <f>SUM(L9:M9)</f>
        <v>80454</v>
      </c>
      <c r="O9" s="955">
        <f t="shared" si="1"/>
        <v>99.744606992313408</v>
      </c>
      <c r="P9" s="956">
        <f t="shared" ref="P9:P53" si="2">IF(K9=0,"",N9/K9*100)</f>
        <v>117.13304021197915</v>
      </c>
      <c r="Q9" s="51"/>
    </row>
    <row r="10" spans="1:18" ht="12.95" customHeight="1">
      <c r="B10" s="10"/>
      <c r="C10" s="11"/>
      <c r="D10" s="11"/>
      <c r="E10" s="163"/>
      <c r="F10" s="177">
        <v>611200</v>
      </c>
      <c r="G10" s="196"/>
      <c r="H10" s="24" t="s">
        <v>162</v>
      </c>
      <c r="I10" s="235">
        <f>12320+1140+4*700</f>
        <v>16260</v>
      </c>
      <c r="J10" s="235">
        <f>12320+1140+4*700</f>
        <v>16260</v>
      </c>
      <c r="K10" s="487">
        <v>14539</v>
      </c>
      <c r="L10" s="357">
        <v>15298</v>
      </c>
      <c r="M10" s="235">
        <v>0</v>
      </c>
      <c r="N10" s="813">
        <f t="shared" ref="N10:N11" si="3">SUM(L10:M10)</f>
        <v>15298</v>
      </c>
      <c r="O10" s="955">
        <f t="shared" si="1"/>
        <v>94.083640836408364</v>
      </c>
      <c r="P10" s="956">
        <f t="shared" si="2"/>
        <v>105.2204415709471</v>
      </c>
      <c r="Q10" s="53"/>
    </row>
    <row r="11" spans="1:18" ht="12.95" customHeight="1">
      <c r="B11" s="10"/>
      <c r="C11" s="11"/>
      <c r="D11" s="11"/>
      <c r="E11" s="163"/>
      <c r="F11" s="177">
        <v>611200</v>
      </c>
      <c r="G11" s="196"/>
      <c r="H11" s="435" t="s">
        <v>434</v>
      </c>
      <c r="I11" s="230">
        <v>0</v>
      </c>
      <c r="J11" s="230">
        <v>0</v>
      </c>
      <c r="K11" s="487">
        <v>0</v>
      </c>
      <c r="L11" s="357">
        <v>0</v>
      </c>
      <c r="M11" s="235">
        <v>0</v>
      </c>
      <c r="N11" s="813">
        <f t="shared" si="3"/>
        <v>0</v>
      </c>
      <c r="O11" s="955" t="str">
        <f t="shared" si="1"/>
        <v/>
      </c>
      <c r="P11" s="956" t="str">
        <f t="shared" si="2"/>
        <v/>
      </c>
      <c r="R11" s="50"/>
    </row>
    <row r="12" spans="1:18" ht="8.1" customHeight="1">
      <c r="B12" s="10"/>
      <c r="C12" s="11"/>
      <c r="D12" s="11"/>
      <c r="E12" s="163"/>
      <c r="F12" s="177"/>
      <c r="G12" s="196"/>
      <c r="H12" s="428"/>
      <c r="I12" s="230"/>
      <c r="J12" s="230"/>
      <c r="K12" s="487"/>
      <c r="L12" s="357"/>
      <c r="M12" s="235"/>
      <c r="N12" s="813"/>
      <c r="O12" s="955" t="str">
        <f t="shared" si="1"/>
        <v/>
      </c>
      <c r="P12" s="956" t="str">
        <f t="shared" si="2"/>
        <v/>
      </c>
    </row>
    <row r="13" spans="1:18" s="1" customFormat="1" ht="12.95" customHeight="1">
      <c r="A13" s="158"/>
      <c r="B13" s="12"/>
      <c r="C13" s="8"/>
      <c r="D13" s="8"/>
      <c r="E13" s="8"/>
      <c r="F13" s="176">
        <v>612000</v>
      </c>
      <c r="G13" s="195"/>
      <c r="H13" s="25" t="s">
        <v>139</v>
      </c>
      <c r="I13" s="227">
        <f t="shared" ref="I13:N13" si="4">I14</f>
        <v>8520</v>
      </c>
      <c r="J13" s="227">
        <f t="shared" si="4"/>
        <v>8520</v>
      </c>
      <c r="K13" s="723">
        <f t="shared" si="4"/>
        <v>7333</v>
      </c>
      <c r="L13" s="482">
        <f t="shared" si="4"/>
        <v>8448</v>
      </c>
      <c r="M13" s="236">
        <f t="shared" si="4"/>
        <v>0</v>
      </c>
      <c r="N13" s="812">
        <f t="shared" si="4"/>
        <v>8448</v>
      </c>
      <c r="O13" s="953">
        <f t="shared" si="1"/>
        <v>99.154929577464785</v>
      </c>
      <c r="P13" s="954">
        <f t="shared" si="2"/>
        <v>115.20523660166371</v>
      </c>
    </row>
    <row r="14" spans="1:18" ht="12.95" customHeight="1">
      <c r="B14" s="10"/>
      <c r="C14" s="11"/>
      <c r="D14" s="11"/>
      <c r="E14" s="163"/>
      <c r="F14" s="177">
        <v>612100</v>
      </c>
      <c r="G14" s="196"/>
      <c r="H14" s="430" t="s">
        <v>81</v>
      </c>
      <c r="I14" s="230">
        <f>8200+160*2</f>
        <v>8520</v>
      </c>
      <c r="J14" s="230">
        <f>8200+160*2</f>
        <v>8520</v>
      </c>
      <c r="K14" s="487">
        <v>7333</v>
      </c>
      <c r="L14" s="357">
        <v>8448</v>
      </c>
      <c r="M14" s="235">
        <v>0</v>
      </c>
      <c r="N14" s="813">
        <f>SUM(L14:M14)</f>
        <v>8448</v>
      </c>
      <c r="O14" s="955">
        <f t="shared" si="1"/>
        <v>99.154929577464785</v>
      </c>
      <c r="P14" s="956">
        <f t="shared" si="2"/>
        <v>115.20523660166371</v>
      </c>
    </row>
    <row r="15" spans="1:18" ht="8.1" customHeight="1">
      <c r="B15" s="10"/>
      <c r="C15" s="11"/>
      <c r="D15" s="11"/>
      <c r="E15" s="163"/>
      <c r="F15" s="177"/>
      <c r="G15" s="196"/>
      <c r="H15" s="24"/>
      <c r="I15" s="230"/>
      <c r="J15" s="230"/>
      <c r="K15" s="487"/>
      <c r="L15" s="358"/>
      <c r="M15" s="231"/>
      <c r="N15" s="776"/>
      <c r="O15" s="955" t="str">
        <f t="shared" si="1"/>
        <v/>
      </c>
      <c r="P15" s="956" t="str">
        <f t="shared" si="2"/>
        <v/>
      </c>
    </row>
    <row r="16" spans="1:18" s="1" customFormat="1" ht="12.95" customHeight="1">
      <c r="A16" s="158"/>
      <c r="B16" s="12"/>
      <c r="C16" s="8"/>
      <c r="D16" s="8"/>
      <c r="E16" s="8"/>
      <c r="F16" s="176">
        <v>613000</v>
      </c>
      <c r="G16" s="195"/>
      <c r="H16" s="25" t="s">
        <v>141</v>
      </c>
      <c r="I16" s="227">
        <f t="shared" ref="I16:N16" si="5">SUM(I17:I26)</f>
        <v>5500</v>
      </c>
      <c r="J16" s="227">
        <f t="shared" si="5"/>
        <v>5500</v>
      </c>
      <c r="K16" s="723">
        <f t="shared" si="5"/>
        <v>3868</v>
      </c>
      <c r="L16" s="483">
        <f t="shared" si="5"/>
        <v>3895</v>
      </c>
      <c r="M16" s="234">
        <f t="shared" si="5"/>
        <v>0</v>
      </c>
      <c r="N16" s="774">
        <f t="shared" si="5"/>
        <v>3895</v>
      </c>
      <c r="O16" s="953">
        <f t="shared" si="1"/>
        <v>70.818181818181813</v>
      </c>
      <c r="P16" s="954">
        <f t="shared" si="2"/>
        <v>100.69803516028955</v>
      </c>
    </row>
    <row r="17" spans="1:16" ht="12.95" customHeight="1">
      <c r="B17" s="10"/>
      <c r="C17" s="11"/>
      <c r="D17" s="11"/>
      <c r="E17" s="163"/>
      <c r="F17" s="177">
        <v>613100</v>
      </c>
      <c r="G17" s="196"/>
      <c r="H17" s="24" t="s">
        <v>82</v>
      </c>
      <c r="I17" s="230">
        <v>700</v>
      </c>
      <c r="J17" s="230">
        <v>700</v>
      </c>
      <c r="K17" s="487">
        <v>641</v>
      </c>
      <c r="L17" s="357">
        <v>685</v>
      </c>
      <c r="M17" s="235">
        <v>0</v>
      </c>
      <c r="N17" s="813">
        <f t="shared" ref="N17:N26" si="6">SUM(L17:M17)</f>
        <v>685</v>
      </c>
      <c r="O17" s="955">
        <f t="shared" si="1"/>
        <v>97.857142857142847</v>
      </c>
      <c r="P17" s="956">
        <f t="shared" si="2"/>
        <v>106.86427457098284</v>
      </c>
    </row>
    <row r="18" spans="1:16" ht="12.95" customHeight="1">
      <c r="B18" s="10"/>
      <c r="C18" s="11"/>
      <c r="D18" s="11"/>
      <c r="E18" s="163"/>
      <c r="F18" s="177">
        <v>613200</v>
      </c>
      <c r="G18" s="196"/>
      <c r="H18" s="24" t="s">
        <v>83</v>
      </c>
      <c r="I18" s="230">
        <v>0</v>
      </c>
      <c r="J18" s="230">
        <v>0</v>
      </c>
      <c r="K18" s="487">
        <v>0</v>
      </c>
      <c r="L18" s="358">
        <v>0</v>
      </c>
      <c r="M18" s="231">
        <v>0</v>
      </c>
      <c r="N18" s="813">
        <f t="shared" si="6"/>
        <v>0</v>
      </c>
      <c r="O18" s="955" t="str">
        <f t="shared" si="1"/>
        <v/>
      </c>
      <c r="P18" s="956" t="str">
        <f t="shared" si="2"/>
        <v/>
      </c>
    </row>
    <row r="19" spans="1:16" ht="12.95" customHeight="1">
      <c r="B19" s="10"/>
      <c r="C19" s="11"/>
      <c r="D19" s="11"/>
      <c r="E19" s="163"/>
      <c r="F19" s="177">
        <v>613300</v>
      </c>
      <c r="G19" s="196"/>
      <c r="H19" s="428" t="s">
        <v>163</v>
      </c>
      <c r="I19" s="230">
        <v>2500</v>
      </c>
      <c r="J19" s="230">
        <v>2500</v>
      </c>
      <c r="K19" s="487">
        <v>1395</v>
      </c>
      <c r="L19" s="358">
        <v>1288</v>
      </c>
      <c r="M19" s="231">
        <v>0</v>
      </c>
      <c r="N19" s="813">
        <f t="shared" si="6"/>
        <v>1288</v>
      </c>
      <c r="O19" s="955">
        <f t="shared" si="1"/>
        <v>51.519999999999996</v>
      </c>
      <c r="P19" s="956">
        <f t="shared" si="2"/>
        <v>92.329749103942646</v>
      </c>
    </row>
    <row r="20" spans="1:16" ht="12.95" customHeight="1">
      <c r="B20" s="10"/>
      <c r="C20" s="11"/>
      <c r="D20" s="11"/>
      <c r="E20" s="163"/>
      <c r="F20" s="177">
        <v>613400</v>
      </c>
      <c r="G20" s="196"/>
      <c r="H20" s="24" t="s">
        <v>142</v>
      </c>
      <c r="I20" s="230">
        <v>300</v>
      </c>
      <c r="J20" s="230">
        <v>300</v>
      </c>
      <c r="K20" s="487">
        <v>274</v>
      </c>
      <c r="L20" s="357">
        <v>296</v>
      </c>
      <c r="M20" s="235">
        <v>0</v>
      </c>
      <c r="N20" s="813">
        <f t="shared" si="6"/>
        <v>296</v>
      </c>
      <c r="O20" s="955">
        <f t="shared" si="1"/>
        <v>98.666666666666671</v>
      </c>
      <c r="P20" s="956">
        <f t="shared" si="2"/>
        <v>108.02919708029196</v>
      </c>
    </row>
    <row r="21" spans="1:16" ht="12.95" customHeight="1">
      <c r="B21" s="10"/>
      <c r="C21" s="11"/>
      <c r="D21" s="11"/>
      <c r="E21" s="163"/>
      <c r="F21" s="177">
        <v>613500</v>
      </c>
      <c r="G21" s="196"/>
      <c r="H21" s="24" t="s">
        <v>84</v>
      </c>
      <c r="I21" s="230">
        <v>0</v>
      </c>
      <c r="J21" s="230">
        <v>0</v>
      </c>
      <c r="K21" s="487">
        <v>0</v>
      </c>
      <c r="L21" s="358">
        <v>0</v>
      </c>
      <c r="M21" s="231">
        <v>0</v>
      </c>
      <c r="N21" s="813">
        <f t="shared" si="6"/>
        <v>0</v>
      </c>
      <c r="O21" s="955" t="str">
        <f t="shared" si="1"/>
        <v/>
      </c>
      <c r="P21" s="956" t="str">
        <f t="shared" si="2"/>
        <v/>
      </c>
    </row>
    <row r="22" spans="1:16" ht="12.95" customHeight="1">
      <c r="B22" s="10"/>
      <c r="C22" s="11"/>
      <c r="D22" s="11"/>
      <c r="E22" s="163"/>
      <c r="F22" s="177">
        <v>613600</v>
      </c>
      <c r="G22" s="196"/>
      <c r="H22" s="428" t="s">
        <v>164</v>
      </c>
      <c r="I22" s="230">
        <v>0</v>
      </c>
      <c r="J22" s="230">
        <v>0</v>
      </c>
      <c r="K22" s="487">
        <v>0</v>
      </c>
      <c r="L22" s="358">
        <v>0</v>
      </c>
      <c r="M22" s="231">
        <v>0</v>
      </c>
      <c r="N22" s="813">
        <f t="shared" si="6"/>
        <v>0</v>
      </c>
      <c r="O22" s="955" t="str">
        <f t="shared" si="1"/>
        <v/>
      </c>
      <c r="P22" s="956" t="str">
        <f t="shared" si="2"/>
        <v/>
      </c>
    </row>
    <row r="23" spans="1:16" ht="12.95" customHeight="1">
      <c r="B23" s="10"/>
      <c r="C23" s="11"/>
      <c r="D23" s="11"/>
      <c r="E23" s="163"/>
      <c r="F23" s="177">
        <v>613700</v>
      </c>
      <c r="G23" s="196"/>
      <c r="H23" s="24" t="s">
        <v>85</v>
      </c>
      <c r="I23" s="230">
        <v>500</v>
      </c>
      <c r="J23" s="230">
        <v>500</v>
      </c>
      <c r="K23" s="487">
        <v>0</v>
      </c>
      <c r="L23" s="358">
        <v>497</v>
      </c>
      <c r="M23" s="231">
        <v>0</v>
      </c>
      <c r="N23" s="813">
        <f t="shared" si="6"/>
        <v>497</v>
      </c>
      <c r="O23" s="955">
        <f t="shared" si="1"/>
        <v>99.4</v>
      </c>
      <c r="P23" s="956" t="str">
        <f t="shared" si="2"/>
        <v/>
      </c>
    </row>
    <row r="24" spans="1:16" ht="12.95" customHeight="1">
      <c r="B24" s="10"/>
      <c r="C24" s="11"/>
      <c r="D24" s="11"/>
      <c r="E24" s="163"/>
      <c r="F24" s="177">
        <v>613800</v>
      </c>
      <c r="G24" s="196"/>
      <c r="H24" s="24" t="s">
        <v>143</v>
      </c>
      <c r="I24" s="230"/>
      <c r="J24" s="230"/>
      <c r="K24" s="487">
        <v>0</v>
      </c>
      <c r="L24" s="358">
        <v>0</v>
      </c>
      <c r="M24" s="231">
        <v>0</v>
      </c>
      <c r="N24" s="813">
        <f t="shared" si="6"/>
        <v>0</v>
      </c>
      <c r="O24" s="955" t="str">
        <f t="shared" si="1"/>
        <v/>
      </c>
      <c r="P24" s="956" t="str">
        <f t="shared" si="2"/>
        <v/>
      </c>
    </row>
    <row r="25" spans="1:16" ht="12.95" customHeight="1">
      <c r="B25" s="10"/>
      <c r="C25" s="11"/>
      <c r="D25" s="11"/>
      <c r="E25" s="163"/>
      <c r="F25" s="177">
        <v>613900</v>
      </c>
      <c r="G25" s="196"/>
      <c r="H25" s="24" t="s">
        <v>144</v>
      </c>
      <c r="I25" s="230">
        <v>1500</v>
      </c>
      <c r="J25" s="230">
        <v>1500</v>
      </c>
      <c r="K25" s="487">
        <v>1558</v>
      </c>
      <c r="L25" s="357">
        <v>1129</v>
      </c>
      <c r="M25" s="235">
        <v>0</v>
      </c>
      <c r="N25" s="813">
        <f t="shared" si="6"/>
        <v>1129</v>
      </c>
      <c r="O25" s="955">
        <f t="shared" si="1"/>
        <v>75.266666666666666</v>
      </c>
      <c r="P25" s="956">
        <f t="shared" si="2"/>
        <v>72.46469833119383</v>
      </c>
    </row>
    <row r="26" spans="1:16" ht="12.95" customHeight="1">
      <c r="B26" s="10"/>
      <c r="C26" s="11"/>
      <c r="D26" s="11"/>
      <c r="E26" s="163"/>
      <c r="F26" s="177">
        <v>613900</v>
      </c>
      <c r="G26" s="196"/>
      <c r="H26" s="435" t="s">
        <v>435</v>
      </c>
      <c r="I26" s="230">
        <v>0</v>
      </c>
      <c r="J26" s="230">
        <v>0</v>
      </c>
      <c r="K26" s="487">
        <v>0</v>
      </c>
      <c r="L26" s="360">
        <v>0</v>
      </c>
      <c r="M26" s="237">
        <v>0</v>
      </c>
      <c r="N26" s="813">
        <f t="shared" si="6"/>
        <v>0</v>
      </c>
      <c r="O26" s="955" t="str">
        <f t="shared" si="1"/>
        <v/>
      </c>
      <c r="P26" s="956" t="str">
        <f t="shared" si="2"/>
        <v/>
      </c>
    </row>
    <row r="27" spans="1:16" s="1" customFormat="1" ht="8.1" customHeight="1">
      <c r="A27" s="158"/>
      <c r="B27" s="12"/>
      <c r="C27" s="8"/>
      <c r="D27" s="8"/>
      <c r="E27" s="414"/>
      <c r="F27" s="187"/>
      <c r="G27" s="207"/>
      <c r="H27" s="25"/>
      <c r="I27" s="230"/>
      <c r="J27" s="230"/>
      <c r="K27" s="487"/>
      <c r="L27" s="357"/>
      <c r="M27" s="235"/>
      <c r="N27" s="776"/>
      <c r="O27" s="955" t="str">
        <f t="shared" si="1"/>
        <v/>
      </c>
      <c r="P27" s="956" t="str">
        <f t="shared" si="2"/>
        <v/>
      </c>
    </row>
    <row r="28" spans="1:16" s="1" customFormat="1" ht="12.95" customHeight="1">
      <c r="A28" s="158"/>
      <c r="B28" s="12"/>
      <c r="C28" s="8"/>
      <c r="D28" s="8"/>
      <c r="E28" s="8"/>
      <c r="F28" s="176">
        <v>821000</v>
      </c>
      <c r="G28" s="195"/>
      <c r="H28" s="25" t="s">
        <v>88</v>
      </c>
      <c r="I28" s="227">
        <f t="shared" ref="I28:N28" si="7">SUM(I29:I30)</f>
        <v>3500</v>
      </c>
      <c r="J28" s="227">
        <f t="shared" si="7"/>
        <v>3500</v>
      </c>
      <c r="K28" s="723">
        <f t="shared" si="7"/>
        <v>1449</v>
      </c>
      <c r="L28" s="482">
        <f t="shared" si="7"/>
        <v>3280</v>
      </c>
      <c r="M28" s="236">
        <f t="shared" si="7"/>
        <v>0</v>
      </c>
      <c r="N28" s="774">
        <f t="shared" si="7"/>
        <v>3280</v>
      </c>
      <c r="O28" s="953">
        <f t="shared" si="1"/>
        <v>93.714285714285722</v>
      </c>
      <c r="P28" s="954">
        <f t="shared" si="2"/>
        <v>226.36300897170463</v>
      </c>
    </row>
    <row r="29" spans="1:16" ht="12.95" customHeight="1">
      <c r="B29" s="10"/>
      <c r="C29" s="11"/>
      <c r="D29" s="11"/>
      <c r="E29" s="163"/>
      <c r="F29" s="177">
        <v>821200</v>
      </c>
      <c r="G29" s="196"/>
      <c r="H29" s="24" t="s">
        <v>89</v>
      </c>
      <c r="I29" s="230">
        <v>0</v>
      </c>
      <c r="J29" s="230">
        <v>0</v>
      </c>
      <c r="K29" s="487">
        <v>0</v>
      </c>
      <c r="L29" s="357">
        <v>0</v>
      </c>
      <c r="M29" s="235">
        <v>0</v>
      </c>
      <c r="N29" s="813">
        <f t="shared" ref="N29:N30" si="8">SUM(L29:M29)</f>
        <v>0</v>
      </c>
      <c r="O29" s="955" t="str">
        <f t="shared" si="1"/>
        <v/>
      </c>
      <c r="P29" s="956" t="str">
        <f t="shared" si="2"/>
        <v/>
      </c>
    </row>
    <row r="30" spans="1:16" ht="12.95" customHeight="1">
      <c r="B30" s="10"/>
      <c r="C30" s="11"/>
      <c r="D30" s="11"/>
      <c r="E30" s="163"/>
      <c r="F30" s="177">
        <v>821300</v>
      </c>
      <c r="G30" s="196"/>
      <c r="H30" s="24" t="s">
        <v>90</v>
      </c>
      <c r="I30" s="230">
        <v>3500</v>
      </c>
      <c r="J30" s="230">
        <v>3500</v>
      </c>
      <c r="K30" s="487">
        <v>1449</v>
      </c>
      <c r="L30" s="357">
        <v>3280</v>
      </c>
      <c r="M30" s="235">
        <v>0</v>
      </c>
      <c r="N30" s="813">
        <f t="shared" si="8"/>
        <v>3280</v>
      </c>
      <c r="O30" s="955">
        <f t="shared" si="1"/>
        <v>93.714285714285722</v>
      </c>
      <c r="P30" s="956">
        <f t="shared" si="2"/>
        <v>226.36300897170463</v>
      </c>
    </row>
    <row r="31" spans="1:16" ht="8.1" customHeight="1">
      <c r="B31" s="10"/>
      <c r="C31" s="11"/>
      <c r="D31" s="11"/>
      <c r="E31" s="163"/>
      <c r="F31" s="177"/>
      <c r="G31" s="196"/>
      <c r="H31" s="24"/>
      <c r="I31" s="230"/>
      <c r="J31" s="230"/>
      <c r="K31" s="487"/>
      <c r="L31" s="358"/>
      <c r="M31" s="231"/>
      <c r="N31" s="776"/>
      <c r="O31" s="955" t="str">
        <f t="shared" si="1"/>
        <v/>
      </c>
      <c r="P31" s="956" t="str">
        <f t="shared" si="2"/>
        <v/>
      </c>
    </row>
    <row r="32" spans="1:16" s="1" customFormat="1" ht="12.95" customHeight="1">
      <c r="A32" s="158"/>
      <c r="B32" s="12"/>
      <c r="C32" s="8"/>
      <c r="D32" s="8"/>
      <c r="E32" s="8"/>
      <c r="F32" s="176"/>
      <c r="G32" s="195"/>
      <c r="H32" s="25" t="s">
        <v>91</v>
      </c>
      <c r="I32" s="349" t="s">
        <v>853</v>
      </c>
      <c r="J32" s="349" t="s">
        <v>853</v>
      </c>
      <c r="K32" s="723">
        <v>3</v>
      </c>
      <c r="L32" s="485" t="s">
        <v>853</v>
      </c>
      <c r="M32" s="236"/>
      <c r="N32" s="767" t="s">
        <v>853</v>
      </c>
      <c r="O32" s="955"/>
      <c r="P32" s="956"/>
    </row>
    <row r="33" spans="1:16" s="1" customFormat="1" ht="12.95" customHeight="1">
      <c r="A33" s="158"/>
      <c r="B33" s="12"/>
      <c r="C33" s="8"/>
      <c r="D33" s="8"/>
      <c r="E33" s="8"/>
      <c r="F33" s="176"/>
      <c r="G33" s="195"/>
      <c r="H33" s="8" t="s">
        <v>105</v>
      </c>
      <c r="I33" s="367">
        <f t="shared" ref="I33:K33" si="9">I8+I13+I16+I28</f>
        <v>114440</v>
      </c>
      <c r="J33" s="165">
        <f t="shared" si="9"/>
        <v>114440</v>
      </c>
      <c r="K33" s="153">
        <f t="shared" si="9"/>
        <v>95875</v>
      </c>
      <c r="L33" s="370">
        <f>L8+L13+L16+L28</f>
        <v>111375</v>
      </c>
      <c r="M33" s="165">
        <f>M8+M13+M16+M28</f>
        <v>0</v>
      </c>
      <c r="N33" s="774">
        <f>N8+N13+N16+N28</f>
        <v>111375</v>
      </c>
      <c r="O33" s="953">
        <f>IF(J33=0,"",N33/J33*100)</f>
        <v>97.321740650122337</v>
      </c>
      <c r="P33" s="954">
        <f t="shared" si="2"/>
        <v>116.16688396349413</v>
      </c>
    </row>
    <row r="34" spans="1:16" s="1" customFormat="1" ht="12.95" customHeight="1">
      <c r="A34" s="158"/>
      <c r="B34" s="12"/>
      <c r="C34" s="8"/>
      <c r="D34" s="8"/>
      <c r="E34" s="8"/>
      <c r="F34" s="176"/>
      <c r="G34" s="195"/>
      <c r="H34" s="8" t="s">
        <v>92</v>
      </c>
      <c r="I34" s="367"/>
      <c r="J34" s="165"/>
      <c r="K34" s="153"/>
      <c r="L34" s="370"/>
      <c r="M34" s="165"/>
      <c r="N34" s="774"/>
      <c r="O34" s="955" t="str">
        <f>IF(J34=0,"",N34/J34*100)</f>
        <v/>
      </c>
      <c r="P34" s="956" t="str">
        <f t="shared" si="2"/>
        <v/>
      </c>
    </row>
    <row r="35" spans="1:16" s="1" customFormat="1" ht="12.95" customHeight="1">
      <c r="A35" s="158"/>
      <c r="B35" s="12"/>
      <c r="C35" s="8"/>
      <c r="D35" s="8"/>
      <c r="E35" s="8"/>
      <c r="F35" s="176"/>
      <c r="G35" s="195"/>
      <c r="H35" s="8" t="s">
        <v>93</v>
      </c>
      <c r="I35" s="367"/>
      <c r="J35" s="165"/>
      <c r="K35" s="153"/>
      <c r="L35" s="370"/>
      <c r="M35" s="165"/>
      <c r="N35" s="774"/>
      <c r="O35" s="955" t="str">
        <f>IF(J35=0,"",N35/J35*100)</f>
        <v/>
      </c>
      <c r="P35" s="956" t="str">
        <f t="shared" si="2"/>
        <v/>
      </c>
    </row>
    <row r="36" spans="1:16" ht="8.1" customHeight="1" thickBot="1">
      <c r="B36" s="16"/>
      <c r="C36" s="17"/>
      <c r="D36" s="17"/>
      <c r="E36" s="17"/>
      <c r="F36" s="178"/>
      <c r="G36" s="197"/>
      <c r="H36" s="17"/>
      <c r="I36" s="17"/>
      <c r="J36" s="17"/>
      <c r="K36" s="355"/>
      <c r="L36" s="16"/>
      <c r="M36" s="17"/>
      <c r="N36" s="800"/>
      <c r="O36" s="957"/>
      <c r="P36" s="958" t="str">
        <f t="shared" si="2"/>
        <v/>
      </c>
    </row>
    <row r="37" spans="1:16" ht="12.95" customHeight="1">
      <c r="F37" s="179"/>
      <c r="G37" s="198"/>
      <c r="N37" s="253"/>
      <c r="P37" s="214" t="str">
        <f t="shared" si="2"/>
        <v/>
      </c>
    </row>
    <row r="38" spans="1:16" ht="12.95" customHeight="1">
      <c r="B38" s="45"/>
      <c r="F38" s="179"/>
      <c r="G38" s="198"/>
      <c r="N38" s="253"/>
      <c r="P38" s="214" t="str">
        <f t="shared" si="2"/>
        <v/>
      </c>
    </row>
    <row r="39" spans="1:16" ht="12.95" customHeight="1">
      <c r="B39" s="45"/>
      <c r="F39" s="179"/>
      <c r="G39" s="198"/>
      <c r="N39" s="253"/>
      <c r="P39" s="214" t="str">
        <f t="shared" si="2"/>
        <v/>
      </c>
    </row>
    <row r="40" spans="1:16" ht="12.95" customHeight="1">
      <c r="B40" s="45"/>
      <c r="F40" s="179"/>
      <c r="G40" s="198"/>
      <c r="N40" s="253"/>
      <c r="P40" s="214" t="str">
        <f t="shared" si="2"/>
        <v/>
      </c>
    </row>
    <row r="41" spans="1:16" ht="12.95" customHeight="1">
      <c r="B41" s="45"/>
      <c r="F41" s="179"/>
      <c r="G41" s="198"/>
      <c r="N41" s="253"/>
      <c r="P41" s="214" t="str">
        <f t="shared" si="2"/>
        <v/>
      </c>
    </row>
    <row r="42" spans="1:16" ht="12.95" customHeight="1">
      <c r="F42" s="179"/>
      <c r="G42" s="198"/>
      <c r="N42" s="253"/>
      <c r="P42" s="214" t="str">
        <f t="shared" si="2"/>
        <v/>
      </c>
    </row>
    <row r="43" spans="1:16" ht="12.95" customHeight="1">
      <c r="F43" s="179"/>
      <c r="G43" s="198"/>
      <c r="N43" s="253"/>
      <c r="P43" s="214" t="str">
        <f t="shared" si="2"/>
        <v/>
      </c>
    </row>
    <row r="44" spans="1:16" ht="12.95" customHeight="1">
      <c r="F44" s="179"/>
      <c r="G44" s="198"/>
      <c r="N44" s="253"/>
      <c r="P44" s="214" t="str">
        <f t="shared" si="2"/>
        <v/>
      </c>
    </row>
    <row r="45" spans="1:16" ht="12.95" customHeight="1">
      <c r="F45" s="179"/>
      <c r="G45" s="198"/>
      <c r="N45" s="253"/>
      <c r="P45" s="214" t="str">
        <f t="shared" si="2"/>
        <v/>
      </c>
    </row>
    <row r="46" spans="1:16" ht="12.95" customHeight="1">
      <c r="F46" s="179"/>
      <c r="G46" s="198"/>
      <c r="N46" s="253"/>
      <c r="P46" s="214" t="str">
        <f t="shared" si="2"/>
        <v/>
      </c>
    </row>
    <row r="47" spans="1:16" ht="12.95" customHeight="1">
      <c r="F47" s="179"/>
      <c r="G47" s="198"/>
      <c r="N47" s="253"/>
      <c r="P47" s="214" t="str">
        <f t="shared" si="2"/>
        <v/>
      </c>
    </row>
    <row r="48" spans="1:16" ht="12.95" customHeight="1">
      <c r="F48" s="179"/>
      <c r="G48" s="198"/>
      <c r="N48" s="253"/>
      <c r="P48" s="214" t="str">
        <f t="shared" si="2"/>
        <v/>
      </c>
    </row>
    <row r="49" spans="6:16" ht="12.95" customHeight="1">
      <c r="F49" s="179"/>
      <c r="G49" s="198"/>
      <c r="N49" s="253"/>
      <c r="P49" s="214" t="str">
        <f t="shared" si="2"/>
        <v/>
      </c>
    </row>
    <row r="50" spans="6:16" ht="12.95" customHeight="1">
      <c r="F50" s="179"/>
      <c r="G50" s="198"/>
      <c r="N50" s="253"/>
      <c r="P50" s="214" t="str">
        <f t="shared" si="2"/>
        <v/>
      </c>
    </row>
    <row r="51" spans="6:16" ht="12.95" customHeight="1">
      <c r="F51" s="179"/>
      <c r="G51" s="198"/>
      <c r="N51" s="253"/>
      <c r="P51" s="214" t="str">
        <f t="shared" si="2"/>
        <v/>
      </c>
    </row>
    <row r="52" spans="6:16" ht="12.95" customHeight="1">
      <c r="F52" s="179"/>
      <c r="G52" s="198"/>
      <c r="N52" s="253"/>
      <c r="P52" s="214" t="str">
        <f t="shared" si="2"/>
        <v/>
      </c>
    </row>
    <row r="53" spans="6:16" ht="12.95" customHeight="1">
      <c r="F53" s="179"/>
      <c r="G53" s="198"/>
      <c r="N53" s="253"/>
      <c r="P53" s="214" t="str">
        <f t="shared" si="2"/>
        <v/>
      </c>
    </row>
    <row r="54" spans="6:16" ht="12.95" customHeight="1">
      <c r="F54" s="179"/>
      <c r="G54" s="198"/>
      <c r="N54" s="253"/>
    </row>
    <row r="55" spans="6:16" ht="12.95" customHeight="1">
      <c r="F55" s="179"/>
      <c r="G55" s="198"/>
      <c r="N55" s="253"/>
    </row>
    <row r="56" spans="6:16" ht="12.95" customHeight="1">
      <c r="F56" s="179"/>
      <c r="G56" s="198"/>
      <c r="N56" s="253"/>
    </row>
    <row r="57" spans="6:16" ht="12.95" customHeight="1">
      <c r="F57" s="179"/>
      <c r="G57" s="198"/>
      <c r="N57" s="253"/>
    </row>
    <row r="58" spans="6:16" ht="12.95" customHeight="1">
      <c r="F58" s="179"/>
      <c r="G58" s="198"/>
      <c r="N58" s="253"/>
    </row>
    <row r="59" spans="6:16" ht="12.95" customHeight="1">
      <c r="F59" s="179"/>
      <c r="G59" s="198"/>
      <c r="N59" s="253"/>
    </row>
    <row r="60" spans="6:16" ht="17.100000000000001" customHeight="1">
      <c r="F60" s="179"/>
      <c r="G60" s="198"/>
      <c r="N60" s="253"/>
    </row>
    <row r="61" spans="6:16" ht="14.25">
      <c r="F61" s="179"/>
      <c r="G61" s="198"/>
      <c r="N61" s="253"/>
    </row>
    <row r="62" spans="6:16" ht="14.25">
      <c r="F62" s="179"/>
      <c r="G62" s="198"/>
      <c r="N62" s="253"/>
    </row>
    <row r="63" spans="6:16" ht="14.25">
      <c r="F63" s="179"/>
      <c r="G63" s="198"/>
      <c r="N63" s="253"/>
    </row>
    <row r="64" spans="6:16" ht="14.25">
      <c r="F64" s="179"/>
      <c r="G64" s="198"/>
      <c r="N64" s="253"/>
    </row>
    <row r="65" spans="6:14" ht="14.25">
      <c r="F65" s="179"/>
      <c r="G65" s="198"/>
      <c r="N65" s="253"/>
    </row>
    <row r="66" spans="6:14" ht="14.25">
      <c r="F66" s="179"/>
      <c r="G66" s="198"/>
      <c r="N66" s="253"/>
    </row>
    <row r="67" spans="6:14" ht="14.25">
      <c r="F67" s="179"/>
      <c r="G67" s="198"/>
      <c r="N67" s="253"/>
    </row>
    <row r="68" spans="6:14" ht="14.25">
      <c r="F68" s="179"/>
      <c r="G68" s="198"/>
      <c r="N68" s="253"/>
    </row>
    <row r="69" spans="6:14" ht="14.25">
      <c r="F69" s="179"/>
      <c r="G69" s="198"/>
      <c r="N69" s="253"/>
    </row>
    <row r="70" spans="6:14" ht="14.25">
      <c r="F70" s="179"/>
      <c r="G70" s="198"/>
      <c r="N70" s="253"/>
    </row>
    <row r="71" spans="6:14" ht="14.25">
      <c r="F71" s="179"/>
      <c r="G71" s="198"/>
      <c r="N71" s="253"/>
    </row>
    <row r="72" spans="6:14" ht="14.25">
      <c r="F72" s="179"/>
      <c r="G72" s="198"/>
      <c r="N72" s="253"/>
    </row>
    <row r="73" spans="6:14" ht="14.25">
      <c r="F73" s="179"/>
      <c r="G73" s="198"/>
      <c r="N73" s="253"/>
    </row>
    <row r="74" spans="6:14" ht="14.25">
      <c r="F74" s="179"/>
      <c r="G74" s="179"/>
      <c r="N74" s="253"/>
    </row>
    <row r="75" spans="6:14" ht="14.25">
      <c r="F75" s="179"/>
      <c r="G75" s="179"/>
      <c r="N75" s="253"/>
    </row>
    <row r="76" spans="6:14" ht="14.25">
      <c r="F76" s="179"/>
      <c r="G76" s="179"/>
      <c r="N76" s="253"/>
    </row>
    <row r="77" spans="6:14" ht="14.25">
      <c r="F77" s="179"/>
      <c r="G77" s="179"/>
      <c r="N77" s="253"/>
    </row>
    <row r="78" spans="6:14" ht="14.25">
      <c r="F78" s="179"/>
      <c r="G78" s="179"/>
      <c r="N78" s="253"/>
    </row>
    <row r="79" spans="6:14" ht="14.25">
      <c r="F79" s="179"/>
      <c r="G79" s="179"/>
      <c r="N79" s="253"/>
    </row>
    <row r="80" spans="6:14" ht="14.25">
      <c r="F80" s="179"/>
      <c r="G80" s="179"/>
      <c r="N80" s="253"/>
    </row>
    <row r="81" spans="6:14" ht="14.25">
      <c r="F81" s="179"/>
      <c r="G81" s="179"/>
      <c r="N81" s="253"/>
    </row>
    <row r="82" spans="6:14" ht="14.25">
      <c r="F82" s="179"/>
      <c r="G82" s="179"/>
      <c r="N82" s="253"/>
    </row>
    <row r="83" spans="6:14" ht="14.25">
      <c r="F83" s="179"/>
      <c r="G83" s="179"/>
      <c r="N83" s="253"/>
    </row>
    <row r="84" spans="6:14" ht="14.25">
      <c r="F84" s="179"/>
      <c r="G84" s="179"/>
      <c r="N84" s="253"/>
    </row>
    <row r="85" spans="6:14" ht="14.25">
      <c r="F85" s="179"/>
      <c r="G85" s="179"/>
      <c r="N85" s="253"/>
    </row>
    <row r="86" spans="6:14" ht="14.25">
      <c r="F86" s="179"/>
      <c r="G86" s="179"/>
      <c r="N86" s="253"/>
    </row>
    <row r="87" spans="6:14" ht="14.25">
      <c r="F87" s="179"/>
      <c r="G87" s="179"/>
      <c r="N87" s="253"/>
    </row>
    <row r="88" spans="6:14" ht="14.25">
      <c r="F88" s="179"/>
      <c r="G88" s="179"/>
      <c r="N88" s="253"/>
    </row>
    <row r="89" spans="6:14" ht="14.25">
      <c r="F89" s="179"/>
      <c r="G89" s="179"/>
      <c r="N89" s="253"/>
    </row>
    <row r="90" spans="6:14" ht="14.25">
      <c r="F90" s="179"/>
      <c r="G90" s="179"/>
      <c r="N90" s="253"/>
    </row>
    <row r="91" spans="6:14">
      <c r="G91" s="179"/>
    </row>
    <row r="92" spans="6:14">
      <c r="G92" s="179"/>
    </row>
    <row r="93" spans="6:14">
      <c r="G93" s="179"/>
    </row>
    <row r="94" spans="6:14">
      <c r="G94" s="179"/>
    </row>
    <row r="95" spans="6:14">
      <c r="G95" s="179"/>
    </row>
    <row r="96" spans="6:14">
      <c r="G96" s="179"/>
    </row>
  </sheetData>
  <mergeCells count="15">
    <mergeCell ref="P4:P5"/>
    <mergeCell ref="B2:P2"/>
    <mergeCell ref="K4:K5"/>
    <mergeCell ref="O4:O5"/>
    <mergeCell ref="H4:H5"/>
    <mergeCell ref="H3:I3"/>
    <mergeCell ref="L4:N4"/>
    <mergeCell ref="B4:B5"/>
    <mergeCell ref="C4:C5"/>
    <mergeCell ref="D4:D5"/>
    <mergeCell ref="G4:G5"/>
    <mergeCell ref="F4:F5"/>
    <mergeCell ref="I4:I5"/>
    <mergeCell ref="J4:J5"/>
    <mergeCell ref="E4:E5"/>
  </mergeCells>
  <phoneticPr fontId="2" type="noConversion"/>
  <pageMargins left="0.78740157480314965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46"/>
  <dimension ref="A1:R96"/>
  <sheetViews>
    <sheetView topLeftCell="H1" zoomScaleNormal="100" workbookViewId="0">
      <selection activeCell="N33" sqref="N33"/>
    </sheetView>
  </sheetViews>
  <sheetFormatPr defaultColWidth="9.140625" defaultRowHeight="12.75"/>
  <cols>
    <col min="1" max="1" width="4.42578125" style="161" customWidth="1"/>
    <col min="2" max="2" width="4.7109375" style="9" customWidth="1"/>
    <col min="3" max="3" width="5.140625" style="9" customWidth="1"/>
    <col min="4" max="4" width="5" style="9" customWidth="1"/>
    <col min="5" max="5" width="5" style="161" customWidth="1"/>
    <col min="6" max="6" width="8.7109375" style="18" customWidth="1"/>
    <col min="7" max="7" width="8.7109375" style="166" customWidth="1"/>
    <col min="8" max="8" width="50.7109375" style="9" customWidth="1"/>
    <col min="9" max="10" width="14.7109375" style="9" customWidth="1"/>
    <col min="11" max="11" width="12.5703125" style="161" customWidth="1"/>
    <col min="12" max="13" width="14.7109375" style="161" customWidth="1"/>
    <col min="14" max="14" width="15.7109375" style="9" customWidth="1"/>
    <col min="15" max="16" width="7.7109375" style="214" customWidth="1"/>
    <col min="17" max="16384" width="9.140625" style="9"/>
  </cols>
  <sheetData>
    <row r="1" spans="1:18" ht="13.5" thickBot="1"/>
    <row r="2" spans="1:18" s="79" customFormat="1" ht="20.100000000000001" customHeight="1" thickTop="1" thickBot="1">
      <c r="B2" s="1034" t="s">
        <v>869</v>
      </c>
      <c r="C2" s="1035"/>
      <c r="D2" s="1035"/>
      <c r="E2" s="1035"/>
      <c r="F2" s="1035"/>
      <c r="G2" s="1035"/>
      <c r="H2" s="1035"/>
      <c r="I2" s="1035"/>
      <c r="J2" s="1035"/>
      <c r="K2" s="1035"/>
      <c r="L2" s="1035"/>
      <c r="M2" s="1035"/>
      <c r="N2" s="1035"/>
      <c r="O2" s="1057"/>
      <c r="P2" s="1036"/>
      <c r="R2" s="244"/>
    </row>
    <row r="3" spans="1:18" s="1" customFormat="1" ht="8.1" customHeight="1" thickTop="1" thickBot="1">
      <c r="A3" s="158"/>
      <c r="E3" s="158"/>
      <c r="F3" s="2"/>
      <c r="G3" s="159"/>
      <c r="H3" s="1039"/>
      <c r="I3" s="1039"/>
      <c r="J3" s="139"/>
      <c r="K3" s="721"/>
      <c r="L3" s="74"/>
      <c r="M3" s="74"/>
      <c r="N3" s="74"/>
      <c r="O3" s="208"/>
      <c r="P3" s="208"/>
    </row>
    <row r="4" spans="1:18" s="1" customFormat="1" ht="39" customHeight="1">
      <c r="A4" s="158"/>
      <c r="B4" s="1043" t="s">
        <v>76</v>
      </c>
      <c r="C4" s="1045" t="s">
        <v>77</v>
      </c>
      <c r="D4" s="1047" t="s">
        <v>102</v>
      </c>
      <c r="E4" s="1062" t="s">
        <v>692</v>
      </c>
      <c r="F4" s="1058" t="s">
        <v>466</v>
      </c>
      <c r="G4" s="1048" t="s">
        <v>493</v>
      </c>
      <c r="H4" s="1050" t="s">
        <v>78</v>
      </c>
      <c r="I4" s="1059" t="s">
        <v>901</v>
      </c>
      <c r="J4" s="1068" t="s">
        <v>813</v>
      </c>
      <c r="K4" s="1037" t="s">
        <v>906</v>
      </c>
      <c r="L4" s="1040" t="s">
        <v>905</v>
      </c>
      <c r="M4" s="1041"/>
      <c r="N4" s="1042"/>
      <c r="O4" s="1054" t="s">
        <v>945</v>
      </c>
      <c r="P4" s="1032" t="s">
        <v>946</v>
      </c>
      <c r="R4" s="61"/>
    </row>
    <row r="5" spans="1:18" s="158" customFormat="1" ht="27" customHeight="1">
      <c r="B5" s="1044"/>
      <c r="C5" s="1046"/>
      <c r="D5" s="1046"/>
      <c r="E5" s="1049"/>
      <c r="F5" s="1051"/>
      <c r="G5" s="1049"/>
      <c r="H5" s="1051"/>
      <c r="I5" s="1051"/>
      <c r="J5" s="1051"/>
      <c r="K5" s="1038"/>
      <c r="L5" s="373" t="s">
        <v>526</v>
      </c>
      <c r="M5" s="242" t="s">
        <v>527</v>
      </c>
      <c r="N5" s="764" t="s">
        <v>319</v>
      </c>
      <c r="O5" s="1055"/>
      <c r="P5" s="1033"/>
    </row>
    <row r="6" spans="1:18" s="2" customFormat="1" ht="12.95" customHeight="1">
      <c r="A6" s="159"/>
      <c r="B6" s="328">
        <v>1</v>
      </c>
      <c r="C6" s="195">
        <v>2</v>
      </c>
      <c r="D6" s="195">
        <v>3</v>
      </c>
      <c r="E6" s="195">
        <v>4</v>
      </c>
      <c r="F6" s="195">
        <v>5</v>
      </c>
      <c r="G6" s="195">
        <v>6</v>
      </c>
      <c r="H6" s="195">
        <v>7</v>
      </c>
      <c r="I6" s="195">
        <v>8</v>
      </c>
      <c r="J6" s="195">
        <v>9</v>
      </c>
      <c r="K6" s="188">
        <v>10</v>
      </c>
      <c r="L6" s="328">
        <v>11</v>
      </c>
      <c r="M6" s="195">
        <v>12</v>
      </c>
      <c r="N6" s="810" t="s">
        <v>694</v>
      </c>
      <c r="O6" s="929" t="s">
        <v>814</v>
      </c>
      <c r="P6" s="930" t="s">
        <v>944</v>
      </c>
    </row>
    <row r="7" spans="1:18" s="2" customFormat="1" ht="12.95" customHeight="1">
      <c r="A7" s="159"/>
      <c r="B7" s="6" t="s">
        <v>110</v>
      </c>
      <c r="C7" s="7" t="s">
        <v>79</v>
      </c>
      <c r="D7" s="7" t="s">
        <v>128</v>
      </c>
      <c r="E7" s="415" t="s">
        <v>693</v>
      </c>
      <c r="F7" s="5"/>
      <c r="G7" s="160"/>
      <c r="H7" s="5"/>
      <c r="I7" s="366"/>
      <c r="J7" s="376"/>
      <c r="K7" s="741"/>
      <c r="L7" s="4"/>
      <c r="M7" s="160"/>
      <c r="N7" s="811"/>
      <c r="O7" s="951"/>
      <c r="P7" s="952"/>
    </row>
    <row r="8" spans="1:18" s="1" customFormat="1" ht="12.95" customHeight="1">
      <c r="A8" s="158"/>
      <c r="B8" s="12"/>
      <c r="C8" s="8"/>
      <c r="D8" s="8"/>
      <c r="E8" s="8"/>
      <c r="F8" s="176">
        <v>611000</v>
      </c>
      <c r="G8" s="195"/>
      <c r="H8" s="25" t="s">
        <v>140</v>
      </c>
      <c r="I8" s="227">
        <f t="shared" ref="I8:N8" si="0">SUM(I9:I12)</f>
        <v>170740</v>
      </c>
      <c r="J8" s="227">
        <f t="shared" si="0"/>
        <v>170740</v>
      </c>
      <c r="K8" s="723">
        <f t="shared" si="0"/>
        <v>198869</v>
      </c>
      <c r="L8" s="488">
        <f t="shared" si="0"/>
        <v>169453</v>
      </c>
      <c r="M8" s="374">
        <f t="shared" si="0"/>
        <v>0</v>
      </c>
      <c r="N8" s="812">
        <f t="shared" si="0"/>
        <v>169453</v>
      </c>
      <c r="O8" s="953">
        <f t="shared" ref="O8:O31" si="1">IF(J8=0,"",N8/J8*100)</f>
        <v>99.246222326344153</v>
      </c>
      <c r="P8" s="954">
        <f>IF(K8=0,"",N8/K8*100)</f>
        <v>85.208353237558384</v>
      </c>
    </row>
    <row r="9" spans="1:18" ht="12.95" customHeight="1">
      <c r="B9" s="10"/>
      <c r="C9" s="11"/>
      <c r="D9" s="11"/>
      <c r="E9" s="163"/>
      <c r="F9" s="177">
        <v>611100</v>
      </c>
      <c r="G9" s="196"/>
      <c r="H9" s="428" t="s">
        <v>161</v>
      </c>
      <c r="I9" s="375">
        <f>134670+300</f>
        <v>134970</v>
      </c>
      <c r="J9" s="375">
        <f>134670+300</f>
        <v>134970</v>
      </c>
      <c r="K9" s="732">
        <v>157293</v>
      </c>
      <c r="L9" s="489">
        <v>134682</v>
      </c>
      <c r="M9" s="375">
        <v>0</v>
      </c>
      <c r="N9" s="813">
        <f>SUM(L9:M9)</f>
        <v>134682</v>
      </c>
      <c r="O9" s="955">
        <f t="shared" si="1"/>
        <v>99.786619248721948</v>
      </c>
      <c r="P9" s="956">
        <f t="shared" ref="P9:P53" si="2">IF(K9=0,"",N9/K9*100)</f>
        <v>85.624916556998727</v>
      </c>
      <c r="Q9" s="51"/>
    </row>
    <row r="10" spans="1:18" ht="12.95" customHeight="1">
      <c r="B10" s="10"/>
      <c r="C10" s="11"/>
      <c r="D10" s="11"/>
      <c r="E10" s="163"/>
      <c r="F10" s="177">
        <v>611200</v>
      </c>
      <c r="G10" s="196"/>
      <c r="H10" s="24" t="s">
        <v>162</v>
      </c>
      <c r="I10" s="375">
        <f>30670+200+7*700</f>
        <v>35770</v>
      </c>
      <c r="J10" s="375">
        <f>30670+200+7*700</f>
        <v>35770</v>
      </c>
      <c r="K10" s="732">
        <v>41576</v>
      </c>
      <c r="L10" s="489">
        <v>34771</v>
      </c>
      <c r="M10" s="375">
        <v>0</v>
      </c>
      <c r="N10" s="813">
        <f t="shared" ref="N10:N11" si="3">SUM(L10:M10)</f>
        <v>34771</v>
      </c>
      <c r="O10" s="955">
        <f t="shared" si="1"/>
        <v>97.207156835336875</v>
      </c>
      <c r="P10" s="956">
        <f t="shared" si="2"/>
        <v>83.63238406773138</v>
      </c>
      <c r="Q10" s="53"/>
    </row>
    <row r="11" spans="1:18" ht="12.95" customHeight="1">
      <c r="B11" s="10"/>
      <c r="C11" s="11"/>
      <c r="D11" s="11"/>
      <c r="E11" s="163"/>
      <c r="F11" s="177">
        <v>611200</v>
      </c>
      <c r="G11" s="196"/>
      <c r="H11" s="435" t="s">
        <v>434</v>
      </c>
      <c r="I11" s="230">
        <v>0</v>
      </c>
      <c r="J11" s="230">
        <v>0</v>
      </c>
      <c r="K11" s="487">
        <v>0</v>
      </c>
      <c r="L11" s="489">
        <v>0</v>
      </c>
      <c r="M11" s="375">
        <v>0</v>
      </c>
      <c r="N11" s="813">
        <f t="shared" si="3"/>
        <v>0</v>
      </c>
      <c r="O11" s="955" t="str">
        <f t="shared" si="1"/>
        <v/>
      </c>
      <c r="P11" s="956" t="str">
        <f t="shared" si="2"/>
        <v/>
      </c>
      <c r="R11" s="50"/>
    </row>
    <row r="12" spans="1:18" ht="12.95" customHeight="1">
      <c r="B12" s="10"/>
      <c r="C12" s="11"/>
      <c r="D12" s="11"/>
      <c r="E12" s="163"/>
      <c r="F12" s="177"/>
      <c r="G12" s="196"/>
      <c r="H12" s="428"/>
      <c r="I12" s="230"/>
      <c r="J12" s="230"/>
      <c r="K12" s="487"/>
      <c r="L12" s="489"/>
      <c r="M12" s="375"/>
      <c r="N12" s="813"/>
      <c r="O12" s="955" t="str">
        <f t="shared" si="1"/>
        <v/>
      </c>
      <c r="P12" s="956" t="str">
        <f t="shared" si="2"/>
        <v/>
      </c>
    </row>
    <row r="13" spans="1:18" s="1" customFormat="1" ht="12.95" customHeight="1">
      <c r="A13" s="158"/>
      <c r="B13" s="12"/>
      <c r="C13" s="8"/>
      <c r="D13" s="8"/>
      <c r="E13" s="8"/>
      <c r="F13" s="176">
        <v>612000</v>
      </c>
      <c r="G13" s="195"/>
      <c r="H13" s="25" t="s">
        <v>139</v>
      </c>
      <c r="I13" s="227">
        <f t="shared" ref="I13:N13" si="4">I14</f>
        <v>14200</v>
      </c>
      <c r="J13" s="227">
        <f t="shared" si="4"/>
        <v>14200</v>
      </c>
      <c r="K13" s="723">
        <f t="shared" si="4"/>
        <v>16526</v>
      </c>
      <c r="L13" s="488">
        <f t="shared" si="4"/>
        <v>14142</v>
      </c>
      <c r="M13" s="374">
        <f t="shared" si="4"/>
        <v>0</v>
      </c>
      <c r="N13" s="812">
        <f t="shared" si="4"/>
        <v>14142</v>
      </c>
      <c r="O13" s="953">
        <f t="shared" si="1"/>
        <v>99.591549295774655</v>
      </c>
      <c r="P13" s="954">
        <f t="shared" si="2"/>
        <v>85.574246641655577</v>
      </c>
    </row>
    <row r="14" spans="1:18" ht="12.95" customHeight="1">
      <c r="B14" s="10"/>
      <c r="C14" s="11"/>
      <c r="D14" s="11"/>
      <c r="E14" s="163"/>
      <c r="F14" s="177">
        <v>612100</v>
      </c>
      <c r="G14" s="196"/>
      <c r="H14" s="430" t="s">
        <v>81</v>
      </c>
      <c r="I14" s="230">
        <f>14150+50</f>
        <v>14200</v>
      </c>
      <c r="J14" s="230">
        <f>14150+50</f>
        <v>14200</v>
      </c>
      <c r="K14" s="487">
        <v>16526</v>
      </c>
      <c r="L14" s="489">
        <v>14142</v>
      </c>
      <c r="M14" s="375">
        <v>0</v>
      </c>
      <c r="N14" s="813">
        <f>SUM(L14:M14)</f>
        <v>14142</v>
      </c>
      <c r="O14" s="955">
        <f t="shared" si="1"/>
        <v>99.591549295774655</v>
      </c>
      <c r="P14" s="956">
        <f t="shared" si="2"/>
        <v>85.574246641655577</v>
      </c>
    </row>
    <row r="15" spans="1:18" ht="12.95" customHeight="1">
      <c r="B15" s="10"/>
      <c r="C15" s="11"/>
      <c r="D15" s="11"/>
      <c r="E15" s="163"/>
      <c r="F15" s="177"/>
      <c r="G15" s="196"/>
      <c r="H15" s="24"/>
      <c r="I15" s="230"/>
      <c r="J15" s="230"/>
      <c r="K15" s="487"/>
      <c r="L15" s="358"/>
      <c r="M15" s="231"/>
      <c r="N15" s="776"/>
      <c r="O15" s="955" t="str">
        <f t="shared" si="1"/>
        <v/>
      </c>
      <c r="P15" s="956" t="str">
        <f t="shared" si="2"/>
        <v/>
      </c>
    </row>
    <row r="16" spans="1:18" s="1" customFormat="1" ht="12.95" customHeight="1">
      <c r="A16" s="158"/>
      <c r="B16" s="12"/>
      <c r="C16" s="8"/>
      <c r="D16" s="8"/>
      <c r="E16" s="8"/>
      <c r="F16" s="176">
        <v>613000</v>
      </c>
      <c r="G16" s="195"/>
      <c r="H16" s="25" t="s">
        <v>141</v>
      </c>
      <c r="I16" s="227">
        <f t="shared" ref="I16:N16" si="5">SUM(I17:I26)</f>
        <v>13600</v>
      </c>
      <c r="J16" s="227">
        <f t="shared" si="5"/>
        <v>13600</v>
      </c>
      <c r="K16" s="723">
        <f t="shared" si="5"/>
        <v>5398</v>
      </c>
      <c r="L16" s="483">
        <f t="shared" si="5"/>
        <v>11677</v>
      </c>
      <c r="M16" s="234">
        <f t="shared" si="5"/>
        <v>0</v>
      </c>
      <c r="N16" s="774">
        <f t="shared" si="5"/>
        <v>11677</v>
      </c>
      <c r="O16" s="953">
        <f t="shared" si="1"/>
        <v>85.860294117647058</v>
      </c>
      <c r="P16" s="954">
        <f t="shared" si="2"/>
        <v>216.32085957762132</v>
      </c>
    </row>
    <row r="17" spans="1:16" ht="12.95" customHeight="1">
      <c r="B17" s="10"/>
      <c r="C17" s="11"/>
      <c r="D17" s="11"/>
      <c r="E17" s="163"/>
      <c r="F17" s="177">
        <v>613100</v>
      </c>
      <c r="G17" s="196"/>
      <c r="H17" s="24" t="s">
        <v>82</v>
      </c>
      <c r="I17" s="230">
        <v>4000</v>
      </c>
      <c r="J17" s="230">
        <v>4000</v>
      </c>
      <c r="K17" s="487">
        <v>1004</v>
      </c>
      <c r="L17" s="357">
        <v>2293</v>
      </c>
      <c r="M17" s="235">
        <v>0</v>
      </c>
      <c r="N17" s="813">
        <f t="shared" ref="N17:N26" si="6">SUM(L17:M17)</f>
        <v>2293</v>
      </c>
      <c r="O17" s="955">
        <f t="shared" si="1"/>
        <v>57.325000000000003</v>
      </c>
      <c r="P17" s="956">
        <f t="shared" si="2"/>
        <v>228.38645418326692</v>
      </c>
    </row>
    <row r="18" spans="1:16" ht="12.95" customHeight="1">
      <c r="B18" s="10"/>
      <c r="C18" s="11"/>
      <c r="D18" s="11"/>
      <c r="E18" s="163"/>
      <c r="F18" s="177">
        <v>613200</v>
      </c>
      <c r="G18" s="196"/>
      <c r="H18" s="24" t="s">
        <v>83</v>
      </c>
      <c r="I18" s="230">
        <v>0</v>
      </c>
      <c r="J18" s="230">
        <v>0</v>
      </c>
      <c r="K18" s="487">
        <v>0</v>
      </c>
      <c r="L18" s="358">
        <v>0</v>
      </c>
      <c r="M18" s="231">
        <v>0</v>
      </c>
      <c r="N18" s="813">
        <f t="shared" si="6"/>
        <v>0</v>
      </c>
      <c r="O18" s="955" t="str">
        <f t="shared" si="1"/>
        <v/>
      </c>
      <c r="P18" s="956" t="str">
        <f t="shared" si="2"/>
        <v/>
      </c>
    </row>
    <row r="19" spans="1:16" ht="12.95" customHeight="1">
      <c r="B19" s="10"/>
      <c r="C19" s="11"/>
      <c r="D19" s="11"/>
      <c r="E19" s="163"/>
      <c r="F19" s="177">
        <v>613300</v>
      </c>
      <c r="G19" s="196"/>
      <c r="H19" s="428" t="s">
        <v>163</v>
      </c>
      <c r="I19" s="230">
        <v>100</v>
      </c>
      <c r="J19" s="230">
        <v>100</v>
      </c>
      <c r="K19" s="487">
        <v>709</v>
      </c>
      <c r="L19" s="358">
        <v>0</v>
      </c>
      <c r="M19" s="231">
        <v>0</v>
      </c>
      <c r="N19" s="813">
        <f t="shared" si="6"/>
        <v>0</v>
      </c>
      <c r="O19" s="955">
        <f t="shared" si="1"/>
        <v>0</v>
      </c>
      <c r="P19" s="956">
        <f t="shared" si="2"/>
        <v>0</v>
      </c>
    </row>
    <row r="20" spans="1:16" ht="12.95" customHeight="1">
      <c r="B20" s="10"/>
      <c r="C20" s="11"/>
      <c r="D20" s="11"/>
      <c r="E20" s="163"/>
      <c r="F20" s="177">
        <v>613400</v>
      </c>
      <c r="G20" s="196"/>
      <c r="H20" s="24" t="s">
        <v>142</v>
      </c>
      <c r="I20" s="230">
        <v>1000</v>
      </c>
      <c r="J20" s="230">
        <v>1000</v>
      </c>
      <c r="K20" s="487">
        <v>785</v>
      </c>
      <c r="L20" s="357">
        <v>984</v>
      </c>
      <c r="M20" s="235">
        <v>0</v>
      </c>
      <c r="N20" s="813">
        <f t="shared" si="6"/>
        <v>984</v>
      </c>
      <c r="O20" s="955">
        <f t="shared" si="1"/>
        <v>98.4</v>
      </c>
      <c r="P20" s="956">
        <f t="shared" si="2"/>
        <v>125.35031847133757</v>
      </c>
    </row>
    <row r="21" spans="1:16" ht="12.95" customHeight="1">
      <c r="B21" s="10"/>
      <c r="C21" s="11"/>
      <c r="D21" s="11"/>
      <c r="E21" s="163"/>
      <c r="F21" s="177">
        <v>613500</v>
      </c>
      <c r="G21" s="196"/>
      <c r="H21" s="24" t="s">
        <v>84</v>
      </c>
      <c r="I21" s="230">
        <v>0</v>
      </c>
      <c r="J21" s="230">
        <v>0</v>
      </c>
      <c r="K21" s="487">
        <v>0</v>
      </c>
      <c r="L21" s="358">
        <v>0</v>
      </c>
      <c r="M21" s="231">
        <v>0</v>
      </c>
      <c r="N21" s="813">
        <f t="shared" si="6"/>
        <v>0</v>
      </c>
      <c r="O21" s="955" t="str">
        <f t="shared" si="1"/>
        <v/>
      </c>
      <c r="P21" s="956" t="str">
        <f t="shared" si="2"/>
        <v/>
      </c>
    </row>
    <row r="22" spans="1:16" ht="12.95" customHeight="1">
      <c r="B22" s="10"/>
      <c r="C22" s="11"/>
      <c r="D22" s="11"/>
      <c r="E22" s="163"/>
      <c r="F22" s="177">
        <v>613600</v>
      </c>
      <c r="G22" s="196"/>
      <c r="H22" s="428" t="s">
        <v>164</v>
      </c>
      <c r="I22" s="230">
        <v>0</v>
      </c>
      <c r="J22" s="230">
        <v>0</v>
      </c>
      <c r="K22" s="487">
        <v>0</v>
      </c>
      <c r="L22" s="358">
        <v>0</v>
      </c>
      <c r="M22" s="231">
        <v>0</v>
      </c>
      <c r="N22" s="813">
        <f t="shared" si="6"/>
        <v>0</v>
      </c>
      <c r="O22" s="955" t="str">
        <f t="shared" si="1"/>
        <v/>
      </c>
      <c r="P22" s="956" t="str">
        <f t="shared" si="2"/>
        <v/>
      </c>
    </row>
    <row r="23" spans="1:16" ht="12.95" customHeight="1">
      <c r="B23" s="10"/>
      <c r="C23" s="11"/>
      <c r="D23" s="11"/>
      <c r="E23" s="163"/>
      <c r="F23" s="177">
        <v>613700</v>
      </c>
      <c r="G23" s="196"/>
      <c r="H23" s="24" t="s">
        <v>85</v>
      </c>
      <c r="I23" s="230">
        <v>500</v>
      </c>
      <c r="J23" s="230">
        <v>500</v>
      </c>
      <c r="K23" s="487">
        <v>2019</v>
      </c>
      <c r="L23" s="358">
        <v>477</v>
      </c>
      <c r="M23" s="231">
        <v>0</v>
      </c>
      <c r="N23" s="813">
        <f t="shared" si="6"/>
        <v>477</v>
      </c>
      <c r="O23" s="955">
        <f t="shared" si="1"/>
        <v>95.399999999999991</v>
      </c>
      <c r="P23" s="956">
        <f t="shared" si="2"/>
        <v>23.625557206537888</v>
      </c>
    </row>
    <row r="24" spans="1:16" ht="12.95" customHeight="1">
      <c r="B24" s="10"/>
      <c r="C24" s="11"/>
      <c r="D24" s="11"/>
      <c r="E24" s="163"/>
      <c r="F24" s="177">
        <v>613800</v>
      </c>
      <c r="G24" s="196"/>
      <c r="H24" s="24" t="s">
        <v>143</v>
      </c>
      <c r="I24" s="230"/>
      <c r="J24" s="230"/>
      <c r="K24" s="487">
        <v>0</v>
      </c>
      <c r="L24" s="358">
        <v>0</v>
      </c>
      <c r="M24" s="231">
        <v>0</v>
      </c>
      <c r="N24" s="813">
        <f t="shared" si="6"/>
        <v>0</v>
      </c>
      <c r="O24" s="955" t="str">
        <f t="shared" si="1"/>
        <v/>
      </c>
      <c r="P24" s="956" t="str">
        <f t="shared" si="2"/>
        <v/>
      </c>
    </row>
    <row r="25" spans="1:16" ht="12.95" customHeight="1">
      <c r="B25" s="10"/>
      <c r="C25" s="11"/>
      <c r="D25" s="11"/>
      <c r="E25" s="163"/>
      <c r="F25" s="177">
        <v>613900</v>
      </c>
      <c r="G25" s="196"/>
      <c r="H25" s="24" t="s">
        <v>144</v>
      </c>
      <c r="I25" s="230">
        <v>8000</v>
      </c>
      <c r="J25" s="230">
        <v>8000</v>
      </c>
      <c r="K25" s="487">
        <v>881</v>
      </c>
      <c r="L25" s="357">
        <v>7923</v>
      </c>
      <c r="M25" s="235">
        <v>0</v>
      </c>
      <c r="N25" s="813">
        <f t="shared" si="6"/>
        <v>7923</v>
      </c>
      <c r="O25" s="955">
        <f t="shared" si="1"/>
        <v>99.037499999999994</v>
      </c>
      <c r="P25" s="956">
        <f t="shared" si="2"/>
        <v>899.31895573212262</v>
      </c>
    </row>
    <row r="26" spans="1:16" ht="12.95" customHeight="1">
      <c r="B26" s="10"/>
      <c r="C26" s="11"/>
      <c r="D26" s="11"/>
      <c r="E26" s="163"/>
      <c r="F26" s="177">
        <v>613900</v>
      </c>
      <c r="G26" s="196"/>
      <c r="H26" s="435" t="s">
        <v>435</v>
      </c>
      <c r="I26" s="230">
        <v>0</v>
      </c>
      <c r="J26" s="230">
        <v>0</v>
      </c>
      <c r="K26" s="487">
        <v>0</v>
      </c>
      <c r="L26" s="360">
        <v>0</v>
      </c>
      <c r="M26" s="237">
        <v>0</v>
      </c>
      <c r="N26" s="813">
        <f t="shared" si="6"/>
        <v>0</v>
      </c>
      <c r="O26" s="955" t="str">
        <f t="shared" si="1"/>
        <v/>
      </c>
      <c r="P26" s="956" t="str">
        <f t="shared" si="2"/>
        <v/>
      </c>
    </row>
    <row r="27" spans="1:16" s="1" customFormat="1" ht="12.95" customHeight="1">
      <c r="A27" s="158"/>
      <c r="B27" s="12"/>
      <c r="C27" s="8"/>
      <c r="D27" s="8"/>
      <c r="E27" s="414"/>
      <c r="F27" s="187"/>
      <c r="G27" s="207"/>
      <c r="H27" s="25"/>
      <c r="I27" s="230"/>
      <c r="J27" s="230"/>
      <c r="K27" s="487"/>
      <c r="L27" s="357"/>
      <c r="M27" s="235"/>
      <c r="N27" s="776"/>
      <c r="O27" s="955" t="str">
        <f t="shared" si="1"/>
        <v/>
      </c>
      <c r="P27" s="956" t="str">
        <f t="shared" si="2"/>
        <v/>
      </c>
    </row>
    <row r="28" spans="1:16" s="1" customFormat="1" ht="12.95" customHeight="1">
      <c r="A28" s="158"/>
      <c r="B28" s="12"/>
      <c r="C28" s="8"/>
      <c r="D28" s="8"/>
      <c r="E28" s="8"/>
      <c r="F28" s="176">
        <v>821000</v>
      </c>
      <c r="G28" s="195"/>
      <c r="H28" s="25" t="s">
        <v>88</v>
      </c>
      <c r="I28" s="227">
        <f t="shared" ref="I28:N28" si="7">SUM(I29:I30)</f>
        <v>5000</v>
      </c>
      <c r="J28" s="227">
        <f t="shared" si="7"/>
        <v>5000</v>
      </c>
      <c r="K28" s="723">
        <f t="shared" si="7"/>
        <v>4988</v>
      </c>
      <c r="L28" s="482">
        <f t="shared" si="7"/>
        <v>5000</v>
      </c>
      <c r="M28" s="236">
        <f t="shared" si="7"/>
        <v>0</v>
      </c>
      <c r="N28" s="774">
        <f t="shared" si="7"/>
        <v>5000</v>
      </c>
      <c r="O28" s="953">
        <f t="shared" si="1"/>
        <v>100</v>
      </c>
      <c r="P28" s="954">
        <f t="shared" si="2"/>
        <v>100.24057738572574</v>
      </c>
    </row>
    <row r="29" spans="1:16" ht="12.95" customHeight="1">
      <c r="B29" s="10"/>
      <c r="C29" s="11"/>
      <c r="D29" s="11"/>
      <c r="E29" s="163"/>
      <c r="F29" s="177">
        <v>821200</v>
      </c>
      <c r="G29" s="196"/>
      <c r="H29" s="24" t="s">
        <v>89</v>
      </c>
      <c r="I29" s="230">
        <v>0</v>
      </c>
      <c r="J29" s="230">
        <v>0</v>
      </c>
      <c r="K29" s="487">
        <v>0</v>
      </c>
      <c r="L29" s="357">
        <v>0</v>
      </c>
      <c r="M29" s="235">
        <v>0</v>
      </c>
      <c r="N29" s="813">
        <f t="shared" ref="N29:N30" si="8">SUM(L29:M29)</f>
        <v>0</v>
      </c>
      <c r="O29" s="955" t="str">
        <f t="shared" si="1"/>
        <v/>
      </c>
      <c r="P29" s="956" t="str">
        <f t="shared" si="2"/>
        <v/>
      </c>
    </row>
    <row r="30" spans="1:16" ht="12.95" customHeight="1">
      <c r="B30" s="10"/>
      <c r="C30" s="11"/>
      <c r="D30" s="11"/>
      <c r="E30" s="163"/>
      <c r="F30" s="177">
        <v>821300</v>
      </c>
      <c r="G30" s="196"/>
      <c r="H30" s="24" t="s">
        <v>90</v>
      </c>
      <c r="I30" s="230">
        <v>5000</v>
      </c>
      <c r="J30" s="230">
        <v>5000</v>
      </c>
      <c r="K30" s="487">
        <v>4988</v>
      </c>
      <c r="L30" s="357">
        <v>5000</v>
      </c>
      <c r="M30" s="235">
        <v>0</v>
      </c>
      <c r="N30" s="813">
        <f t="shared" si="8"/>
        <v>5000</v>
      </c>
      <c r="O30" s="955">
        <f t="shared" si="1"/>
        <v>100</v>
      </c>
      <c r="P30" s="956">
        <f t="shared" si="2"/>
        <v>100.24057738572574</v>
      </c>
    </row>
    <row r="31" spans="1:16" ht="12.95" customHeight="1">
      <c r="B31" s="10"/>
      <c r="C31" s="11"/>
      <c r="D31" s="11"/>
      <c r="E31" s="163"/>
      <c r="F31" s="177"/>
      <c r="G31" s="196"/>
      <c r="H31" s="24"/>
      <c r="I31" s="230"/>
      <c r="J31" s="230"/>
      <c r="K31" s="487"/>
      <c r="L31" s="358"/>
      <c r="M31" s="231"/>
      <c r="N31" s="776"/>
      <c r="O31" s="955" t="str">
        <f t="shared" si="1"/>
        <v/>
      </c>
      <c r="P31" s="956" t="str">
        <f t="shared" si="2"/>
        <v/>
      </c>
    </row>
    <row r="32" spans="1:16" s="1" customFormat="1" ht="12.95" customHeight="1">
      <c r="A32" s="158"/>
      <c r="B32" s="12"/>
      <c r="C32" s="8"/>
      <c r="D32" s="8"/>
      <c r="E32" s="8"/>
      <c r="F32" s="176"/>
      <c r="G32" s="195"/>
      <c r="H32" s="25" t="s">
        <v>91</v>
      </c>
      <c r="I32" s="349" t="s">
        <v>887</v>
      </c>
      <c r="J32" s="349" t="s">
        <v>887</v>
      </c>
      <c r="K32" s="724">
        <v>7</v>
      </c>
      <c r="L32" s="485" t="s">
        <v>794</v>
      </c>
      <c r="M32" s="377"/>
      <c r="N32" s="767" t="s">
        <v>794</v>
      </c>
      <c r="O32" s="955"/>
      <c r="P32" s="956"/>
    </row>
    <row r="33" spans="1:16" s="1" customFormat="1" ht="12.95" customHeight="1">
      <c r="A33" s="158"/>
      <c r="B33" s="12"/>
      <c r="C33" s="8"/>
      <c r="D33" s="8"/>
      <c r="E33" s="8"/>
      <c r="F33" s="176"/>
      <c r="G33" s="195"/>
      <c r="H33" s="8" t="s">
        <v>105</v>
      </c>
      <c r="I33" s="367">
        <f t="shared" ref="I33:K33" si="9">I8+I13+I16+I28</f>
        <v>203540</v>
      </c>
      <c r="J33" s="165">
        <f t="shared" si="9"/>
        <v>203540</v>
      </c>
      <c r="K33" s="153">
        <f t="shared" si="9"/>
        <v>225781</v>
      </c>
      <c r="L33" s="370">
        <f>L8+L13+L16+L28</f>
        <v>200272</v>
      </c>
      <c r="M33" s="165">
        <f>M8+M13+M16+M28</f>
        <v>0</v>
      </c>
      <c r="N33" s="774">
        <f>N8+N13+N16+N28</f>
        <v>200272</v>
      </c>
      <c r="O33" s="953">
        <f>IF(J33=0,"",N33/J33*100)</f>
        <v>98.39441878746193</v>
      </c>
      <c r="P33" s="954">
        <f t="shared" si="2"/>
        <v>88.701883683746644</v>
      </c>
    </row>
    <row r="34" spans="1:16" s="1" customFormat="1" ht="12.95" customHeight="1">
      <c r="A34" s="158"/>
      <c r="B34" s="12"/>
      <c r="C34" s="8"/>
      <c r="D34" s="8"/>
      <c r="E34" s="8"/>
      <c r="F34" s="176"/>
      <c r="G34" s="195"/>
      <c r="H34" s="8" t="s">
        <v>92</v>
      </c>
      <c r="I34" s="15"/>
      <c r="J34" s="15"/>
      <c r="K34" s="153"/>
      <c r="L34" s="370"/>
      <c r="M34" s="165"/>
      <c r="N34" s="774"/>
      <c r="O34" s="953" t="str">
        <f>IF(J34=0,"",N34/J34*100)</f>
        <v/>
      </c>
      <c r="P34" s="954" t="str">
        <f t="shared" si="2"/>
        <v/>
      </c>
    </row>
    <row r="35" spans="1:16" s="1" customFormat="1" ht="12.95" customHeight="1">
      <c r="A35" s="158"/>
      <c r="B35" s="12"/>
      <c r="C35" s="8"/>
      <c r="D35" s="8"/>
      <c r="E35" s="8"/>
      <c r="F35" s="176"/>
      <c r="G35" s="195"/>
      <c r="H35" s="8" t="s">
        <v>93</v>
      </c>
      <c r="I35" s="15"/>
      <c r="J35" s="15"/>
      <c r="K35" s="153"/>
      <c r="L35" s="370"/>
      <c r="M35" s="165"/>
      <c r="N35" s="774"/>
      <c r="O35" s="953" t="str">
        <f>IF(J35=0,"",N35/J35*100)</f>
        <v/>
      </c>
      <c r="P35" s="954" t="str">
        <f t="shared" si="2"/>
        <v/>
      </c>
    </row>
    <row r="36" spans="1:16" ht="12.95" customHeight="1" thickBot="1">
      <c r="B36" s="16"/>
      <c r="C36" s="17"/>
      <c r="D36" s="17"/>
      <c r="E36" s="17"/>
      <c r="F36" s="178"/>
      <c r="G36" s="197"/>
      <c r="H36" s="17"/>
      <c r="I36" s="17"/>
      <c r="J36" s="17"/>
      <c r="K36" s="355"/>
      <c r="L36" s="16"/>
      <c r="M36" s="17"/>
      <c r="N36" s="800"/>
      <c r="O36" s="957"/>
      <c r="P36" s="958" t="str">
        <f t="shared" si="2"/>
        <v/>
      </c>
    </row>
    <row r="37" spans="1:16" ht="12.95" customHeight="1">
      <c r="F37" s="179"/>
      <c r="G37" s="198"/>
      <c r="L37" s="863"/>
      <c r="N37" s="253"/>
      <c r="P37" s="214" t="str">
        <f t="shared" si="2"/>
        <v/>
      </c>
    </row>
    <row r="38" spans="1:16" ht="12.95" customHeight="1">
      <c r="B38" s="45"/>
      <c r="F38" s="179"/>
      <c r="G38" s="198"/>
      <c r="N38" s="253"/>
      <c r="P38" s="214" t="str">
        <f t="shared" si="2"/>
        <v/>
      </c>
    </row>
    <row r="39" spans="1:16" ht="12.95" customHeight="1">
      <c r="B39" s="45"/>
      <c r="F39" s="179"/>
      <c r="G39" s="198"/>
      <c r="N39" s="253"/>
      <c r="P39" s="214" t="str">
        <f t="shared" si="2"/>
        <v/>
      </c>
    </row>
    <row r="40" spans="1:16" ht="12.95" customHeight="1">
      <c r="B40" s="45"/>
      <c r="F40" s="179"/>
      <c r="G40" s="198"/>
      <c r="N40" s="253"/>
      <c r="P40" s="214" t="str">
        <f t="shared" si="2"/>
        <v/>
      </c>
    </row>
    <row r="41" spans="1:16" ht="12.95" customHeight="1">
      <c r="B41" s="45"/>
      <c r="F41" s="179"/>
      <c r="G41" s="198"/>
      <c r="N41" s="253"/>
      <c r="P41" s="214" t="str">
        <f t="shared" si="2"/>
        <v/>
      </c>
    </row>
    <row r="42" spans="1:16" ht="12.95" customHeight="1">
      <c r="F42" s="179"/>
      <c r="G42" s="198"/>
      <c r="N42" s="253"/>
      <c r="P42" s="214" t="str">
        <f t="shared" si="2"/>
        <v/>
      </c>
    </row>
    <row r="43" spans="1:16" ht="12.95" customHeight="1">
      <c r="F43" s="179"/>
      <c r="G43" s="198"/>
      <c r="N43" s="253"/>
      <c r="P43" s="214" t="str">
        <f t="shared" si="2"/>
        <v/>
      </c>
    </row>
    <row r="44" spans="1:16" ht="12.95" customHeight="1">
      <c r="F44" s="179"/>
      <c r="G44" s="198"/>
      <c r="N44" s="253"/>
      <c r="P44" s="214" t="str">
        <f t="shared" si="2"/>
        <v/>
      </c>
    </row>
    <row r="45" spans="1:16" ht="12.95" customHeight="1">
      <c r="F45" s="179"/>
      <c r="G45" s="198"/>
      <c r="N45" s="253"/>
      <c r="P45" s="214" t="str">
        <f t="shared" si="2"/>
        <v/>
      </c>
    </row>
    <row r="46" spans="1:16" ht="12.95" customHeight="1">
      <c r="F46" s="179"/>
      <c r="G46" s="198"/>
      <c r="N46" s="253"/>
      <c r="P46" s="214" t="str">
        <f t="shared" si="2"/>
        <v/>
      </c>
    </row>
    <row r="47" spans="1:16" ht="12.95" customHeight="1">
      <c r="F47" s="179"/>
      <c r="G47" s="198"/>
      <c r="N47" s="253"/>
      <c r="P47" s="214" t="str">
        <f t="shared" si="2"/>
        <v/>
      </c>
    </row>
    <row r="48" spans="1:16" ht="12.95" customHeight="1">
      <c r="F48" s="179"/>
      <c r="G48" s="198"/>
      <c r="N48" s="253"/>
      <c r="P48" s="214" t="str">
        <f t="shared" si="2"/>
        <v/>
      </c>
    </row>
    <row r="49" spans="6:16" ht="12.95" customHeight="1">
      <c r="F49" s="179"/>
      <c r="G49" s="198"/>
      <c r="N49" s="253"/>
      <c r="P49" s="214" t="str">
        <f t="shared" si="2"/>
        <v/>
      </c>
    </row>
    <row r="50" spans="6:16" ht="12.95" customHeight="1">
      <c r="F50" s="179"/>
      <c r="G50" s="198"/>
      <c r="N50" s="253"/>
      <c r="P50" s="214" t="str">
        <f t="shared" si="2"/>
        <v/>
      </c>
    </row>
    <row r="51" spans="6:16" ht="12.95" customHeight="1">
      <c r="F51" s="179"/>
      <c r="G51" s="198"/>
      <c r="N51" s="253"/>
      <c r="P51" s="214" t="str">
        <f t="shared" si="2"/>
        <v/>
      </c>
    </row>
    <row r="52" spans="6:16" ht="12.95" customHeight="1">
      <c r="F52" s="179"/>
      <c r="G52" s="198"/>
      <c r="N52" s="253"/>
      <c r="P52" s="214" t="str">
        <f t="shared" si="2"/>
        <v/>
      </c>
    </row>
    <row r="53" spans="6:16" ht="12.95" customHeight="1">
      <c r="F53" s="179"/>
      <c r="G53" s="198"/>
      <c r="N53" s="253"/>
      <c r="P53" s="214" t="str">
        <f t="shared" si="2"/>
        <v/>
      </c>
    </row>
    <row r="54" spans="6:16" ht="12.95" customHeight="1">
      <c r="F54" s="179"/>
      <c r="G54" s="198"/>
      <c r="N54" s="253"/>
    </row>
    <row r="55" spans="6:16" ht="12.95" customHeight="1">
      <c r="F55" s="179"/>
      <c r="G55" s="198"/>
      <c r="N55" s="253"/>
    </row>
    <row r="56" spans="6:16" ht="12.95" customHeight="1">
      <c r="F56" s="179"/>
      <c r="G56" s="198"/>
      <c r="N56" s="253"/>
    </row>
    <row r="57" spans="6:16" ht="12.95" customHeight="1">
      <c r="F57" s="179"/>
      <c r="G57" s="198"/>
      <c r="N57" s="253"/>
    </row>
    <row r="58" spans="6:16" ht="12.95" customHeight="1">
      <c r="F58" s="179"/>
      <c r="G58" s="198"/>
      <c r="N58" s="253"/>
    </row>
    <row r="59" spans="6:16" ht="12.95" customHeight="1">
      <c r="F59" s="179"/>
      <c r="G59" s="198"/>
      <c r="N59" s="253"/>
    </row>
    <row r="60" spans="6:16" ht="17.100000000000001" customHeight="1">
      <c r="F60" s="179"/>
      <c r="G60" s="198"/>
      <c r="N60" s="253"/>
    </row>
    <row r="61" spans="6:16" ht="14.25">
      <c r="F61" s="179"/>
      <c r="G61" s="198"/>
      <c r="N61" s="253"/>
    </row>
    <row r="62" spans="6:16" ht="14.25">
      <c r="F62" s="179"/>
      <c r="G62" s="198"/>
      <c r="N62" s="253"/>
    </row>
    <row r="63" spans="6:16" ht="14.25">
      <c r="F63" s="179"/>
      <c r="G63" s="198"/>
      <c r="N63" s="253"/>
    </row>
    <row r="64" spans="6:16" ht="14.25">
      <c r="F64" s="179"/>
      <c r="G64" s="198"/>
      <c r="N64" s="253"/>
    </row>
    <row r="65" spans="6:14" ht="14.25">
      <c r="F65" s="179"/>
      <c r="G65" s="198"/>
      <c r="N65" s="253"/>
    </row>
    <row r="66" spans="6:14" ht="14.25">
      <c r="F66" s="179"/>
      <c r="G66" s="198"/>
      <c r="N66" s="253"/>
    </row>
    <row r="67" spans="6:14" ht="14.25">
      <c r="F67" s="179"/>
      <c r="G67" s="198"/>
      <c r="N67" s="253"/>
    </row>
    <row r="68" spans="6:14" ht="14.25">
      <c r="F68" s="179"/>
      <c r="G68" s="198"/>
      <c r="N68" s="253"/>
    </row>
    <row r="69" spans="6:14" ht="14.25">
      <c r="F69" s="179"/>
      <c r="G69" s="198"/>
      <c r="N69" s="253"/>
    </row>
    <row r="70" spans="6:14" ht="14.25">
      <c r="F70" s="179"/>
      <c r="G70" s="198"/>
      <c r="N70" s="253"/>
    </row>
    <row r="71" spans="6:14" ht="14.25">
      <c r="F71" s="179"/>
      <c r="G71" s="198"/>
      <c r="N71" s="253"/>
    </row>
    <row r="72" spans="6:14" ht="14.25">
      <c r="F72" s="179"/>
      <c r="G72" s="198"/>
      <c r="N72" s="253"/>
    </row>
    <row r="73" spans="6:14" ht="14.25">
      <c r="F73" s="179"/>
      <c r="G73" s="198"/>
      <c r="N73" s="253"/>
    </row>
    <row r="74" spans="6:14" ht="14.25">
      <c r="F74" s="179"/>
      <c r="G74" s="179"/>
      <c r="N74" s="253"/>
    </row>
    <row r="75" spans="6:14" ht="14.25">
      <c r="F75" s="179"/>
      <c r="G75" s="179"/>
      <c r="N75" s="253"/>
    </row>
    <row r="76" spans="6:14" ht="14.25">
      <c r="F76" s="179"/>
      <c r="G76" s="179"/>
      <c r="N76" s="253"/>
    </row>
    <row r="77" spans="6:14" ht="14.25">
      <c r="F77" s="179"/>
      <c r="G77" s="179"/>
      <c r="N77" s="253"/>
    </row>
    <row r="78" spans="6:14" ht="14.25">
      <c r="F78" s="179"/>
      <c r="G78" s="179"/>
      <c r="N78" s="253"/>
    </row>
    <row r="79" spans="6:14" ht="14.25">
      <c r="F79" s="179"/>
      <c r="G79" s="179"/>
      <c r="N79" s="253"/>
    </row>
    <row r="80" spans="6:14" ht="14.25">
      <c r="F80" s="179"/>
      <c r="G80" s="179"/>
      <c r="N80" s="253"/>
    </row>
    <row r="81" spans="6:14" ht="14.25">
      <c r="F81" s="179"/>
      <c r="G81" s="179"/>
      <c r="N81" s="253"/>
    </row>
    <row r="82" spans="6:14" ht="14.25">
      <c r="F82" s="179"/>
      <c r="G82" s="179"/>
      <c r="N82" s="253"/>
    </row>
    <row r="83" spans="6:14" ht="14.25">
      <c r="F83" s="179"/>
      <c r="G83" s="179"/>
      <c r="N83" s="253"/>
    </row>
    <row r="84" spans="6:14" ht="14.25">
      <c r="F84" s="179"/>
      <c r="G84" s="179"/>
      <c r="N84" s="253"/>
    </row>
    <row r="85" spans="6:14" ht="14.25">
      <c r="F85" s="179"/>
      <c r="G85" s="179"/>
      <c r="N85" s="253"/>
    </row>
    <row r="86" spans="6:14" ht="14.25">
      <c r="F86" s="179"/>
      <c r="G86" s="179"/>
      <c r="N86" s="253"/>
    </row>
    <row r="87" spans="6:14" ht="14.25">
      <c r="F87" s="179"/>
      <c r="G87" s="179"/>
      <c r="N87" s="253"/>
    </row>
    <row r="88" spans="6:14" ht="14.25">
      <c r="F88" s="179"/>
      <c r="G88" s="179"/>
      <c r="N88" s="253"/>
    </row>
    <row r="89" spans="6:14" ht="14.25">
      <c r="F89" s="179"/>
      <c r="G89" s="179"/>
      <c r="N89" s="253"/>
    </row>
    <row r="90" spans="6:14" ht="14.25">
      <c r="F90" s="179"/>
      <c r="G90" s="179"/>
      <c r="N90" s="253"/>
    </row>
    <row r="91" spans="6:14">
      <c r="G91" s="179"/>
    </row>
    <row r="92" spans="6:14">
      <c r="G92" s="179"/>
    </row>
    <row r="93" spans="6:14">
      <c r="G93" s="179"/>
    </row>
    <row r="94" spans="6:14">
      <c r="G94" s="179"/>
    </row>
    <row r="95" spans="6:14">
      <c r="G95" s="179"/>
    </row>
    <row r="96" spans="6:14">
      <c r="G96" s="179"/>
    </row>
  </sheetData>
  <mergeCells count="15">
    <mergeCell ref="P4:P5"/>
    <mergeCell ref="B2:P2"/>
    <mergeCell ref="K4:K5"/>
    <mergeCell ref="O4:O5"/>
    <mergeCell ref="H4:H5"/>
    <mergeCell ref="H3:I3"/>
    <mergeCell ref="L4:N4"/>
    <mergeCell ref="B4:B5"/>
    <mergeCell ref="C4:C5"/>
    <mergeCell ref="D4:D5"/>
    <mergeCell ref="G4:G5"/>
    <mergeCell ref="F4:F5"/>
    <mergeCell ref="I4:I5"/>
    <mergeCell ref="J4:J5"/>
    <mergeCell ref="E4:E5"/>
  </mergeCells>
  <phoneticPr fontId="2" type="noConversion"/>
  <pageMargins left="0.78740157480314965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S96"/>
  <sheetViews>
    <sheetView zoomScaleNormal="100" workbookViewId="0">
      <selection activeCell="R37" sqref="R37"/>
    </sheetView>
  </sheetViews>
  <sheetFormatPr defaultColWidth="9.140625" defaultRowHeight="12.75"/>
  <cols>
    <col min="1" max="1" width="4.42578125" style="161" customWidth="1"/>
    <col min="2" max="2" width="4.7109375" style="161" customWidth="1"/>
    <col min="3" max="3" width="5.140625" style="161" customWidth="1"/>
    <col min="4" max="5" width="5" style="161" customWidth="1"/>
    <col min="6" max="7" width="8.7109375" style="166" customWidth="1"/>
    <col min="8" max="8" width="50.7109375" style="161" customWidth="1"/>
    <col min="9" max="10" width="14.7109375" style="161" customWidth="1"/>
    <col min="11" max="11" width="12.5703125" style="161" customWidth="1"/>
    <col min="12" max="13" width="14.7109375" style="161" customWidth="1"/>
    <col min="14" max="14" width="15.7109375" style="161" customWidth="1"/>
    <col min="15" max="16" width="7.7109375" style="214" customWidth="1"/>
    <col min="17" max="16384" width="9.140625" style="161"/>
  </cols>
  <sheetData>
    <row r="1" spans="2:19" ht="13.5" thickBot="1"/>
    <row r="2" spans="2:19" s="244" customFormat="1" ht="20.100000000000001" customHeight="1" thickTop="1" thickBot="1">
      <c r="B2" s="1034" t="s">
        <v>870</v>
      </c>
      <c r="C2" s="1035"/>
      <c r="D2" s="1035"/>
      <c r="E2" s="1035"/>
      <c r="F2" s="1035"/>
      <c r="G2" s="1035"/>
      <c r="H2" s="1035"/>
      <c r="I2" s="1035"/>
      <c r="J2" s="1035"/>
      <c r="K2" s="1035"/>
      <c r="L2" s="1035"/>
      <c r="M2" s="1035"/>
      <c r="N2" s="1035"/>
      <c r="O2" s="1057"/>
      <c r="P2" s="1036"/>
    </row>
    <row r="3" spans="2:19" s="158" customFormat="1" ht="8.1" customHeight="1" thickTop="1" thickBot="1">
      <c r="F3" s="159"/>
      <c r="G3" s="159"/>
      <c r="H3" s="1039"/>
      <c r="I3" s="1039"/>
      <c r="J3" s="402"/>
      <c r="K3" s="721"/>
      <c r="L3" s="74"/>
      <c r="M3" s="74"/>
      <c r="N3" s="74"/>
      <c r="O3" s="208"/>
      <c r="P3" s="208"/>
    </row>
    <row r="4" spans="2:19" s="158" customFormat="1" ht="39" customHeight="1">
      <c r="B4" s="1043" t="s">
        <v>76</v>
      </c>
      <c r="C4" s="1045" t="s">
        <v>77</v>
      </c>
      <c r="D4" s="1047" t="s">
        <v>102</v>
      </c>
      <c r="E4" s="1062" t="s">
        <v>692</v>
      </c>
      <c r="F4" s="1058" t="s">
        <v>466</v>
      </c>
      <c r="G4" s="1048" t="s">
        <v>493</v>
      </c>
      <c r="H4" s="1050" t="s">
        <v>78</v>
      </c>
      <c r="I4" s="1059" t="s">
        <v>901</v>
      </c>
      <c r="J4" s="1060" t="s">
        <v>813</v>
      </c>
      <c r="K4" s="1037" t="s">
        <v>906</v>
      </c>
      <c r="L4" s="1040" t="s">
        <v>905</v>
      </c>
      <c r="M4" s="1041"/>
      <c r="N4" s="1042"/>
      <c r="O4" s="1054" t="s">
        <v>945</v>
      </c>
      <c r="P4" s="1032" t="s">
        <v>946</v>
      </c>
      <c r="R4" s="61"/>
    </row>
    <row r="5" spans="2:19" s="158" customFormat="1" ht="27" customHeight="1">
      <c r="B5" s="1044"/>
      <c r="C5" s="1046"/>
      <c r="D5" s="1046"/>
      <c r="E5" s="1049"/>
      <c r="F5" s="1051"/>
      <c r="G5" s="1049"/>
      <c r="H5" s="1051"/>
      <c r="I5" s="1051"/>
      <c r="J5" s="1061"/>
      <c r="K5" s="1038"/>
      <c r="L5" s="373" t="s">
        <v>526</v>
      </c>
      <c r="M5" s="242" t="s">
        <v>527</v>
      </c>
      <c r="N5" s="764" t="s">
        <v>319</v>
      </c>
      <c r="O5" s="1055"/>
      <c r="P5" s="1033"/>
    </row>
    <row r="6" spans="2:19" s="159" customFormat="1" ht="12.95" customHeight="1">
      <c r="B6" s="328">
        <v>1</v>
      </c>
      <c r="C6" s="195">
        <v>2</v>
      </c>
      <c r="D6" s="195">
        <v>3</v>
      </c>
      <c r="E6" s="195">
        <v>4</v>
      </c>
      <c r="F6" s="195">
        <v>5</v>
      </c>
      <c r="G6" s="195">
        <v>6</v>
      </c>
      <c r="H6" s="195">
        <v>7</v>
      </c>
      <c r="I6" s="195">
        <v>8</v>
      </c>
      <c r="J6" s="329">
        <v>9</v>
      </c>
      <c r="K6" s="502">
        <v>10</v>
      </c>
      <c r="L6" s="328">
        <v>11</v>
      </c>
      <c r="M6" s="195">
        <v>12</v>
      </c>
      <c r="N6" s="810" t="s">
        <v>694</v>
      </c>
      <c r="O6" s="929" t="s">
        <v>814</v>
      </c>
      <c r="P6" s="930" t="s">
        <v>944</v>
      </c>
    </row>
    <row r="7" spans="2:19" s="159" customFormat="1" ht="12.95" customHeight="1">
      <c r="B7" s="6" t="s">
        <v>110</v>
      </c>
      <c r="C7" s="7" t="s">
        <v>79</v>
      </c>
      <c r="D7" s="7" t="s">
        <v>129</v>
      </c>
      <c r="E7" s="415" t="s">
        <v>693</v>
      </c>
      <c r="F7" s="160"/>
      <c r="G7" s="160"/>
      <c r="H7" s="160"/>
      <c r="I7" s="160"/>
      <c r="J7" s="366"/>
      <c r="K7" s="503"/>
      <c r="L7" s="4"/>
      <c r="M7" s="160"/>
      <c r="N7" s="811"/>
      <c r="O7" s="951"/>
      <c r="P7" s="952"/>
    </row>
    <row r="8" spans="2:19" s="158" customFormat="1" ht="12.95" customHeight="1">
      <c r="B8" s="164"/>
      <c r="C8" s="8"/>
      <c r="D8" s="8"/>
      <c r="E8" s="8"/>
      <c r="F8" s="176">
        <v>611000</v>
      </c>
      <c r="G8" s="195"/>
      <c r="H8" s="25" t="s">
        <v>140</v>
      </c>
      <c r="I8" s="227">
        <f t="shared" ref="I8:J8" si="0">SUM(I9:I12)</f>
        <v>126980</v>
      </c>
      <c r="J8" s="227">
        <f t="shared" si="0"/>
        <v>126980</v>
      </c>
      <c r="K8" s="353">
        <f t="shared" ref="K8" si="1">SUM(K9:K12)</f>
        <v>107579</v>
      </c>
      <c r="L8" s="482">
        <f t="shared" ref="L8" si="2">SUM(L9:L12)</f>
        <v>126466</v>
      </c>
      <c r="M8" s="236">
        <f>SUM(M9:M12)</f>
        <v>0</v>
      </c>
      <c r="N8" s="812">
        <f>SUM(N9:N12)</f>
        <v>126466</v>
      </c>
      <c r="O8" s="953">
        <f t="shared" ref="O8:O34" si="3">IF(J8=0,"",N8/J8*100)</f>
        <v>99.595211844384949</v>
      </c>
      <c r="P8" s="954">
        <f>IF(K8=0,"",N8/K8*100)</f>
        <v>117.55640041271995</v>
      </c>
    </row>
    <row r="9" spans="2:19" ht="12.95" customHeight="1">
      <c r="B9" s="162"/>
      <c r="C9" s="163"/>
      <c r="D9" s="163"/>
      <c r="E9" s="163"/>
      <c r="F9" s="177">
        <v>611100</v>
      </c>
      <c r="G9" s="196"/>
      <c r="H9" s="428" t="s">
        <v>161</v>
      </c>
      <c r="I9" s="235">
        <v>100930</v>
      </c>
      <c r="J9" s="235">
        <v>100930</v>
      </c>
      <c r="K9" s="352">
        <v>86057</v>
      </c>
      <c r="L9" s="357">
        <v>100658</v>
      </c>
      <c r="M9" s="235">
        <v>0</v>
      </c>
      <c r="N9" s="813">
        <f>SUM(L9:M9)</f>
        <v>100658</v>
      </c>
      <c r="O9" s="955">
        <f t="shared" si="3"/>
        <v>99.730506291489149</v>
      </c>
      <c r="P9" s="956">
        <f t="shared" ref="P9:P53" si="4">IF(K9=0,"",N9/K9*100)</f>
        <v>116.96666163124441</v>
      </c>
    </row>
    <row r="10" spans="2:19" ht="12.95" customHeight="1">
      <c r="B10" s="162"/>
      <c r="C10" s="163"/>
      <c r="D10" s="163"/>
      <c r="E10" s="163"/>
      <c r="F10" s="177">
        <v>611200</v>
      </c>
      <c r="G10" s="196"/>
      <c r="H10" s="24" t="s">
        <v>162</v>
      </c>
      <c r="I10" s="235">
        <f>23050+200+4*700</f>
        <v>26050</v>
      </c>
      <c r="J10" s="235">
        <f>23050+200+4*700</f>
        <v>26050</v>
      </c>
      <c r="K10" s="352">
        <v>21522</v>
      </c>
      <c r="L10" s="357">
        <v>25808</v>
      </c>
      <c r="M10" s="235">
        <v>0</v>
      </c>
      <c r="N10" s="813">
        <f t="shared" ref="N10:N11" si="5">SUM(L10:M10)</f>
        <v>25808</v>
      </c>
      <c r="O10" s="955">
        <f t="shared" si="3"/>
        <v>99.071017274472169</v>
      </c>
      <c r="P10" s="956">
        <f t="shared" si="4"/>
        <v>119.9145060867949</v>
      </c>
    </row>
    <row r="11" spans="2:19" ht="12.95" customHeight="1">
      <c r="B11" s="162"/>
      <c r="C11" s="163"/>
      <c r="D11" s="163"/>
      <c r="E11" s="163"/>
      <c r="F11" s="177">
        <v>611200</v>
      </c>
      <c r="G11" s="196"/>
      <c r="H11" s="435" t="s">
        <v>434</v>
      </c>
      <c r="I11" s="230">
        <v>0</v>
      </c>
      <c r="J11" s="230">
        <v>0</v>
      </c>
      <c r="K11" s="352">
        <v>0</v>
      </c>
      <c r="L11" s="357">
        <v>0</v>
      </c>
      <c r="M11" s="235">
        <v>0</v>
      </c>
      <c r="N11" s="813">
        <f t="shared" si="5"/>
        <v>0</v>
      </c>
      <c r="O11" s="955" t="str">
        <f t="shared" si="3"/>
        <v/>
      </c>
      <c r="P11" s="956" t="str">
        <f t="shared" si="4"/>
        <v/>
      </c>
      <c r="R11" s="50"/>
    </row>
    <row r="12" spans="2:19" ht="8.1" customHeight="1">
      <c r="B12" s="162"/>
      <c r="C12" s="163"/>
      <c r="D12" s="163"/>
      <c r="E12" s="163"/>
      <c r="F12" s="177"/>
      <c r="G12" s="196"/>
      <c r="H12" s="428"/>
      <c r="I12" s="230"/>
      <c r="J12" s="230"/>
      <c r="K12" s="352"/>
      <c r="L12" s="357"/>
      <c r="M12" s="235"/>
      <c r="N12" s="813"/>
      <c r="O12" s="955" t="str">
        <f t="shared" si="3"/>
        <v/>
      </c>
      <c r="P12" s="956" t="str">
        <f t="shared" si="4"/>
        <v/>
      </c>
    </row>
    <row r="13" spans="2:19" s="158" customFormat="1" ht="12.95" customHeight="1">
      <c r="B13" s="164"/>
      <c r="C13" s="8"/>
      <c r="D13" s="8"/>
      <c r="E13" s="8"/>
      <c r="F13" s="176">
        <v>612000</v>
      </c>
      <c r="G13" s="195"/>
      <c r="H13" s="25" t="s">
        <v>139</v>
      </c>
      <c r="I13" s="227">
        <f t="shared" ref="I13:J13" si="6">I14</f>
        <v>10640</v>
      </c>
      <c r="J13" s="227">
        <f t="shared" si="6"/>
        <v>10640</v>
      </c>
      <c r="K13" s="353">
        <f t="shared" ref="K13:L13" si="7">K14</f>
        <v>9036</v>
      </c>
      <c r="L13" s="482">
        <f t="shared" si="7"/>
        <v>10569</v>
      </c>
      <c r="M13" s="236">
        <f>M14</f>
        <v>0</v>
      </c>
      <c r="N13" s="812">
        <f>N14</f>
        <v>10569</v>
      </c>
      <c r="O13" s="953">
        <f t="shared" si="3"/>
        <v>99.332706766917283</v>
      </c>
      <c r="P13" s="954">
        <f t="shared" si="4"/>
        <v>116.96547144754317</v>
      </c>
      <c r="S13" s="54"/>
    </row>
    <row r="14" spans="2:19" ht="12.95" customHeight="1">
      <c r="B14" s="162"/>
      <c r="C14" s="163"/>
      <c r="D14" s="163"/>
      <c r="E14" s="163"/>
      <c r="F14" s="177">
        <v>612100</v>
      </c>
      <c r="G14" s="196"/>
      <c r="H14" s="430" t="s">
        <v>81</v>
      </c>
      <c r="I14" s="230">
        <f>10570+70</f>
        <v>10640</v>
      </c>
      <c r="J14" s="230">
        <f>10570+70</f>
        <v>10640</v>
      </c>
      <c r="K14" s="352">
        <v>9036</v>
      </c>
      <c r="L14" s="357">
        <v>10569</v>
      </c>
      <c r="M14" s="235">
        <v>0</v>
      </c>
      <c r="N14" s="813">
        <f>SUM(L14:M14)</f>
        <v>10569</v>
      </c>
      <c r="O14" s="955">
        <f t="shared" si="3"/>
        <v>99.332706766917283</v>
      </c>
      <c r="P14" s="956">
        <f t="shared" si="4"/>
        <v>116.96547144754317</v>
      </c>
      <c r="S14" s="45"/>
    </row>
    <row r="15" spans="2:19" ht="8.1" customHeight="1">
      <c r="B15" s="162"/>
      <c r="C15" s="163"/>
      <c r="D15" s="163"/>
      <c r="E15" s="163"/>
      <c r="F15" s="177"/>
      <c r="G15" s="196"/>
      <c r="H15" s="24"/>
      <c r="I15" s="230"/>
      <c r="J15" s="230"/>
      <c r="K15" s="352"/>
      <c r="L15" s="358"/>
      <c r="M15" s="231"/>
      <c r="N15" s="776"/>
      <c r="O15" s="955" t="str">
        <f t="shared" si="3"/>
        <v/>
      </c>
      <c r="P15" s="956" t="str">
        <f t="shared" si="4"/>
        <v/>
      </c>
    </row>
    <row r="16" spans="2:19" s="158" customFormat="1" ht="12.95" customHeight="1">
      <c r="B16" s="164"/>
      <c r="C16" s="8"/>
      <c r="D16" s="8"/>
      <c r="E16" s="8"/>
      <c r="F16" s="176">
        <v>613000</v>
      </c>
      <c r="G16" s="195"/>
      <c r="H16" s="25" t="s">
        <v>141</v>
      </c>
      <c r="I16" s="227">
        <f t="shared" ref="I16:J16" si="8">SUM(I17:I26)</f>
        <v>5300</v>
      </c>
      <c r="J16" s="227">
        <f t="shared" si="8"/>
        <v>5300</v>
      </c>
      <c r="K16" s="353">
        <f t="shared" ref="K16" si="9">SUM(K17:K26)</f>
        <v>3828</v>
      </c>
      <c r="L16" s="483">
        <f t="shared" ref="L16" si="10">SUM(L17:L26)</f>
        <v>4417</v>
      </c>
      <c r="M16" s="234">
        <f>SUM(M17:M26)</f>
        <v>0</v>
      </c>
      <c r="N16" s="774">
        <f>SUM(N17:N26)</f>
        <v>4417</v>
      </c>
      <c r="O16" s="953">
        <f t="shared" si="3"/>
        <v>83.339622641509436</v>
      </c>
      <c r="P16" s="954">
        <f t="shared" si="4"/>
        <v>115.3866248693835</v>
      </c>
    </row>
    <row r="17" spans="2:17" ht="12.95" customHeight="1">
      <c r="B17" s="162"/>
      <c r="C17" s="163"/>
      <c r="D17" s="163"/>
      <c r="E17" s="163"/>
      <c r="F17" s="177">
        <v>613100</v>
      </c>
      <c r="G17" s="196"/>
      <c r="H17" s="24" t="s">
        <v>82</v>
      </c>
      <c r="I17" s="230">
        <v>500</v>
      </c>
      <c r="J17" s="230">
        <v>500</v>
      </c>
      <c r="K17" s="352">
        <v>244</v>
      </c>
      <c r="L17" s="358">
        <v>126</v>
      </c>
      <c r="M17" s="231">
        <v>0</v>
      </c>
      <c r="N17" s="813">
        <f t="shared" ref="N17:N26" si="11">SUM(L17:M17)</f>
        <v>126</v>
      </c>
      <c r="O17" s="955">
        <f t="shared" si="3"/>
        <v>25.2</v>
      </c>
      <c r="P17" s="956">
        <f t="shared" si="4"/>
        <v>51.639344262295083</v>
      </c>
    </row>
    <row r="18" spans="2:17" ht="12.95" customHeight="1">
      <c r="B18" s="162"/>
      <c r="C18" s="163"/>
      <c r="D18" s="163"/>
      <c r="E18" s="163"/>
      <c r="F18" s="177">
        <v>613200</v>
      </c>
      <c r="G18" s="196"/>
      <c r="H18" s="24" t="s">
        <v>83</v>
      </c>
      <c r="I18" s="230">
        <v>0</v>
      </c>
      <c r="J18" s="230">
        <v>0</v>
      </c>
      <c r="K18" s="352">
        <v>0</v>
      </c>
      <c r="L18" s="358">
        <v>0</v>
      </c>
      <c r="M18" s="231">
        <v>0</v>
      </c>
      <c r="N18" s="813">
        <f t="shared" si="11"/>
        <v>0</v>
      </c>
      <c r="O18" s="955" t="str">
        <f t="shared" si="3"/>
        <v/>
      </c>
      <c r="P18" s="956" t="str">
        <f t="shared" si="4"/>
        <v/>
      </c>
    </row>
    <row r="19" spans="2:17" ht="12.95" customHeight="1">
      <c r="B19" s="162"/>
      <c r="C19" s="163"/>
      <c r="D19" s="163"/>
      <c r="E19" s="163"/>
      <c r="F19" s="177">
        <v>613300</v>
      </c>
      <c r="G19" s="196"/>
      <c r="H19" s="428" t="s">
        <v>163</v>
      </c>
      <c r="I19" s="230">
        <v>2000</v>
      </c>
      <c r="J19" s="230">
        <v>2000</v>
      </c>
      <c r="K19" s="352">
        <v>1213</v>
      </c>
      <c r="L19" s="358">
        <v>1805</v>
      </c>
      <c r="M19" s="231">
        <v>0</v>
      </c>
      <c r="N19" s="813">
        <f t="shared" si="11"/>
        <v>1805</v>
      </c>
      <c r="O19" s="955">
        <f t="shared" si="3"/>
        <v>90.25</v>
      </c>
      <c r="P19" s="956">
        <f t="shared" si="4"/>
        <v>148.80461665292663</v>
      </c>
    </row>
    <row r="20" spans="2:17" ht="12.95" customHeight="1">
      <c r="B20" s="162"/>
      <c r="C20" s="163"/>
      <c r="D20" s="163"/>
      <c r="E20" s="163"/>
      <c r="F20" s="177">
        <v>613400</v>
      </c>
      <c r="G20" s="196"/>
      <c r="H20" s="24" t="s">
        <v>142</v>
      </c>
      <c r="I20" s="230">
        <v>1100</v>
      </c>
      <c r="J20" s="230">
        <v>1100</v>
      </c>
      <c r="K20" s="352">
        <v>995</v>
      </c>
      <c r="L20" s="358">
        <v>1095</v>
      </c>
      <c r="M20" s="231">
        <v>0</v>
      </c>
      <c r="N20" s="813">
        <f t="shared" si="11"/>
        <v>1095</v>
      </c>
      <c r="O20" s="955">
        <f t="shared" si="3"/>
        <v>99.545454545454547</v>
      </c>
      <c r="P20" s="956">
        <f t="shared" si="4"/>
        <v>110.0502512562814</v>
      </c>
    </row>
    <row r="21" spans="2:17" ht="12.95" customHeight="1">
      <c r="B21" s="162"/>
      <c r="C21" s="163"/>
      <c r="D21" s="163"/>
      <c r="E21" s="163"/>
      <c r="F21" s="177">
        <v>613500</v>
      </c>
      <c r="G21" s="196"/>
      <c r="H21" s="24" t="s">
        <v>84</v>
      </c>
      <c r="I21" s="230">
        <v>0</v>
      </c>
      <c r="J21" s="230">
        <v>0</v>
      </c>
      <c r="K21" s="352">
        <v>0</v>
      </c>
      <c r="L21" s="358">
        <v>0</v>
      </c>
      <c r="M21" s="231">
        <v>0</v>
      </c>
      <c r="N21" s="813">
        <f t="shared" si="11"/>
        <v>0</v>
      </c>
      <c r="O21" s="955" t="str">
        <f t="shared" si="3"/>
        <v/>
      </c>
      <c r="P21" s="956" t="str">
        <f t="shared" si="4"/>
        <v/>
      </c>
    </row>
    <row r="22" spans="2:17" ht="12.95" customHeight="1">
      <c r="B22" s="162"/>
      <c r="C22" s="163"/>
      <c r="D22" s="163"/>
      <c r="E22" s="163"/>
      <c r="F22" s="177">
        <v>613600</v>
      </c>
      <c r="G22" s="196"/>
      <c r="H22" s="428" t="s">
        <v>164</v>
      </c>
      <c r="I22" s="230">
        <v>0</v>
      </c>
      <c r="J22" s="230">
        <v>0</v>
      </c>
      <c r="K22" s="352">
        <v>0</v>
      </c>
      <c r="L22" s="358">
        <v>0</v>
      </c>
      <c r="M22" s="231">
        <v>0</v>
      </c>
      <c r="N22" s="813">
        <f t="shared" si="11"/>
        <v>0</v>
      </c>
      <c r="O22" s="955" t="str">
        <f t="shared" si="3"/>
        <v/>
      </c>
      <c r="P22" s="956" t="str">
        <f t="shared" si="4"/>
        <v/>
      </c>
    </row>
    <row r="23" spans="2:17" ht="12.95" customHeight="1">
      <c r="B23" s="162"/>
      <c r="C23" s="163"/>
      <c r="D23" s="163"/>
      <c r="E23" s="163"/>
      <c r="F23" s="177">
        <v>613700</v>
      </c>
      <c r="G23" s="196"/>
      <c r="H23" s="24" t="s">
        <v>85</v>
      </c>
      <c r="I23" s="230">
        <v>500</v>
      </c>
      <c r="J23" s="230">
        <v>500</v>
      </c>
      <c r="K23" s="352">
        <v>700</v>
      </c>
      <c r="L23" s="358">
        <v>500</v>
      </c>
      <c r="M23" s="231">
        <v>0</v>
      </c>
      <c r="N23" s="813">
        <f t="shared" si="11"/>
        <v>500</v>
      </c>
      <c r="O23" s="955">
        <f t="shared" si="3"/>
        <v>100</v>
      </c>
      <c r="P23" s="956">
        <f t="shared" si="4"/>
        <v>71.428571428571431</v>
      </c>
    </row>
    <row r="24" spans="2:17" ht="12.95" customHeight="1">
      <c r="B24" s="162"/>
      <c r="C24" s="163"/>
      <c r="D24" s="163"/>
      <c r="E24" s="163"/>
      <c r="F24" s="177">
        <v>613800</v>
      </c>
      <c r="G24" s="196"/>
      <c r="H24" s="24" t="s">
        <v>143</v>
      </c>
      <c r="I24" s="230">
        <v>0</v>
      </c>
      <c r="J24" s="230">
        <v>0</v>
      </c>
      <c r="K24" s="352">
        <v>0</v>
      </c>
      <c r="L24" s="358">
        <v>0</v>
      </c>
      <c r="M24" s="231">
        <v>0</v>
      </c>
      <c r="N24" s="813">
        <f t="shared" si="11"/>
        <v>0</v>
      </c>
      <c r="O24" s="955" t="str">
        <f t="shared" si="3"/>
        <v/>
      </c>
      <c r="P24" s="956" t="str">
        <f t="shared" si="4"/>
        <v/>
      </c>
      <c r="Q24" s="45"/>
    </row>
    <row r="25" spans="2:17" ht="12.95" customHeight="1">
      <c r="B25" s="162"/>
      <c r="C25" s="163"/>
      <c r="D25" s="163"/>
      <c r="E25" s="163"/>
      <c r="F25" s="177">
        <v>613900</v>
      </c>
      <c r="G25" s="196"/>
      <c r="H25" s="24" t="s">
        <v>144</v>
      </c>
      <c r="I25" s="230">
        <v>1200</v>
      </c>
      <c r="J25" s="230">
        <v>1200</v>
      </c>
      <c r="K25" s="352">
        <v>676</v>
      </c>
      <c r="L25" s="357">
        <v>891</v>
      </c>
      <c r="M25" s="235">
        <v>0</v>
      </c>
      <c r="N25" s="813">
        <f t="shared" si="11"/>
        <v>891</v>
      </c>
      <c r="O25" s="955">
        <f t="shared" si="3"/>
        <v>74.25</v>
      </c>
      <c r="P25" s="956">
        <f t="shared" si="4"/>
        <v>131.80473372781066</v>
      </c>
    </row>
    <row r="26" spans="2:17" ht="12.95" customHeight="1">
      <c r="B26" s="162"/>
      <c r="C26" s="163"/>
      <c r="D26" s="163"/>
      <c r="E26" s="163"/>
      <c r="F26" s="177">
        <v>613900</v>
      </c>
      <c r="G26" s="196"/>
      <c r="H26" s="435" t="s">
        <v>435</v>
      </c>
      <c r="I26" s="230">
        <v>0</v>
      </c>
      <c r="J26" s="230">
        <v>0</v>
      </c>
      <c r="K26" s="352">
        <v>0</v>
      </c>
      <c r="L26" s="358">
        <v>0</v>
      </c>
      <c r="M26" s="231">
        <v>0</v>
      </c>
      <c r="N26" s="813">
        <f t="shared" si="11"/>
        <v>0</v>
      </c>
      <c r="O26" s="955" t="str">
        <f t="shared" si="3"/>
        <v/>
      </c>
      <c r="P26" s="956" t="str">
        <f t="shared" si="4"/>
        <v/>
      </c>
    </row>
    <row r="27" spans="2:17" ht="8.1" customHeight="1">
      <c r="B27" s="162"/>
      <c r="C27" s="163"/>
      <c r="D27" s="163"/>
      <c r="E27" s="163"/>
      <c r="F27" s="177"/>
      <c r="G27" s="196"/>
      <c r="H27" s="24"/>
      <c r="I27" s="227"/>
      <c r="J27" s="227"/>
      <c r="K27" s="353"/>
      <c r="L27" s="484"/>
      <c r="M27" s="232"/>
      <c r="N27" s="774"/>
      <c r="O27" s="955" t="str">
        <f t="shared" si="3"/>
        <v/>
      </c>
      <c r="P27" s="956" t="str">
        <f t="shared" si="4"/>
        <v/>
      </c>
    </row>
    <row r="28" spans="2:17" s="158" customFormat="1" ht="12.95" customHeight="1">
      <c r="B28" s="164"/>
      <c r="C28" s="8"/>
      <c r="D28" s="8"/>
      <c r="E28" s="414"/>
      <c r="F28" s="187">
        <v>614000</v>
      </c>
      <c r="G28" s="207"/>
      <c r="H28" s="25" t="s">
        <v>165</v>
      </c>
      <c r="I28" s="227">
        <f t="shared" ref="I28:J28" si="12">SUM(I29:I29)</f>
        <v>132110</v>
      </c>
      <c r="J28" s="227">
        <f t="shared" si="12"/>
        <v>132110</v>
      </c>
      <c r="K28" s="353">
        <f t="shared" ref="K28:M28" si="13">SUM(K29:K29)</f>
        <v>80000</v>
      </c>
      <c r="L28" s="484">
        <f t="shared" si="13"/>
        <v>132102</v>
      </c>
      <c r="M28" s="232">
        <f t="shared" si="13"/>
        <v>0</v>
      </c>
      <c r="N28" s="774">
        <f t="shared" ref="N28" si="14">SUM(N29:N29)</f>
        <v>132102</v>
      </c>
      <c r="O28" s="953">
        <f t="shared" si="3"/>
        <v>99.99394444023919</v>
      </c>
      <c r="P28" s="954">
        <f t="shared" si="4"/>
        <v>165.1275</v>
      </c>
    </row>
    <row r="29" spans="2:17" ht="24" customHeight="1">
      <c r="B29" s="162"/>
      <c r="C29" s="163"/>
      <c r="D29" s="24"/>
      <c r="E29" s="24"/>
      <c r="F29" s="217">
        <v>614200</v>
      </c>
      <c r="G29" s="422" t="s">
        <v>617</v>
      </c>
      <c r="H29" s="436" t="s">
        <v>718</v>
      </c>
      <c r="I29" s="230">
        <v>132110</v>
      </c>
      <c r="J29" s="230">
        <v>132110</v>
      </c>
      <c r="K29" s="352">
        <v>80000</v>
      </c>
      <c r="L29" s="357">
        <v>132102</v>
      </c>
      <c r="M29" s="235">
        <v>0</v>
      </c>
      <c r="N29" s="813">
        <f>SUM(L29:M29)</f>
        <v>132102</v>
      </c>
      <c r="O29" s="955">
        <f t="shared" si="3"/>
        <v>99.99394444023919</v>
      </c>
      <c r="P29" s="956">
        <f t="shared" si="4"/>
        <v>165.1275</v>
      </c>
    </row>
    <row r="30" spans="2:17" ht="8.1" customHeight="1">
      <c r="B30" s="162"/>
      <c r="C30" s="163"/>
      <c r="D30" s="163"/>
      <c r="E30" s="410"/>
      <c r="F30" s="185"/>
      <c r="G30" s="203"/>
      <c r="H30" s="24"/>
      <c r="I30" s="230"/>
      <c r="J30" s="230"/>
      <c r="K30" s="352"/>
      <c r="L30" s="358"/>
      <c r="M30" s="231"/>
      <c r="N30" s="776"/>
      <c r="O30" s="955" t="str">
        <f t="shared" si="3"/>
        <v/>
      </c>
      <c r="P30" s="956" t="str">
        <f t="shared" si="4"/>
        <v/>
      </c>
    </row>
    <row r="31" spans="2:17" s="158" customFormat="1" ht="12.95" customHeight="1">
      <c r="B31" s="164"/>
      <c r="C31" s="8"/>
      <c r="D31" s="8"/>
      <c r="E31" s="8"/>
      <c r="F31" s="176">
        <v>821000</v>
      </c>
      <c r="G31" s="195"/>
      <c r="H31" s="25" t="s">
        <v>88</v>
      </c>
      <c r="I31" s="227">
        <f t="shared" ref="I31:J31" si="15">SUM(I32:I33)</f>
        <v>2500</v>
      </c>
      <c r="J31" s="227">
        <f t="shared" si="15"/>
        <v>2500</v>
      </c>
      <c r="K31" s="353">
        <f t="shared" ref="K31" si="16">SUM(K32:K33)</f>
        <v>990</v>
      </c>
      <c r="L31" s="484">
        <f t="shared" ref="L31" si="17">SUM(L32:L33)</f>
        <v>2494</v>
      </c>
      <c r="M31" s="232">
        <f>SUM(M32:M33)</f>
        <v>0</v>
      </c>
      <c r="N31" s="774">
        <f>SUM(N32:N33)</f>
        <v>2494</v>
      </c>
      <c r="O31" s="953">
        <f t="shared" si="3"/>
        <v>99.76</v>
      </c>
      <c r="P31" s="954">
        <f t="shared" si="4"/>
        <v>251.91919191919192</v>
      </c>
    </row>
    <row r="32" spans="2:17" ht="12.95" customHeight="1">
      <c r="B32" s="162"/>
      <c r="C32" s="163"/>
      <c r="D32" s="163"/>
      <c r="E32" s="163"/>
      <c r="F32" s="177">
        <v>821200</v>
      </c>
      <c r="G32" s="196"/>
      <c r="H32" s="24" t="s">
        <v>89</v>
      </c>
      <c r="I32" s="230">
        <v>0</v>
      </c>
      <c r="J32" s="230">
        <v>0</v>
      </c>
      <c r="K32" s="352">
        <v>0</v>
      </c>
      <c r="L32" s="357">
        <v>0</v>
      </c>
      <c r="M32" s="235">
        <v>0</v>
      </c>
      <c r="N32" s="813">
        <f t="shared" ref="N32:N33" si="18">SUM(L32:M32)</f>
        <v>0</v>
      </c>
      <c r="O32" s="955" t="str">
        <f t="shared" si="3"/>
        <v/>
      </c>
      <c r="P32" s="956" t="str">
        <f t="shared" si="4"/>
        <v/>
      </c>
    </row>
    <row r="33" spans="1:19" ht="12.95" customHeight="1">
      <c r="B33" s="162"/>
      <c r="C33" s="163"/>
      <c r="D33" s="163"/>
      <c r="E33" s="163"/>
      <c r="F33" s="177">
        <v>821300</v>
      </c>
      <c r="G33" s="196"/>
      <c r="H33" s="24" t="s">
        <v>90</v>
      </c>
      <c r="I33" s="230">
        <v>2500</v>
      </c>
      <c r="J33" s="230">
        <v>2500</v>
      </c>
      <c r="K33" s="352">
        <v>990</v>
      </c>
      <c r="L33" s="358">
        <v>2494</v>
      </c>
      <c r="M33" s="231">
        <v>0</v>
      </c>
      <c r="N33" s="813">
        <f t="shared" si="18"/>
        <v>2494</v>
      </c>
      <c r="O33" s="955">
        <f t="shared" si="3"/>
        <v>99.76</v>
      </c>
      <c r="P33" s="956">
        <f t="shared" si="4"/>
        <v>251.91919191919192</v>
      </c>
    </row>
    <row r="34" spans="1:19" ht="8.1" customHeight="1">
      <c r="B34" s="162"/>
      <c r="C34" s="163"/>
      <c r="D34" s="163"/>
      <c r="E34" s="163"/>
      <c r="F34" s="177"/>
      <c r="G34" s="196"/>
      <c r="H34" s="24"/>
      <c r="I34" s="231"/>
      <c r="J34" s="231"/>
      <c r="K34" s="520"/>
      <c r="L34" s="358"/>
      <c r="M34" s="231"/>
      <c r="N34" s="776"/>
      <c r="O34" s="955" t="str">
        <f t="shared" si="3"/>
        <v/>
      </c>
      <c r="P34" s="956" t="str">
        <f t="shared" si="4"/>
        <v/>
      </c>
    </row>
    <row r="35" spans="1:19" s="158" customFormat="1" ht="12.95" customHeight="1">
      <c r="B35" s="164"/>
      <c r="C35" s="8"/>
      <c r="D35" s="8"/>
      <c r="E35" s="8"/>
      <c r="F35" s="176"/>
      <c r="G35" s="195"/>
      <c r="H35" s="25" t="s">
        <v>91</v>
      </c>
      <c r="I35" s="236">
        <v>4</v>
      </c>
      <c r="J35" s="236">
        <v>4</v>
      </c>
      <c r="K35" s="506">
        <v>4</v>
      </c>
      <c r="L35" s="482">
        <v>4</v>
      </c>
      <c r="M35" s="236"/>
      <c r="N35" s="774">
        <v>4</v>
      </c>
      <c r="O35" s="955"/>
      <c r="P35" s="956"/>
    </row>
    <row r="36" spans="1:19" s="158" customFormat="1" ht="12.95" customHeight="1">
      <c r="B36" s="164"/>
      <c r="C36" s="8"/>
      <c r="D36" s="8"/>
      <c r="E36" s="8"/>
      <c r="F36" s="176"/>
      <c r="G36" s="195"/>
      <c r="H36" s="8" t="s">
        <v>105</v>
      </c>
      <c r="I36" s="165">
        <f t="shared" ref="I36:N36" si="19">I31+I28+I16+I13+I8</f>
        <v>277530</v>
      </c>
      <c r="J36" s="367">
        <f t="shared" si="19"/>
        <v>277530</v>
      </c>
      <c r="K36" s="356">
        <f t="shared" ref="K36" si="20">K31+K28+K16+K13+K8</f>
        <v>201433</v>
      </c>
      <c r="L36" s="370">
        <f t="shared" si="19"/>
        <v>276048</v>
      </c>
      <c r="M36" s="165">
        <f t="shared" si="19"/>
        <v>0</v>
      </c>
      <c r="N36" s="774">
        <f t="shared" si="19"/>
        <v>276048</v>
      </c>
      <c r="O36" s="953">
        <f>IF(J36=0,"",N36/J36*100)</f>
        <v>99.466003675278344</v>
      </c>
      <c r="P36" s="954">
        <f t="shared" si="4"/>
        <v>137.04209340078339</v>
      </c>
    </row>
    <row r="37" spans="1:19" s="158" customFormat="1" ht="12.95" customHeight="1">
      <c r="B37" s="164"/>
      <c r="C37" s="8"/>
      <c r="D37" s="8"/>
      <c r="E37" s="8"/>
      <c r="F37" s="176"/>
      <c r="G37" s="195"/>
      <c r="H37" s="8" t="s">
        <v>92</v>
      </c>
      <c r="I37" s="165">
        <f>I36+'5'!I33+'4'!I33+'3'!I33+'4 (S)'!I36+'2'!I52</f>
        <v>3682560</v>
      </c>
      <c r="J37" s="367">
        <f>J36+'5'!J33+'4'!J33+'3'!J33+'4 (S)'!J36+'2'!J52</f>
        <v>3772560</v>
      </c>
      <c r="K37" s="356">
        <f>K36+'5'!K33+'4'!K33+'3'!K33+'4 (S)'!K36+'2'!K52</f>
        <v>3052352</v>
      </c>
      <c r="L37" s="370">
        <f>L36+'5'!L33+'4'!L33+'3'!L33+'4 (S)'!L36+'2'!L52</f>
        <v>3394079</v>
      </c>
      <c r="M37" s="165">
        <f>M36+'5'!M33+'4'!M33+'3'!M33+'4 (S)'!M36+'2'!M52</f>
        <v>210000</v>
      </c>
      <c r="N37" s="774">
        <f>N36+'5'!N33+'4'!N33+'3'!N33+'4 (S)'!N36+'2'!N52</f>
        <v>3604079</v>
      </c>
      <c r="O37" s="953">
        <f t="shared" ref="O37:O38" si="21">IF(J37=0,"",N37/J37*100)</f>
        <v>95.53404054541214</v>
      </c>
      <c r="P37" s="954">
        <f t="shared" si="4"/>
        <v>118.07547098106642</v>
      </c>
    </row>
    <row r="38" spans="1:19" s="158" customFormat="1" ht="12.95" customHeight="1">
      <c r="B38" s="164"/>
      <c r="C38" s="8"/>
      <c r="D38" s="8"/>
      <c r="E38" s="8"/>
      <c r="F38" s="176"/>
      <c r="G38" s="195"/>
      <c r="H38" s="8" t="s">
        <v>93</v>
      </c>
      <c r="I38" s="409">
        <f>I37</f>
        <v>3682560</v>
      </c>
      <c r="J38" s="806">
        <f t="shared" ref="J38:N38" si="22">J37</f>
        <v>3772560</v>
      </c>
      <c r="K38" s="521">
        <f t="shared" ref="K38" si="23">K37</f>
        <v>3052352</v>
      </c>
      <c r="L38" s="821">
        <f t="shared" si="22"/>
        <v>3394079</v>
      </c>
      <c r="M38" s="409">
        <f t="shared" si="22"/>
        <v>210000</v>
      </c>
      <c r="N38" s="822">
        <f t="shared" si="22"/>
        <v>3604079</v>
      </c>
      <c r="O38" s="953">
        <f t="shared" si="21"/>
        <v>95.53404054541214</v>
      </c>
      <c r="P38" s="954">
        <f t="shared" si="4"/>
        <v>118.07547098106642</v>
      </c>
    </row>
    <row r="39" spans="1:19" ht="8.1" customHeight="1" thickBot="1">
      <c r="B39" s="16"/>
      <c r="C39" s="17"/>
      <c r="D39" s="17"/>
      <c r="E39" s="17"/>
      <c r="F39" s="178"/>
      <c r="G39" s="197"/>
      <c r="H39" s="17"/>
      <c r="I39" s="17"/>
      <c r="J39" s="27"/>
      <c r="K39" s="511"/>
      <c r="L39" s="16"/>
      <c r="M39" s="17"/>
      <c r="N39" s="800"/>
      <c r="O39" s="957"/>
      <c r="P39" s="958" t="str">
        <f t="shared" si="4"/>
        <v/>
      </c>
    </row>
    <row r="40" spans="1:19" ht="12.95" customHeight="1">
      <c r="F40" s="179"/>
      <c r="G40" s="198"/>
      <c r="N40" s="253"/>
      <c r="P40" s="214" t="str">
        <f t="shared" si="4"/>
        <v/>
      </c>
    </row>
    <row r="41" spans="1:19" ht="12.95" customHeight="1">
      <c r="B41" s="45"/>
      <c r="F41" s="179"/>
      <c r="G41" s="198"/>
      <c r="N41" s="253"/>
      <c r="P41" s="214" t="str">
        <f t="shared" si="4"/>
        <v/>
      </c>
    </row>
    <row r="42" spans="1:19" ht="12.95" customHeight="1">
      <c r="F42" s="179"/>
      <c r="G42" s="198"/>
      <c r="N42" s="253"/>
      <c r="P42" s="214" t="str">
        <f t="shared" si="4"/>
        <v/>
      </c>
    </row>
    <row r="43" spans="1:19" ht="12.95" customHeight="1">
      <c r="F43" s="179"/>
      <c r="G43" s="198"/>
      <c r="N43" s="253"/>
      <c r="P43" s="214" t="str">
        <f t="shared" si="4"/>
        <v/>
      </c>
    </row>
    <row r="44" spans="1:19" ht="12.95" customHeight="1">
      <c r="F44" s="179"/>
      <c r="G44" s="198"/>
      <c r="N44" s="253"/>
      <c r="P44" s="214" t="str">
        <f t="shared" si="4"/>
        <v/>
      </c>
    </row>
    <row r="45" spans="1:19" ht="12.95" customHeight="1">
      <c r="F45" s="179"/>
      <c r="G45" s="198"/>
      <c r="N45" s="253"/>
      <c r="P45" s="214" t="str">
        <f t="shared" si="4"/>
        <v/>
      </c>
    </row>
    <row r="46" spans="1:19" ht="12.95" customHeight="1">
      <c r="F46" s="179"/>
      <c r="G46" s="198"/>
      <c r="N46" s="253"/>
      <c r="P46" s="214" t="str">
        <f t="shared" si="4"/>
        <v/>
      </c>
    </row>
    <row r="47" spans="1:19" ht="12.95" customHeight="1">
      <c r="F47" s="179"/>
      <c r="G47" s="198"/>
      <c r="N47" s="253"/>
      <c r="P47" s="214" t="str">
        <f t="shared" si="4"/>
        <v/>
      </c>
    </row>
    <row r="48" spans="1:19" s="214" customFormat="1" ht="12.95" customHeight="1">
      <c r="A48" s="161"/>
      <c r="B48" s="161"/>
      <c r="C48" s="161"/>
      <c r="D48" s="161"/>
      <c r="E48" s="161"/>
      <c r="F48" s="179"/>
      <c r="G48" s="198"/>
      <c r="H48" s="161"/>
      <c r="I48" s="161"/>
      <c r="J48" s="161"/>
      <c r="K48" s="161"/>
      <c r="L48" s="161"/>
      <c r="M48" s="161"/>
      <c r="N48" s="253"/>
      <c r="P48" s="214" t="str">
        <f t="shared" si="4"/>
        <v/>
      </c>
      <c r="Q48" s="161"/>
      <c r="R48" s="161"/>
      <c r="S48" s="161"/>
    </row>
    <row r="49" spans="1:19" s="214" customFormat="1" ht="12.95" customHeight="1">
      <c r="A49" s="161"/>
      <c r="B49" s="161"/>
      <c r="C49" s="161"/>
      <c r="D49" s="161"/>
      <c r="E49" s="161"/>
      <c r="F49" s="179"/>
      <c r="G49" s="198"/>
      <c r="H49" s="161"/>
      <c r="I49" s="161"/>
      <c r="J49" s="161"/>
      <c r="K49" s="161"/>
      <c r="L49" s="161"/>
      <c r="M49" s="161"/>
      <c r="N49" s="253"/>
      <c r="P49" s="214" t="str">
        <f t="shared" si="4"/>
        <v/>
      </c>
      <c r="Q49" s="161"/>
      <c r="R49" s="161"/>
      <c r="S49" s="161"/>
    </row>
    <row r="50" spans="1:19" s="214" customFormat="1" ht="12.95" customHeight="1">
      <c r="A50" s="161"/>
      <c r="B50" s="161"/>
      <c r="C50" s="161"/>
      <c r="D50" s="161"/>
      <c r="E50" s="161"/>
      <c r="F50" s="179"/>
      <c r="G50" s="198"/>
      <c r="H50" s="161"/>
      <c r="I50" s="161"/>
      <c r="J50" s="161"/>
      <c r="K50" s="161"/>
      <c r="L50" s="161"/>
      <c r="M50" s="161"/>
      <c r="N50" s="253"/>
      <c r="P50" s="214" t="str">
        <f t="shared" si="4"/>
        <v/>
      </c>
      <c r="Q50" s="161"/>
      <c r="R50" s="161"/>
      <c r="S50" s="161"/>
    </row>
    <row r="51" spans="1:19" s="214" customFormat="1" ht="12.95" customHeight="1">
      <c r="A51" s="161"/>
      <c r="B51" s="161"/>
      <c r="C51" s="161"/>
      <c r="D51" s="161"/>
      <c r="E51" s="161"/>
      <c r="F51" s="179"/>
      <c r="G51" s="198"/>
      <c r="H51" s="161"/>
      <c r="I51" s="161"/>
      <c r="J51" s="161"/>
      <c r="K51" s="161"/>
      <c r="L51" s="161"/>
      <c r="M51" s="161"/>
      <c r="N51" s="253"/>
      <c r="P51" s="214" t="str">
        <f t="shared" si="4"/>
        <v/>
      </c>
      <c r="Q51" s="161"/>
      <c r="R51" s="161"/>
      <c r="S51" s="161"/>
    </row>
    <row r="52" spans="1:19" s="214" customFormat="1" ht="12.95" customHeight="1">
      <c r="A52" s="161"/>
      <c r="B52" s="161"/>
      <c r="C52" s="161"/>
      <c r="D52" s="161"/>
      <c r="E52" s="161"/>
      <c r="F52" s="179"/>
      <c r="G52" s="198"/>
      <c r="H52" s="161"/>
      <c r="I52" s="161"/>
      <c r="J52" s="161"/>
      <c r="K52" s="161"/>
      <c r="L52" s="161"/>
      <c r="M52" s="161"/>
      <c r="N52" s="253"/>
      <c r="P52" s="214" t="str">
        <f t="shared" si="4"/>
        <v/>
      </c>
      <c r="Q52" s="161"/>
      <c r="R52" s="161"/>
      <c r="S52" s="161"/>
    </row>
    <row r="53" spans="1:19" s="214" customFormat="1" ht="12.95" customHeight="1">
      <c r="A53" s="161"/>
      <c r="B53" s="161"/>
      <c r="C53" s="161"/>
      <c r="D53" s="161"/>
      <c r="E53" s="161"/>
      <c r="F53" s="179"/>
      <c r="G53" s="198"/>
      <c r="H53" s="161"/>
      <c r="I53" s="161"/>
      <c r="J53" s="161"/>
      <c r="K53" s="161"/>
      <c r="L53" s="161"/>
      <c r="M53" s="161"/>
      <c r="N53" s="253"/>
      <c r="P53" s="214" t="str">
        <f t="shared" si="4"/>
        <v/>
      </c>
      <c r="Q53" s="161"/>
      <c r="R53" s="161"/>
      <c r="S53" s="161"/>
    </row>
    <row r="54" spans="1:19" s="214" customFormat="1" ht="12.95" customHeight="1">
      <c r="A54" s="161"/>
      <c r="B54" s="161"/>
      <c r="C54" s="161"/>
      <c r="D54" s="161"/>
      <c r="E54" s="161"/>
      <c r="F54" s="179"/>
      <c r="G54" s="198"/>
      <c r="H54" s="161"/>
      <c r="I54" s="161"/>
      <c r="J54" s="161"/>
      <c r="K54" s="161"/>
      <c r="L54" s="161"/>
      <c r="M54" s="161"/>
      <c r="N54" s="253"/>
      <c r="Q54" s="161"/>
      <c r="R54" s="161"/>
      <c r="S54" s="161"/>
    </row>
    <row r="55" spans="1:19" s="214" customFormat="1" ht="12.95" customHeight="1">
      <c r="A55" s="161"/>
      <c r="B55" s="161"/>
      <c r="C55" s="161"/>
      <c r="D55" s="161"/>
      <c r="E55" s="161"/>
      <c r="F55" s="179"/>
      <c r="G55" s="198"/>
      <c r="H55" s="161"/>
      <c r="I55" s="161"/>
      <c r="J55" s="161"/>
      <c r="K55" s="161"/>
      <c r="L55" s="161"/>
      <c r="M55" s="161"/>
      <c r="N55" s="253"/>
      <c r="Q55" s="161"/>
      <c r="R55" s="161"/>
      <c r="S55" s="161"/>
    </row>
    <row r="56" spans="1:19" s="214" customFormat="1" ht="12.95" customHeight="1">
      <c r="A56" s="161"/>
      <c r="B56" s="161"/>
      <c r="C56" s="161"/>
      <c r="D56" s="161"/>
      <c r="E56" s="161"/>
      <c r="F56" s="179"/>
      <c r="G56" s="198"/>
      <c r="H56" s="161"/>
      <c r="I56" s="161"/>
      <c r="J56" s="161"/>
      <c r="K56" s="161"/>
      <c r="L56" s="161"/>
      <c r="M56" s="161"/>
      <c r="N56" s="253"/>
      <c r="Q56" s="161"/>
      <c r="R56" s="161"/>
      <c r="S56" s="161"/>
    </row>
    <row r="57" spans="1:19" s="214" customFormat="1" ht="12.95" customHeight="1">
      <c r="A57" s="161"/>
      <c r="B57" s="161"/>
      <c r="C57" s="161"/>
      <c r="D57" s="161"/>
      <c r="E57" s="161"/>
      <c r="F57" s="179"/>
      <c r="G57" s="198"/>
      <c r="H57" s="161"/>
      <c r="I57" s="161"/>
      <c r="J57" s="161"/>
      <c r="K57" s="161"/>
      <c r="L57" s="161"/>
      <c r="M57" s="161"/>
      <c r="N57" s="253"/>
      <c r="Q57" s="161"/>
      <c r="R57" s="161"/>
      <c r="S57" s="161"/>
    </row>
    <row r="58" spans="1:19" s="214" customFormat="1" ht="12.95" customHeight="1">
      <c r="A58" s="161"/>
      <c r="B58" s="161"/>
      <c r="C58" s="161"/>
      <c r="D58" s="161"/>
      <c r="E58" s="161"/>
      <c r="F58" s="179"/>
      <c r="G58" s="198"/>
      <c r="H58" s="161"/>
      <c r="I58" s="161"/>
      <c r="J58" s="161"/>
      <c r="K58" s="161"/>
      <c r="L58" s="161"/>
      <c r="M58" s="161"/>
      <c r="N58" s="253"/>
      <c r="Q58" s="161"/>
      <c r="R58" s="161"/>
      <c r="S58" s="161"/>
    </row>
    <row r="59" spans="1:19" s="214" customFormat="1" ht="12.95" customHeight="1">
      <c r="A59" s="161"/>
      <c r="B59" s="161"/>
      <c r="C59" s="161"/>
      <c r="D59" s="161"/>
      <c r="E59" s="161"/>
      <c r="F59" s="179"/>
      <c r="G59" s="198"/>
      <c r="H59" s="161"/>
      <c r="I59" s="161"/>
      <c r="J59" s="161"/>
      <c r="K59" s="161"/>
      <c r="L59" s="161"/>
      <c r="M59" s="161"/>
      <c r="N59" s="253"/>
      <c r="Q59" s="161"/>
      <c r="R59" s="161"/>
      <c r="S59" s="161"/>
    </row>
    <row r="60" spans="1:19" s="214" customFormat="1" ht="17.100000000000001" customHeight="1">
      <c r="A60" s="161"/>
      <c r="B60" s="161"/>
      <c r="C60" s="161"/>
      <c r="D60" s="161"/>
      <c r="E60" s="161"/>
      <c r="F60" s="179"/>
      <c r="G60" s="198"/>
      <c r="H60" s="161"/>
      <c r="I60" s="161"/>
      <c r="J60" s="161"/>
      <c r="K60" s="161"/>
      <c r="L60" s="161"/>
      <c r="M60" s="161"/>
      <c r="N60" s="253"/>
      <c r="Q60" s="161"/>
      <c r="R60" s="161"/>
      <c r="S60" s="161"/>
    </row>
    <row r="61" spans="1:19" s="214" customFormat="1" ht="14.25">
      <c r="A61" s="161"/>
      <c r="B61" s="161"/>
      <c r="C61" s="161"/>
      <c r="D61" s="161"/>
      <c r="E61" s="161"/>
      <c r="F61" s="179"/>
      <c r="G61" s="198"/>
      <c r="H61" s="161"/>
      <c r="I61" s="161"/>
      <c r="J61" s="161"/>
      <c r="K61" s="161"/>
      <c r="L61" s="161"/>
      <c r="M61" s="161"/>
      <c r="N61" s="253"/>
      <c r="Q61" s="161"/>
      <c r="R61" s="161"/>
      <c r="S61" s="161"/>
    </row>
    <row r="62" spans="1:19" s="214" customFormat="1" ht="14.25">
      <c r="A62" s="161"/>
      <c r="B62" s="161"/>
      <c r="C62" s="161"/>
      <c r="D62" s="161"/>
      <c r="E62" s="161"/>
      <c r="F62" s="179"/>
      <c r="G62" s="198"/>
      <c r="H62" s="161"/>
      <c r="I62" s="161"/>
      <c r="J62" s="161"/>
      <c r="K62" s="161"/>
      <c r="L62" s="161"/>
      <c r="M62" s="161"/>
      <c r="N62" s="253"/>
      <c r="Q62" s="161"/>
      <c r="R62" s="161"/>
      <c r="S62" s="161"/>
    </row>
    <row r="63" spans="1:19" s="214" customFormat="1" ht="14.25">
      <c r="A63" s="161"/>
      <c r="B63" s="161"/>
      <c r="C63" s="161"/>
      <c r="D63" s="161"/>
      <c r="E63" s="161"/>
      <c r="F63" s="179"/>
      <c r="G63" s="198"/>
      <c r="H63" s="161"/>
      <c r="I63" s="161"/>
      <c r="J63" s="161"/>
      <c r="K63" s="161"/>
      <c r="L63" s="161"/>
      <c r="M63" s="161"/>
      <c r="N63" s="253"/>
      <c r="Q63" s="161"/>
      <c r="R63" s="161"/>
      <c r="S63" s="161"/>
    </row>
    <row r="64" spans="1:19" s="214" customFormat="1" ht="14.25">
      <c r="A64" s="161"/>
      <c r="B64" s="161"/>
      <c r="C64" s="161"/>
      <c r="D64" s="161"/>
      <c r="E64" s="161"/>
      <c r="F64" s="179"/>
      <c r="G64" s="198"/>
      <c r="H64" s="161"/>
      <c r="I64" s="161"/>
      <c r="J64" s="161"/>
      <c r="K64" s="161"/>
      <c r="L64" s="161"/>
      <c r="M64" s="161"/>
      <c r="N64" s="253"/>
      <c r="Q64" s="161"/>
      <c r="R64" s="161"/>
      <c r="S64" s="161"/>
    </row>
    <row r="65" spans="1:19" s="214" customFormat="1" ht="14.25">
      <c r="A65" s="161"/>
      <c r="B65" s="161"/>
      <c r="C65" s="161"/>
      <c r="D65" s="161"/>
      <c r="E65" s="161"/>
      <c r="F65" s="179"/>
      <c r="G65" s="198"/>
      <c r="H65" s="161"/>
      <c r="I65" s="161"/>
      <c r="J65" s="161"/>
      <c r="K65" s="161"/>
      <c r="L65" s="161"/>
      <c r="M65" s="161"/>
      <c r="N65" s="253"/>
      <c r="Q65" s="161"/>
      <c r="R65" s="161"/>
      <c r="S65" s="161"/>
    </row>
    <row r="66" spans="1:19" s="214" customFormat="1" ht="14.25">
      <c r="A66" s="161"/>
      <c r="B66" s="161"/>
      <c r="C66" s="161"/>
      <c r="D66" s="161"/>
      <c r="E66" s="161"/>
      <c r="F66" s="179"/>
      <c r="G66" s="198"/>
      <c r="H66" s="161"/>
      <c r="I66" s="161"/>
      <c r="J66" s="161"/>
      <c r="K66" s="161"/>
      <c r="L66" s="161"/>
      <c r="M66" s="161"/>
      <c r="N66" s="253"/>
      <c r="Q66" s="161"/>
      <c r="R66" s="161"/>
      <c r="S66" s="161"/>
    </row>
    <row r="67" spans="1:19" s="214" customFormat="1" ht="14.25">
      <c r="A67" s="161"/>
      <c r="B67" s="161"/>
      <c r="C67" s="161"/>
      <c r="D67" s="161"/>
      <c r="E67" s="161"/>
      <c r="F67" s="179"/>
      <c r="G67" s="198"/>
      <c r="H67" s="161"/>
      <c r="I67" s="161"/>
      <c r="J67" s="161"/>
      <c r="K67" s="161"/>
      <c r="L67" s="161"/>
      <c r="M67" s="161"/>
      <c r="N67" s="253"/>
      <c r="Q67" s="161"/>
      <c r="R67" s="161"/>
      <c r="S67" s="161"/>
    </row>
    <row r="68" spans="1:19" s="214" customFormat="1" ht="14.25">
      <c r="A68" s="161"/>
      <c r="B68" s="161"/>
      <c r="C68" s="161"/>
      <c r="D68" s="161"/>
      <c r="E68" s="161"/>
      <c r="F68" s="179"/>
      <c r="G68" s="198"/>
      <c r="H68" s="161"/>
      <c r="I68" s="161"/>
      <c r="J68" s="161"/>
      <c r="K68" s="161"/>
      <c r="L68" s="161"/>
      <c r="M68" s="161"/>
      <c r="N68" s="253"/>
      <c r="Q68" s="161"/>
      <c r="R68" s="161"/>
      <c r="S68" s="161"/>
    </row>
    <row r="69" spans="1:19" s="214" customFormat="1" ht="14.25">
      <c r="A69" s="161"/>
      <c r="B69" s="161"/>
      <c r="C69" s="161"/>
      <c r="D69" s="161"/>
      <c r="E69" s="161"/>
      <c r="F69" s="179"/>
      <c r="G69" s="198"/>
      <c r="H69" s="161"/>
      <c r="I69" s="161"/>
      <c r="J69" s="161"/>
      <c r="K69" s="161"/>
      <c r="L69" s="161"/>
      <c r="M69" s="161"/>
      <c r="N69" s="253"/>
      <c r="Q69" s="161"/>
      <c r="R69" s="161"/>
      <c r="S69" s="161"/>
    </row>
    <row r="70" spans="1:19" s="214" customFormat="1" ht="14.25">
      <c r="A70" s="161"/>
      <c r="B70" s="161"/>
      <c r="C70" s="161"/>
      <c r="D70" s="161"/>
      <c r="E70" s="161"/>
      <c r="F70" s="179"/>
      <c r="G70" s="198"/>
      <c r="H70" s="161"/>
      <c r="I70" s="161"/>
      <c r="J70" s="161"/>
      <c r="K70" s="161"/>
      <c r="L70" s="161"/>
      <c r="M70" s="161"/>
      <c r="N70" s="253"/>
      <c r="Q70" s="161"/>
      <c r="R70" s="161"/>
      <c r="S70" s="161"/>
    </row>
    <row r="71" spans="1:19" s="214" customFormat="1" ht="14.25">
      <c r="A71" s="161"/>
      <c r="B71" s="161"/>
      <c r="C71" s="161"/>
      <c r="D71" s="161"/>
      <c r="E71" s="161"/>
      <c r="F71" s="179"/>
      <c r="G71" s="198"/>
      <c r="H71" s="161"/>
      <c r="I71" s="161"/>
      <c r="J71" s="161"/>
      <c r="K71" s="161"/>
      <c r="L71" s="161"/>
      <c r="M71" s="161"/>
      <c r="N71" s="253"/>
      <c r="Q71" s="161"/>
      <c r="R71" s="161"/>
      <c r="S71" s="161"/>
    </row>
    <row r="72" spans="1:19" s="214" customFormat="1" ht="14.25">
      <c r="A72" s="161"/>
      <c r="B72" s="161"/>
      <c r="C72" s="161"/>
      <c r="D72" s="161"/>
      <c r="E72" s="161"/>
      <c r="F72" s="179"/>
      <c r="G72" s="198"/>
      <c r="H72" s="161"/>
      <c r="I72" s="161"/>
      <c r="J72" s="161"/>
      <c r="K72" s="161"/>
      <c r="L72" s="161"/>
      <c r="M72" s="161"/>
      <c r="N72" s="253"/>
      <c r="Q72" s="161"/>
      <c r="R72" s="161"/>
      <c r="S72" s="161"/>
    </row>
    <row r="73" spans="1:19" s="214" customFormat="1" ht="14.25">
      <c r="A73" s="161"/>
      <c r="B73" s="161"/>
      <c r="C73" s="161"/>
      <c r="D73" s="161"/>
      <c r="E73" s="161"/>
      <c r="F73" s="179"/>
      <c r="G73" s="198"/>
      <c r="H73" s="161"/>
      <c r="I73" s="161"/>
      <c r="J73" s="161"/>
      <c r="K73" s="161"/>
      <c r="L73" s="161"/>
      <c r="M73" s="161"/>
      <c r="N73" s="253"/>
      <c r="Q73" s="161"/>
      <c r="R73" s="161"/>
      <c r="S73" s="161"/>
    </row>
    <row r="74" spans="1:19" s="214" customFormat="1" ht="14.25">
      <c r="A74" s="161"/>
      <c r="B74" s="161"/>
      <c r="C74" s="161"/>
      <c r="D74" s="161"/>
      <c r="E74" s="161"/>
      <c r="F74" s="179"/>
      <c r="G74" s="179"/>
      <c r="H74" s="161"/>
      <c r="I74" s="161"/>
      <c r="J74" s="161"/>
      <c r="K74" s="161"/>
      <c r="L74" s="161"/>
      <c r="M74" s="161"/>
      <c r="N74" s="253"/>
      <c r="Q74" s="161"/>
      <c r="R74" s="161"/>
      <c r="S74" s="161"/>
    </row>
    <row r="75" spans="1:19" s="214" customFormat="1" ht="14.25">
      <c r="A75" s="161"/>
      <c r="B75" s="161"/>
      <c r="C75" s="161"/>
      <c r="D75" s="161"/>
      <c r="E75" s="161"/>
      <c r="F75" s="179"/>
      <c r="G75" s="179"/>
      <c r="H75" s="161"/>
      <c r="I75" s="161"/>
      <c r="J75" s="161"/>
      <c r="K75" s="161"/>
      <c r="L75" s="161"/>
      <c r="M75" s="161"/>
      <c r="N75" s="253"/>
      <c r="Q75" s="161"/>
      <c r="R75" s="161"/>
      <c r="S75" s="161"/>
    </row>
    <row r="76" spans="1:19" s="214" customFormat="1" ht="14.25">
      <c r="A76" s="161"/>
      <c r="B76" s="161"/>
      <c r="C76" s="161"/>
      <c r="D76" s="161"/>
      <c r="E76" s="161"/>
      <c r="F76" s="179"/>
      <c r="G76" s="179"/>
      <c r="H76" s="161"/>
      <c r="I76" s="161"/>
      <c r="J76" s="161"/>
      <c r="K76" s="161"/>
      <c r="L76" s="161"/>
      <c r="M76" s="161"/>
      <c r="N76" s="253"/>
      <c r="Q76" s="161"/>
      <c r="R76" s="161"/>
      <c r="S76" s="161"/>
    </row>
    <row r="77" spans="1:19" s="214" customFormat="1" ht="14.25">
      <c r="A77" s="161"/>
      <c r="B77" s="161"/>
      <c r="C77" s="161"/>
      <c r="D77" s="161"/>
      <c r="E77" s="161"/>
      <c r="F77" s="179"/>
      <c r="G77" s="179"/>
      <c r="H77" s="161"/>
      <c r="I77" s="161"/>
      <c r="J77" s="161"/>
      <c r="K77" s="161"/>
      <c r="L77" s="161"/>
      <c r="M77" s="161"/>
      <c r="N77" s="253"/>
      <c r="Q77" s="161"/>
      <c r="R77" s="161"/>
      <c r="S77" s="161"/>
    </row>
    <row r="78" spans="1:19" s="214" customFormat="1" ht="14.25">
      <c r="A78" s="161"/>
      <c r="B78" s="161"/>
      <c r="C78" s="161"/>
      <c r="D78" s="161"/>
      <c r="E78" s="161"/>
      <c r="F78" s="179"/>
      <c r="G78" s="179"/>
      <c r="H78" s="161"/>
      <c r="I78" s="161"/>
      <c r="J78" s="161"/>
      <c r="K78" s="161"/>
      <c r="L78" s="161"/>
      <c r="M78" s="161"/>
      <c r="N78" s="253"/>
      <c r="Q78" s="161"/>
      <c r="R78" s="161"/>
      <c r="S78" s="161"/>
    </row>
    <row r="79" spans="1:19" s="214" customFormat="1" ht="14.25">
      <c r="A79" s="161"/>
      <c r="B79" s="161"/>
      <c r="C79" s="161"/>
      <c r="D79" s="161"/>
      <c r="E79" s="161"/>
      <c r="F79" s="179"/>
      <c r="G79" s="179"/>
      <c r="H79" s="161"/>
      <c r="I79" s="161"/>
      <c r="J79" s="161"/>
      <c r="K79" s="161"/>
      <c r="L79" s="161"/>
      <c r="M79" s="161"/>
      <c r="N79" s="253"/>
      <c r="Q79" s="161"/>
      <c r="R79" s="161"/>
      <c r="S79" s="161"/>
    </row>
    <row r="80" spans="1:19" s="214" customFormat="1" ht="14.25">
      <c r="A80" s="161"/>
      <c r="B80" s="161"/>
      <c r="C80" s="161"/>
      <c r="D80" s="161"/>
      <c r="E80" s="161"/>
      <c r="F80" s="179"/>
      <c r="G80" s="179"/>
      <c r="H80" s="161"/>
      <c r="I80" s="161"/>
      <c r="J80" s="161"/>
      <c r="K80" s="161"/>
      <c r="L80" s="161"/>
      <c r="M80" s="161"/>
      <c r="N80" s="253"/>
      <c r="Q80" s="161"/>
      <c r="R80" s="161"/>
      <c r="S80" s="161"/>
    </row>
    <row r="81" spans="1:19" s="214" customFormat="1" ht="14.25">
      <c r="A81" s="161"/>
      <c r="B81" s="161"/>
      <c r="C81" s="161"/>
      <c r="D81" s="161"/>
      <c r="E81" s="161"/>
      <c r="F81" s="179"/>
      <c r="G81" s="179"/>
      <c r="H81" s="161"/>
      <c r="I81" s="161"/>
      <c r="J81" s="161"/>
      <c r="K81" s="161"/>
      <c r="L81" s="161"/>
      <c r="M81" s="161"/>
      <c r="N81" s="253"/>
      <c r="Q81" s="161"/>
      <c r="R81" s="161"/>
      <c r="S81" s="161"/>
    </row>
    <row r="82" spans="1:19" s="214" customFormat="1" ht="14.25">
      <c r="A82" s="161"/>
      <c r="B82" s="161"/>
      <c r="C82" s="161"/>
      <c r="D82" s="161"/>
      <c r="E82" s="161"/>
      <c r="F82" s="179"/>
      <c r="G82" s="179"/>
      <c r="H82" s="161"/>
      <c r="I82" s="161"/>
      <c r="J82" s="161"/>
      <c r="K82" s="161"/>
      <c r="L82" s="161"/>
      <c r="M82" s="161"/>
      <c r="N82" s="253"/>
      <c r="Q82" s="161"/>
      <c r="R82" s="161"/>
      <c r="S82" s="161"/>
    </row>
    <row r="83" spans="1:19" s="214" customFormat="1" ht="14.25">
      <c r="A83" s="161"/>
      <c r="B83" s="161"/>
      <c r="C83" s="161"/>
      <c r="D83" s="161"/>
      <c r="E83" s="161"/>
      <c r="F83" s="179"/>
      <c r="G83" s="179"/>
      <c r="H83" s="161"/>
      <c r="I83" s="161"/>
      <c r="J83" s="161"/>
      <c r="K83" s="161"/>
      <c r="L83" s="161"/>
      <c r="M83" s="161"/>
      <c r="N83" s="253"/>
      <c r="Q83" s="161"/>
      <c r="R83" s="161"/>
      <c r="S83" s="161"/>
    </row>
    <row r="84" spans="1:19" s="214" customFormat="1" ht="14.25">
      <c r="A84" s="161"/>
      <c r="B84" s="161"/>
      <c r="C84" s="161"/>
      <c r="D84" s="161"/>
      <c r="E84" s="161"/>
      <c r="F84" s="179"/>
      <c r="G84" s="179"/>
      <c r="H84" s="161"/>
      <c r="I84" s="161"/>
      <c r="J84" s="161"/>
      <c r="K84" s="161"/>
      <c r="L84" s="161"/>
      <c r="M84" s="161"/>
      <c r="N84" s="253"/>
      <c r="Q84" s="161"/>
      <c r="R84" s="161"/>
      <c r="S84" s="161"/>
    </row>
    <row r="85" spans="1:19" s="214" customFormat="1" ht="14.25">
      <c r="A85" s="161"/>
      <c r="B85" s="161"/>
      <c r="C85" s="161"/>
      <c r="D85" s="161"/>
      <c r="E85" s="161"/>
      <c r="F85" s="179"/>
      <c r="G85" s="179"/>
      <c r="H85" s="161"/>
      <c r="I85" s="161"/>
      <c r="J85" s="161"/>
      <c r="K85" s="161"/>
      <c r="L85" s="161"/>
      <c r="M85" s="161"/>
      <c r="N85" s="253"/>
      <c r="Q85" s="161"/>
      <c r="R85" s="161"/>
      <c r="S85" s="161"/>
    </row>
    <row r="86" spans="1:19" s="214" customFormat="1" ht="14.25">
      <c r="A86" s="161"/>
      <c r="B86" s="161"/>
      <c r="C86" s="161"/>
      <c r="D86" s="161"/>
      <c r="E86" s="161"/>
      <c r="F86" s="179"/>
      <c r="G86" s="179"/>
      <c r="H86" s="161"/>
      <c r="I86" s="161"/>
      <c r="J86" s="161"/>
      <c r="K86" s="161"/>
      <c r="L86" s="161"/>
      <c r="M86" s="161"/>
      <c r="N86" s="253"/>
      <c r="Q86" s="161"/>
      <c r="R86" s="161"/>
      <c r="S86" s="161"/>
    </row>
    <row r="87" spans="1:19" s="214" customFormat="1" ht="14.25">
      <c r="A87" s="161"/>
      <c r="B87" s="161"/>
      <c r="C87" s="161"/>
      <c r="D87" s="161"/>
      <c r="E87" s="161"/>
      <c r="F87" s="179"/>
      <c r="G87" s="179"/>
      <c r="H87" s="161"/>
      <c r="I87" s="161"/>
      <c r="J87" s="161"/>
      <c r="K87" s="161"/>
      <c r="L87" s="161"/>
      <c r="M87" s="161"/>
      <c r="N87" s="253"/>
      <c r="Q87" s="161"/>
      <c r="R87" s="161"/>
      <c r="S87" s="161"/>
    </row>
    <row r="88" spans="1:19" s="214" customFormat="1" ht="14.25">
      <c r="A88" s="161"/>
      <c r="B88" s="161"/>
      <c r="C88" s="161"/>
      <c r="D88" s="161"/>
      <c r="E88" s="161"/>
      <c r="F88" s="179"/>
      <c r="G88" s="179"/>
      <c r="H88" s="161"/>
      <c r="I88" s="161"/>
      <c r="J88" s="161"/>
      <c r="K88" s="161"/>
      <c r="L88" s="161"/>
      <c r="M88" s="161"/>
      <c r="N88" s="253"/>
      <c r="Q88" s="161"/>
      <c r="R88" s="161"/>
      <c r="S88" s="161"/>
    </row>
    <row r="89" spans="1:19" s="214" customFormat="1" ht="14.25">
      <c r="A89" s="161"/>
      <c r="B89" s="161"/>
      <c r="C89" s="161"/>
      <c r="D89" s="161"/>
      <c r="E89" s="161"/>
      <c r="F89" s="179"/>
      <c r="G89" s="179"/>
      <c r="H89" s="161"/>
      <c r="I89" s="161"/>
      <c r="J89" s="161"/>
      <c r="K89" s="161"/>
      <c r="L89" s="161"/>
      <c r="M89" s="161"/>
      <c r="N89" s="253"/>
      <c r="Q89" s="161"/>
      <c r="R89" s="161"/>
      <c r="S89" s="161"/>
    </row>
    <row r="90" spans="1:19" s="214" customFormat="1" ht="14.25">
      <c r="A90" s="161"/>
      <c r="B90" s="161"/>
      <c r="C90" s="161"/>
      <c r="D90" s="161"/>
      <c r="E90" s="161"/>
      <c r="F90" s="179"/>
      <c r="G90" s="179"/>
      <c r="H90" s="161"/>
      <c r="I90" s="161"/>
      <c r="J90" s="161"/>
      <c r="K90" s="161"/>
      <c r="L90" s="161"/>
      <c r="M90" s="161"/>
      <c r="N90" s="253"/>
      <c r="Q90" s="161"/>
      <c r="R90" s="161"/>
      <c r="S90" s="161"/>
    </row>
    <row r="91" spans="1:19" s="214" customFormat="1">
      <c r="A91" s="161"/>
      <c r="B91" s="161"/>
      <c r="C91" s="161"/>
      <c r="D91" s="161"/>
      <c r="E91" s="161"/>
      <c r="F91" s="166"/>
      <c r="G91" s="179"/>
      <c r="H91" s="161"/>
      <c r="I91" s="161"/>
      <c r="J91" s="161"/>
      <c r="K91" s="161"/>
      <c r="L91" s="161"/>
      <c r="M91" s="161"/>
      <c r="N91" s="161"/>
      <c r="Q91" s="161"/>
      <c r="R91" s="161"/>
      <c r="S91" s="161"/>
    </row>
    <row r="92" spans="1:19" s="214" customFormat="1">
      <c r="A92" s="161"/>
      <c r="B92" s="161"/>
      <c r="C92" s="161"/>
      <c r="D92" s="161"/>
      <c r="E92" s="161"/>
      <c r="F92" s="166"/>
      <c r="G92" s="179"/>
      <c r="H92" s="161"/>
      <c r="I92" s="161"/>
      <c r="J92" s="161"/>
      <c r="K92" s="161"/>
      <c r="L92" s="161"/>
      <c r="M92" s="161"/>
      <c r="N92" s="161"/>
      <c r="Q92" s="161"/>
      <c r="R92" s="161"/>
      <c r="S92" s="161"/>
    </row>
    <row r="93" spans="1:19" s="214" customFormat="1">
      <c r="A93" s="161"/>
      <c r="B93" s="161"/>
      <c r="C93" s="161"/>
      <c r="D93" s="161"/>
      <c r="E93" s="161"/>
      <c r="F93" s="166"/>
      <c r="G93" s="179"/>
      <c r="H93" s="161"/>
      <c r="I93" s="161"/>
      <c r="J93" s="161"/>
      <c r="K93" s="161"/>
      <c r="L93" s="161"/>
      <c r="M93" s="161"/>
      <c r="N93" s="161"/>
      <c r="Q93" s="161"/>
      <c r="R93" s="161"/>
      <c r="S93" s="161"/>
    </row>
    <row r="94" spans="1:19" s="214" customFormat="1">
      <c r="A94" s="161"/>
      <c r="B94" s="161"/>
      <c r="C94" s="161"/>
      <c r="D94" s="161"/>
      <c r="E94" s="161"/>
      <c r="F94" s="166"/>
      <c r="G94" s="179"/>
      <c r="H94" s="161"/>
      <c r="I94" s="161"/>
      <c r="J94" s="161"/>
      <c r="K94" s="161"/>
      <c r="L94" s="161"/>
      <c r="M94" s="161"/>
      <c r="N94" s="161"/>
      <c r="Q94" s="161"/>
      <c r="R94" s="161"/>
      <c r="S94" s="161"/>
    </row>
    <row r="95" spans="1:19" s="214" customFormat="1">
      <c r="A95" s="161"/>
      <c r="B95" s="161"/>
      <c r="C95" s="161"/>
      <c r="D95" s="161"/>
      <c r="E95" s="161"/>
      <c r="F95" s="166"/>
      <c r="G95" s="179"/>
      <c r="H95" s="161"/>
      <c r="I95" s="161"/>
      <c r="J95" s="161"/>
      <c r="K95" s="161"/>
      <c r="L95" s="161"/>
      <c r="M95" s="161"/>
      <c r="N95" s="161"/>
      <c r="Q95" s="161"/>
      <c r="R95" s="161"/>
      <c r="S95" s="161"/>
    </row>
    <row r="96" spans="1:19">
      <c r="G96" s="179"/>
    </row>
  </sheetData>
  <mergeCells count="15">
    <mergeCell ref="P4:P5"/>
    <mergeCell ref="B2:P2"/>
    <mergeCell ref="K4:K5"/>
    <mergeCell ref="L4:N4"/>
    <mergeCell ref="O4:O5"/>
    <mergeCell ref="H3:I3"/>
    <mergeCell ref="B4:B5"/>
    <mergeCell ref="C4:C5"/>
    <mergeCell ref="D4:D5"/>
    <mergeCell ref="F4:F5"/>
    <mergeCell ref="G4:G5"/>
    <mergeCell ref="H4:H5"/>
    <mergeCell ref="I4:I5"/>
    <mergeCell ref="J4:J5"/>
    <mergeCell ref="E4:E5"/>
  </mergeCells>
  <pageMargins left="0.78740157480314965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1"/>
  <dimension ref="A1:S96"/>
  <sheetViews>
    <sheetView zoomScaleNormal="100" workbookViewId="0">
      <selection activeCell="N32" sqref="N32"/>
    </sheetView>
  </sheetViews>
  <sheetFormatPr defaultColWidth="9.140625" defaultRowHeight="12.75"/>
  <cols>
    <col min="1" max="1" width="4.42578125" style="161" customWidth="1"/>
    <col min="2" max="2" width="4.7109375" style="9" customWidth="1"/>
    <col min="3" max="3" width="5.140625" style="9" customWidth="1"/>
    <col min="4" max="4" width="5" style="9" customWidth="1"/>
    <col min="5" max="5" width="5" style="161" customWidth="1"/>
    <col min="6" max="6" width="8.7109375" style="18" customWidth="1"/>
    <col min="7" max="7" width="8.7109375" style="166" customWidth="1"/>
    <col min="8" max="8" width="50.7109375" style="9" customWidth="1"/>
    <col min="9" max="10" width="14.7109375" style="9" customWidth="1"/>
    <col min="11" max="11" width="12.5703125" style="161" customWidth="1"/>
    <col min="12" max="13" width="14.7109375" style="161" customWidth="1"/>
    <col min="14" max="14" width="15.7109375" style="9" customWidth="1"/>
    <col min="15" max="16" width="7.7109375" style="214" customWidth="1"/>
    <col min="17" max="16384" width="9.140625" style="9"/>
  </cols>
  <sheetData>
    <row r="1" spans="1:19" ht="13.5" thickBot="1"/>
    <row r="2" spans="1:19" s="244" customFormat="1" ht="20.100000000000001" customHeight="1" thickTop="1" thickBot="1">
      <c r="B2" s="1034" t="s">
        <v>619</v>
      </c>
      <c r="C2" s="1035"/>
      <c r="D2" s="1035"/>
      <c r="E2" s="1035"/>
      <c r="F2" s="1035"/>
      <c r="G2" s="1035"/>
      <c r="H2" s="1035"/>
      <c r="I2" s="1035"/>
      <c r="J2" s="1035"/>
      <c r="K2" s="1035"/>
      <c r="L2" s="1035"/>
      <c r="M2" s="1035"/>
      <c r="N2" s="1035"/>
      <c r="O2" s="1057"/>
      <c r="P2" s="1036"/>
    </row>
    <row r="3" spans="1:19" s="1" customFormat="1" ht="8.1" customHeight="1" thickTop="1" thickBot="1">
      <c r="A3" s="158"/>
      <c r="E3" s="158"/>
      <c r="F3" s="2"/>
      <c r="G3" s="159"/>
      <c r="H3" s="1039"/>
      <c r="I3" s="1039"/>
      <c r="J3" s="139"/>
      <c r="K3" s="721"/>
      <c r="L3" s="74"/>
      <c r="M3" s="74"/>
      <c r="N3" s="74"/>
      <c r="O3" s="208"/>
      <c r="P3" s="208"/>
    </row>
    <row r="4" spans="1:19" s="1" customFormat="1" ht="39" customHeight="1">
      <c r="A4" s="158"/>
      <c r="B4" s="1043" t="s">
        <v>76</v>
      </c>
      <c r="C4" s="1045" t="s">
        <v>77</v>
      </c>
      <c r="D4" s="1047" t="s">
        <v>102</v>
      </c>
      <c r="E4" s="1062" t="s">
        <v>692</v>
      </c>
      <c r="F4" s="1058" t="s">
        <v>466</v>
      </c>
      <c r="G4" s="1048" t="s">
        <v>493</v>
      </c>
      <c r="H4" s="1050" t="s">
        <v>78</v>
      </c>
      <c r="I4" s="1059" t="s">
        <v>901</v>
      </c>
      <c r="J4" s="1068" t="s">
        <v>813</v>
      </c>
      <c r="K4" s="1037" t="s">
        <v>906</v>
      </c>
      <c r="L4" s="1040" t="s">
        <v>905</v>
      </c>
      <c r="M4" s="1041"/>
      <c r="N4" s="1042"/>
      <c r="O4" s="1054" t="s">
        <v>945</v>
      </c>
      <c r="P4" s="1032" t="s">
        <v>946</v>
      </c>
      <c r="R4" s="61"/>
    </row>
    <row r="5" spans="1:19" s="158" customFormat="1" ht="27" customHeight="1">
      <c r="B5" s="1044"/>
      <c r="C5" s="1046"/>
      <c r="D5" s="1046"/>
      <c r="E5" s="1049"/>
      <c r="F5" s="1051"/>
      <c r="G5" s="1049"/>
      <c r="H5" s="1051"/>
      <c r="I5" s="1051"/>
      <c r="J5" s="1051"/>
      <c r="K5" s="1038"/>
      <c r="L5" s="373" t="s">
        <v>526</v>
      </c>
      <c r="M5" s="242" t="s">
        <v>527</v>
      </c>
      <c r="N5" s="764" t="s">
        <v>319</v>
      </c>
      <c r="O5" s="1055"/>
      <c r="P5" s="1033"/>
    </row>
    <row r="6" spans="1:19" s="2" customFormat="1" ht="12.95" customHeight="1">
      <c r="A6" s="159"/>
      <c r="B6" s="328">
        <v>1</v>
      </c>
      <c r="C6" s="195">
        <v>2</v>
      </c>
      <c r="D6" s="195">
        <v>3</v>
      </c>
      <c r="E6" s="195">
        <v>4</v>
      </c>
      <c r="F6" s="195">
        <v>5</v>
      </c>
      <c r="G6" s="195">
        <v>6</v>
      </c>
      <c r="H6" s="195">
        <v>7</v>
      </c>
      <c r="I6" s="195">
        <v>8</v>
      </c>
      <c r="J6" s="195">
        <v>9</v>
      </c>
      <c r="K6" s="188">
        <v>10</v>
      </c>
      <c r="L6" s="328">
        <v>11</v>
      </c>
      <c r="M6" s="195">
        <v>12</v>
      </c>
      <c r="N6" s="810" t="s">
        <v>694</v>
      </c>
      <c r="O6" s="929" t="s">
        <v>814</v>
      </c>
      <c r="P6" s="930" t="s">
        <v>944</v>
      </c>
    </row>
    <row r="7" spans="1:19" s="2" customFormat="1" ht="12.95" customHeight="1">
      <c r="A7" s="159"/>
      <c r="B7" s="6" t="s">
        <v>115</v>
      </c>
      <c r="C7" s="7" t="s">
        <v>79</v>
      </c>
      <c r="D7" s="7" t="s">
        <v>80</v>
      </c>
      <c r="E7" s="415" t="s">
        <v>695</v>
      </c>
      <c r="F7" s="5"/>
      <c r="G7" s="160"/>
      <c r="H7" s="5"/>
      <c r="I7" s="5"/>
      <c r="J7" s="5"/>
      <c r="K7" s="173"/>
      <c r="L7" s="4"/>
      <c r="M7" s="160"/>
      <c r="N7" s="811"/>
      <c r="O7" s="951"/>
      <c r="P7" s="952"/>
    </row>
    <row r="8" spans="1:19" s="1" customFormat="1" ht="12.95" customHeight="1">
      <c r="A8" s="158"/>
      <c r="B8" s="12"/>
      <c r="C8" s="8"/>
      <c r="D8" s="8"/>
      <c r="E8" s="8"/>
      <c r="F8" s="176">
        <v>611000</v>
      </c>
      <c r="G8" s="195"/>
      <c r="H8" s="25" t="s">
        <v>140</v>
      </c>
      <c r="I8" s="227">
        <f t="shared" ref="I8:N8" si="0">SUM(I9:I12)</f>
        <v>424350</v>
      </c>
      <c r="J8" s="227">
        <f t="shared" si="0"/>
        <v>424350</v>
      </c>
      <c r="K8" s="723">
        <f t="shared" si="0"/>
        <v>367237</v>
      </c>
      <c r="L8" s="482">
        <f t="shared" si="0"/>
        <v>422566</v>
      </c>
      <c r="M8" s="236">
        <f t="shared" si="0"/>
        <v>0</v>
      </c>
      <c r="N8" s="812">
        <f t="shared" si="0"/>
        <v>422566</v>
      </c>
      <c r="O8" s="953">
        <f t="shared" ref="O8:O31" si="1">IF(J8=0,"",N8/J8*100)</f>
        <v>99.579592317662303</v>
      </c>
      <c r="P8" s="954">
        <f>IF(K8=0,"",N8/K8*100)</f>
        <v>115.06629233982414</v>
      </c>
    </row>
    <row r="9" spans="1:19" ht="12.95" customHeight="1">
      <c r="B9" s="10"/>
      <c r="C9" s="11"/>
      <c r="D9" s="11"/>
      <c r="E9" s="163"/>
      <c r="F9" s="177">
        <v>611100</v>
      </c>
      <c r="G9" s="196"/>
      <c r="H9" s="428" t="s">
        <v>161</v>
      </c>
      <c r="I9" s="235">
        <f>323860+300</f>
        <v>324160</v>
      </c>
      <c r="J9" s="235">
        <f>323860+300</f>
        <v>324160</v>
      </c>
      <c r="K9" s="487">
        <v>295155</v>
      </c>
      <c r="L9" s="357">
        <v>323888</v>
      </c>
      <c r="M9" s="235">
        <v>0</v>
      </c>
      <c r="N9" s="813">
        <f>SUM(L9:M9)</f>
        <v>323888</v>
      </c>
      <c r="O9" s="955">
        <f t="shared" si="1"/>
        <v>99.916090819348469</v>
      </c>
      <c r="P9" s="956">
        <f t="shared" ref="P9:P53" si="2">IF(K9=0,"",N9/K9*100)</f>
        <v>109.734885060392</v>
      </c>
      <c r="Q9" s="45"/>
    </row>
    <row r="10" spans="1:19" ht="12.95" customHeight="1">
      <c r="B10" s="10"/>
      <c r="C10" s="11"/>
      <c r="D10" s="11"/>
      <c r="E10" s="163"/>
      <c r="F10" s="177">
        <v>611200</v>
      </c>
      <c r="G10" s="196"/>
      <c r="H10" s="24" t="s">
        <v>162</v>
      </c>
      <c r="I10" s="235">
        <f>84190+400+2300+19*700</f>
        <v>100190</v>
      </c>
      <c r="J10" s="235">
        <f>84190+400+2300+19*700</f>
        <v>100190</v>
      </c>
      <c r="K10" s="487">
        <v>72082</v>
      </c>
      <c r="L10" s="357">
        <v>98678</v>
      </c>
      <c r="M10" s="235">
        <v>0</v>
      </c>
      <c r="N10" s="813">
        <f t="shared" ref="N10:N11" si="3">SUM(L10:M10)</f>
        <v>98678</v>
      </c>
      <c r="O10" s="955">
        <f t="shared" si="1"/>
        <v>98.490867352031145</v>
      </c>
      <c r="P10" s="956">
        <f t="shared" si="2"/>
        <v>136.89686745650786</v>
      </c>
    </row>
    <row r="11" spans="1:19" ht="12.95" customHeight="1">
      <c r="B11" s="10"/>
      <c r="C11" s="11"/>
      <c r="D11" s="11"/>
      <c r="E11" s="163"/>
      <c r="F11" s="177">
        <v>611200</v>
      </c>
      <c r="G11" s="196"/>
      <c r="H11" s="435" t="s">
        <v>434</v>
      </c>
      <c r="I11" s="230">
        <v>0</v>
      </c>
      <c r="J11" s="230">
        <v>0</v>
      </c>
      <c r="K11" s="487">
        <v>0</v>
      </c>
      <c r="L11" s="357">
        <v>0</v>
      </c>
      <c r="M11" s="235">
        <v>0</v>
      </c>
      <c r="N11" s="813">
        <f t="shared" si="3"/>
        <v>0</v>
      </c>
      <c r="O11" s="955" t="str">
        <f t="shared" si="1"/>
        <v/>
      </c>
      <c r="P11" s="956" t="str">
        <f t="shared" si="2"/>
        <v/>
      </c>
      <c r="R11" s="50"/>
    </row>
    <row r="12" spans="1:19" ht="12.95" customHeight="1">
      <c r="B12" s="10"/>
      <c r="C12" s="11"/>
      <c r="D12" s="11"/>
      <c r="E12" s="163"/>
      <c r="F12" s="177"/>
      <c r="G12" s="196"/>
      <c r="H12" s="428"/>
      <c r="I12" s="230"/>
      <c r="J12" s="230"/>
      <c r="K12" s="487"/>
      <c r="L12" s="357"/>
      <c r="M12" s="235"/>
      <c r="N12" s="813"/>
      <c r="O12" s="955" t="str">
        <f t="shared" si="1"/>
        <v/>
      </c>
      <c r="P12" s="956" t="str">
        <f t="shared" si="2"/>
        <v/>
      </c>
      <c r="R12" s="45"/>
    </row>
    <row r="13" spans="1:19" s="1" customFormat="1" ht="12.95" customHeight="1">
      <c r="A13" s="158"/>
      <c r="B13" s="12"/>
      <c r="C13" s="8"/>
      <c r="D13" s="8"/>
      <c r="E13" s="8"/>
      <c r="F13" s="176">
        <v>612000</v>
      </c>
      <c r="G13" s="195"/>
      <c r="H13" s="25" t="s">
        <v>139</v>
      </c>
      <c r="I13" s="227">
        <f t="shared" ref="I13:N13" si="4">I14</f>
        <v>34760</v>
      </c>
      <c r="J13" s="227">
        <f t="shared" si="4"/>
        <v>34760</v>
      </c>
      <c r="K13" s="723">
        <f t="shared" si="4"/>
        <v>31072</v>
      </c>
      <c r="L13" s="482">
        <f t="shared" si="4"/>
        <v>34429</v>
      </c>
      <c r="M13" s="236">
        <f t="shared" si="4"/>
        <v>0</v>
      </c>
      <c r="N13" s="812">
        <f t="shared" si="4"/>
        <v>34429</v>
      </c>
      <c r="O13" s="953">
        <f t="shared" si="1"/>
        <v>99.047756041426922</v>
      </c>
      <c r="P13" s="954">
        <f t="shared" si="2"/>
        <v>110.80393923789906</v>
      </c>
      <c r="R13" s="54"/>
      <c r="S13" s="54"/>
    </row>
    <row r="14" spans="1:19" ht="12.95" customHeight="1">
      <c r="B14" s="10"/>
      <c r="C14" s="11"/>
      <c r="D14" s="11"/>
      <c r="E14" s="163"/>
      <c r="F14" s="177">
        <v>612100</v>
      </c>
      <c r="G14" s="196"/>
      <c r="H14" s="430" t="s">
        <v>81</v>
      </c>
      <c r="I14" s="230">
        <f>34760</f>
        <v>34760</v>
      </c>
      <c r="J14" s="230">
        <f>34760</f>
        <v>34760</v>
      </c>
      <c r="K14" s="487">
        <v>31072</v>
      </c>
      <c r="L14" s="357">
        <v>34429</v>
      </c>
      <c r="M14" s="235">
        <v>0</v>
      </c>
      <c r="N14" s="813">
        <f>SUM(L14:M14)</f>
        <v>34429</v>
      </c>
      <c r="O14" s="955">
        <f t="shared" si="1"/>
        <v>99.047756041426922</v>
      </c>
      <c r="P14" s="956">
        <f t="shared" si="2"/>
        <v>110.80393923789906</v>
      </c>
    </row>
    <row r="15" spans="1:19" ht="12.95" customHeight="1">
      <c r="B15" s="10"/>
      <c r="C15" s="11"/>
      <c r="D15" s="11"/>
      <c r="E15" s="163"/>
      <c r="F15" s="177"/>
      <c r="G15" s="196"/>
      <c r="H15" s="24"/>
      <c r="I15" s="230"/>
      <c r="J15" s="230"/>
      <c r="K15" s="487"/>
      <c r="L15" s="357"/>
      <c r="M15" s="235"/>
      <c r="N15" s="776"/>
      <c r="O15" s="955" t="str">
        <f t="shared" si="1"/>
        <v/>
      </c>
      <c r="P15" s="956" t="str">
        <f t="shared" si="2"/>
        <v/>
      </c>
    </row>
    <row r="16" spans="1:19" s="1" customFormat="1" ht="12.95" customHeight="1">
      <c r="A16" s="158"/>
      <c r="B16" s="12"/>
      <c r="C16" s="8"/>
      <c r="D16" s="8"/>
      <c r="E16" s="8"/>
      <c r="F16" s="176">
        <v>613000</v>
      </c>
      <c r="G16" s="195"/>
      <c r="H16" s="25" t="s">
        <v>141</v>
      </c>
      <c r="I16" s="227">
        <f t="shared" ref="I16:N16" si="5">SUM(I17:I26)</f>
        <v>491750</v>
      </c>
      <c r="J16" s="227">
        <f t="shared" si="5"/>
        <v>491750</v>
      </c>
      <c r="K16" s="723">
        <f t="shared" si="5"/>
        <v>379416</v>
      </c>
      <c r="L16" s="483">
        <f t="shared" si="5"/>
        <v>442887</v>
      </c>
      <c r="M16" s="234">
        <f t="shared" si="5"/>
        <v>0</v>
      </c>
      <c r="N16" s="774">
        <f t="shared" si="5"/>
        <v>442887</v>
      </c>
      <c r="O16" s="953">
        <f t="shared" si="1"/>
        <v>90.063446873411294</v>
      </c>
      <c r="P16" s="954">
        <f t="shared" si="2"/>
        <v>116.72860395976976</v>
      </c>
    </row>
    <row r="17" spans="1:17" ht="12.95" customHeight="1">
      <c r="B17" s="10"/>
      <c r="C17" s="11"/>
      <c r="D17" s="11"/>
      <c r="E17" s="163"/>
      <c r="F17" s="177">
        <v>613100</v>
      </c>
      <c r="G17" s="196"/>
      <c r="H17" s="24" t="s">
        <v>82</v>
      </c>
      <c r="I17" s="230">
        <v>5000</v>
      </c>
      <c r="J17" s="230">
        <v>5000</v>
      </c>
      <c r="K17" s="487">
        <v>1664</v>
      </c>
      <c r="L17" s="357">
        <v>4656</v>
      </c>
      <c r="M17" s="235">
        <v>0</v>
      </c>
      <c r="N17" s="813">
        <f t="shared" ref="N17:N26" si="6">SUM(L17:M17)</f>
        <v>4656</v>
      </c>
      <c r="O17" s="955">
        <f t="shared" si="1"/>
        <v>93.12</v>
      </c>
      <c r="P17" s="956">
        <f t="shared" si="2"/>
        <v>279.80769230769226</v>
      </c>
    </row>
    <row r="18" spans="1:17" ht="12.95" customHeight="1">
      <c r="B18" s="10"/>
      <c r="C18" s="11"/>
      <c r="D18" s="11"/>
      <c r="E18" s="163"/>
      <c r="F18" s="177">
        <v>613200</v>
      </c>
      <c r="G18" s="196"/>
      <c r="H18" s="24" t="s">
        <v>83</v>
      </c>
      <c r="I18" s="230">
        <v>98000</v>
      </c>
      <c r="J18" s="230">
        <v>98000</v>
      </c>
      <c r="K18" s="487">
        <v>70599</v>
      </c>
      <c r="L18" s="358">
        <v>82243</v>
      </c>
      <c r="M18" s="231">
        <v>0</v>
      </c>
      <c r="N18" s="813">
        <f t="shared" si="6"/>
        <v>82243</v>
      </c>
      <c r="O18" s="955">
        <f t="shared" si="1"/>
        <v>83.921428571428564</v>
      </c>
      <c r="P18" s="956">
        <f t="shared" si="2"/>
        <v>116.49315146106885</v>
      </c>
    </row>
    <row r="19" spans="1:17" ht="12.95" customHeight="1">
      <c r="B19" s="10"/>
      <c r="C19" s="11"/>
      <c r="D19" s="11"/>
      <c r="E19" s="163"/>
      <c r="F19" s="177">
        <v>613300</v>
      </c>
      <c r="G19" s="196"/>
      <c r="H19" s="428" t="s">
        <v>163</v>
      </c>
      <c r="I19" s="230">
        <v>69500</v>
      </c>
      <c r="J19" s="230">
        <v>69500</v>
      </c>
      <c r="K19" s="487">
        <v>67824</v>
      </c>
      <c r="L19" s="358">
        <v>64640</v>
      </c>
      <c r="M19" s="231">
        <v>0</v>
      </c>
      <c r="N19" s="813">
        <f t="shared" si="6"/>
        <v>64640</v>
      </c>
      <c r="O19" s="955">
        <f t="shared" si="1"/>
        <v>93.007194244604321</v>
      </c>
      <c r="P19" s="956">
        <f t="shared" si="2"/>
        <v>95.305496579381938</v>
      </c>
    </row>
    <row r="20" spans="1:17" ht="12.95" customHeight="1">
      <c r="B20" s="10"/>
      <c r="C20" s="11"/>
      <c r="D20" s="11"/>
      <c r="E20" s="163"/>
      <c r="F20" s="177">
        <v>613400</v>
      </c>
      <c r="G20" s="196"/>
      <c r="H20" s="24" t="s">
        <v>142</v>
      </c>
      <c r="I20" s="230">
        <f>97000+3250</f>
        <v>100250</v>
      </c>
      <c r="J20" s="230">
        <f>97000+3250</f>
        <v>100250</v>
      </c>
      <c r="K20" s="487">
        <v>87176</v>
      </c>
      <c r="L20" s="358">
        <v>96066</v>
      </c>
      <c r="M20" s="231">
        <v>0</v>
      </c>
      <c r="N20" s="813">
        <f t="shared" si="6"/>
        <v>96066</v>
      </c>
      <c r="O20" s="955">
        <f t="shared" si="1"/>
        <v>95.826433915211979</v>
      </c>
      <c r="P20" s="956">
        <f t="shared" si="2"/>
        <v>110.19776085161052</v>
      </c>
    </row>
    <row r="21" spans="1:17" ht="12.95" customHeight="1">
      <c r="B21" s="10"/>
      <c r="C21" s="11"/>
      <c r="D21" s="11"/>
      <c r="E21" s="163"/>
      <c r="F21" s="177">
        <v>613500</v>
      </c>
      <c r="G21" s="196"/>
      <c r="H21" s="24" t="s">
        <v>84</v>
      </c>
      <c r="I21" s="230">
        <v>90000</v>
      </c>
      <c r="J21" s="230">
        <v>90000</v>
      </c>
      <c r="K21" s="487">
        <v>57286</v>
      </c>
      <c r="L21" s="358">
        <v>88603</v>
      </c>
      <c r="M21" s="231">
        <v>0</v>
      </c>
      <c r="N21" s="813">
        <f t="shared" si="6"/>
        <v>88603</v>
      </c>
      <c r="O21" s="955">
        <f t="shared" si="1"/>
        <v>98.447777777777773</v>
      </c>
      <c r="P21" s="956">
        <f t="shared" si="2"/>
        <v>154.66780714310653</v>
      </c>
    </row>
    <row r="22" spans="1:17" ht="12.95" customHeight="1">
      <c r="B22" s="10"/>
      <c r="C22" s="11"/>
      <c r="D22" s="11"/>
      <c r="E22" s="163"/>
      <c r="F22" s="177">
        <v>613600</v>
      </c>
      <c r="G22" s="196"/>
      <c r="H22" s="428" t="s">
        <v>164</v>
      </c>
      <c r="I22" s="230">
        <v>0</v>
      </c>
      <c r="J22" s="230">
        <v>0</v>
      </c>
      <c r="K22" s="487">
        <v>0</v>
      </c>
      <c r="L22" s="358">
        <v>0</v>
      </c>
      <c r="M22" s="231">
        <v>0</v>
      </c>
      <c r="N22" s="813">
        <f t="shared" si="6"/>
        <v>0</v>
      </c>
      <c r="O22" s="955" t="str">
        <f t="shared" si="1"/>
        <v/>
      </c>
      <c r="P22" s="956" t="str">
        <f t="shared" si="2"/>
        <v/>
      </c>
    </row>
    <row r="23" spans="1:17" ht="12.95" customHeight="1">
      <c r="B23" s="10"/>
      <c r="C23" s="11"/>
      <c r="D23" s="11"/>
      <c r="E23" s="163"/>
      <c r="F23" s="177">
        <v>613700</v>
      </c>
      <c r="G23" s="196"/>
      <c r="H23" s="24" t="s">
        <v>85</v>
      </c>
      <c r="I23" s="230">
        <v>40000</v>
      </c>
      <c r="J23" s="230">
        <v>40000</v>
      </c>
      <c r="K23" s="487">
        <v>38442</v>
      </c>
      <c r="L23" s="358">
        <v>31286</v>
      </c>
      <c r="M23" s="231">
        <v>0</v>
      </c>
      <c r="N23" s="813">
        <f t="shared" si="6"/>
        <v>31286</v>
      </c>
      <c r="O23" s="955">
        <f t="shared" si="1"/>
        <v>78.215000000000003</v>
      </c>
      <c r="P23" s="956">
        <f t="shared" si="2"/>
        <v>81.384943551324071</v>
      </c>
    </row>
    <row r="24" spans="1:17" ht="12.95" customHeight="1">
      <c r="B24" s="10"/>
      <c r="C24" s="11"/>
      <c r="D24" s="11"/>
      <c r="E24" s="163"/>
      <c r="F24" s="177">
        <v>613800</v>
      </c>
      <c r="G24" s="196"/>
      <c r="H24" s="24" t="s">
        <v>143</v>
      </c>
      <c r="I24" s="230">
        <v>9000</v>
      </c>
      <c r="J24" s="230">
        <v>9000</v>
      </c>
      <c r="K24" s="487">
        <v>7586</v>
      </c>
      <c r="L24" s="358">
        <v>7176</v>
      </c>
      <c r="M24" s="231">
        <v>0</v>
      </c>
      <c r="N24" s="813">
        <f t="shared" si="6"/>
        <v>7176</v>
      </c>
      <c r="O24" s="955">
        <f t="shared" si="1"/>
        <v>79.733333333333334</v>
      </c>
      <c r="P24" s="956">
        <f t="shared" si="2"/>
        <v>94.595307144740318</v>
      </c>
      <c r="Q24" s="45"/>
    </row>
    <row r="25" spans="1:17" ht="12.95" customHeight="1">
      <c r="B25" s="10"/>
      <c r="C25" s="11"/>
      <c r="D25" s="11"/>
      <c r="E25" s="163"/>
      <c r="F25" s="177">
        <v>613900</v>
      </c>
      <c r="G25" s="196"/>
      <c r="H25" s="24" t="s">
        <v>144</v>
      </c>
      <c r="I25" s="230">
        <v>80000</v>
      </c>
      <c r="J25" s="230">
        <v>80000</v>
      </c>
      <c r="K25" s="487">
        <v>48839</v>
      </c>
      <c r="L25" s="357">
        <v>68217</v>
      </c>
      <c r="M25" s="235">
        <v>0</v>
      </c>
      <c r="N25" s="813">
        <f t="shared" si="6"/>
        <v>68217</v>
      </c>
      <c r="O25" s="955">
        <f t="shared" si="1"/>
        <v>85.271249999999995</v>
      </c>
      <c r="P25" s="956">
        <f t="shared" si="2"/>
        <v>139.67730707016932</v>
      </c>
    </row>
    <row r="26" spans="1:17" ht="12.95" customHeight="1">
      <c r="B26" s="10"/>
      <c r="C26" s="11"/>
      <c r="D26" s="11"/>
      <c r="E26" s="163"/>
      <c r="F26" s="177">
        <v>613900</v>
      </c>
      <c r="G26" s="196"/>
      <c r="H26" s="435" t="s">
        <v>435</v>
      </c>
      <c r="I26" s="230">
        <v>0</v>
      </c>
      <c r="J26" s="230">
        <v>0</v>
      </c>
      <c r="K26" s="487">
        <v>0</v>
      </c>
      <c r="L26" s="359">
        <v>0</v>
      </c>
      <c r="M26" s="233">
        <v>0</v>
      </c>
      <c r="N26" s="813">
        <f t="shared" si="6"/>
        <v>0</v>
      </c>
      <c r="O26" s="955" t="str">
        <f t="shared" si="1"/>
        <v/>
      </c>
      <c r="P26" s="956" t="str">
        <f t="shared" si="2"/>
        <v/>
      </c>
    </row>
    <row r="27" spans="1:17" s="1" customFormat="1" ht="12.95" customHeight="1">
      <c r="A27" s="158"/>
      <c r="B27" s="12"/>
      <c r="C27" s="8"/>
      <c r="D27" s="8"/>
      <c r="E27" s="414"/>
      <c r="F27" s="187"/>
      <c r="G27" s="207"/>
      <c r="H27" s="25"/>
      <c r="I27" s="230"/>
      <c r="J27" s="230"/>
      <c r="K27" s="487"/>
      <c r="L27" s="358"/>
      <c r="M27" s="231"/>
      <c r="N27" s="776"/>
      <c r="O27" s="955" t="str">
        <f t="shared" si="1"/>
        <v/>
      </c>
      <c r="P27" s="956" t="str">
        <f t="shared" si="2"/>
        <v/>
      </c>
    </row>
    <row r="28" spans="1:17" s="1" customFormat="1" ht="12.95" customHeight="1">
      <c r="A28" s="158"/>
      <c r="B28" s="12"/>
      <c r="C28" s="8"/>
      <c r="D28" s="8"/>
      <c r="E28" s="8"/>
      <c r="F28" s="176">
        <v>821000</v>
      </c>
      <c r="G28" s="195"/>
      <c r="H28" s="25" t="s">
        <v>88</v>
      </c>
      <c r="I28" s="227">
        <f t="shared" ref="I28:N28" si="7">SUM(I29:I30)</f>
        <v>12000</v>
      </c>
      <c r="J28" s="227">
        <f t="shared" si="7"/>
        <v>12000</v>
      </c>
      <c r="K28" s="723">
        <f t="shared" si="7"/>
        <v>129993</v>
      </c>
      <c r="L28" s="484">
        <f t="shared" si="7"/>
        <v>11983</v>
      </c>
      <c r="M28" s="232">
        <f t="shared" si="7"/>
        <v>0</v>
      </c>
      <c r="N28" s="774">
        <f t="shared" si="7"/>
        <v>11983</v>
      </c>
      <c r="O28" s="953">
        <f t="shared" si="1"/>
        <v>99.858333333333334</v>
      </c>
      <c r="P28" s="954">
        <f t="shared" si="2"/>
        <v>9.2181886716977068</v>
      </c>
    </row>
    <row r="29" spans="1:17" ht="12.95" customHeight="1">
      <c r="B29" s="10"/>
      <c r="C29" s="11"/>
      <c r="D29" s="11"/>
      <c r="E29" s="163"/>
      <c r="F29" s="177">
        <v>821200</v>
      </c>
      <c r="G29" s="196"/>
      <c r="H29" s="24" t="s">
        <v>89</v>
      </c>
      <c r="I29" s="230">
        <v>0</v>
      </c>
      <c r="J29" s="230">
        <v>0</v>
      </c>
      <c r="K29" s="487">
        <v>0</v>
      </c>
      <c r="L29" s="357">
        <v>0</v>
      </c>
      <c r="M29" s="235">
        <v>0</v>
      </c>
      <c r="N29" s="813">
        <f t="shared" ref="N29:N30" si="8">SUM(L29:M29)</f>
        <v>0</v>
      </c>
      <c r="O29" s="955" t="str">
        <f t="shared" si="1"/>
        <v/>
      </c>
      <c r="P29" s="956" t="str">
        <f t="shared" si="2"/>
        <v/>
      </c>
    </row>
    <row r="30" spans="1:17" ht="12.95" customHeight="1">
      <c r="B30" s="10"/>
      <c r="C30" s="11"/>
      <c r="D30" s="11"/>
      <c r="E30" s="163"/>
      <c r="F30" s="177">
        <v>821300</v>
      </c>
      <c r="G30" s="196"/>
      <c r="H30" s="24" t="s">
        <v>90</v>
      </c>
      <c r="I30" s="230">
        <v>12000</v>
      </c>
      <c r="J30" s="230">
        <v>12000</v>
      </c>
      <c r="K30" s="487">
        <v>129993</v>
      </c>
      <c r="L30" s="357">
        <v>11983</v>
      </c>
      <c r="M30" s="235">
        <v>0</v>
      </c>
      <c r="N30" s="813">
        <f t="shared" si="8"/>
        <v>11983</v>
      </c>
      <c r="O30" s="955">
        <f t="shared" si="1"/>
        <v>99.858333333333334</v>
      </c>
      <c r="P30" s="956">
        <f t="shared" si="2"/>
        <v>9.2181886716977068</v>
      </c>
    </row>
    <row r="31" spans="1:17" ht="12.95" customHeight="1">
      <c r="B31" s="10"/>
      <c r="C31" s="11"/>
      <c r="D31" s="11"/>
      <c r="E31" s="163"/>
      <c r="F31" s="177"/>
      <c r="G31" s="196"/>
      <c r="H31" s="24"/>
      <c r="I31" s="227"/>
      <c r="J31" s="227"/>
      <c r="K31" s="723"/>
      <c r="L31" s="484"/>
      <c r="M31" s="232"/>
      <c r="N31" s="774"/>
      <c r="O31" s="955" t="str">
        <f t="shared" si="1"/>
        <v/>
      </c>
      <c r="P31" s="956" t="str">
        <f t="shared" si="2"/>
        <v/>
      </c>
    </row>
    <row r="32" spans="1:17" s="1" customFormat="1" ht="12.95" customHeight="1">
      <c r="A32" s="158"/>
      <c r="B32" s="12"/>
      <c r="C32" s="8"/>
      <c r="D32" s="8"/>
      <c r="E32" s="8"/>
      <c r="F32" s="176"/>
      <c r="G32" s="195"/>
      <c r="H32" s="25" t="s">
        <v>91</v>
      </c>
      <c r="I32" s="227">
        <v>20</v>
      </c>
      <c r="J32" s="227">
        <v>20</v>
      </c>
      <c r="K32" s="723">
        <v>19</v>
      </c>
      <c r="L32" s="482">
        <v>19</v>
      </c>
      <c r="M32" s="236"/>
      <c r="N32" s="774">
        <v>19</v>
      </c>
      <c r="O32" s="955"/>
      <c r="P32" s="956"/>
    </row>
    <row r="33" spans="1:16" s="1" customFormat="1" ht="12.95" customHeight="1">
      <c r="A33" s="158"/>
      <c r="B33" s="12"/>
      <c r="C33" s="8"/>
      <c r="D33" s="8"/>
      <c r="E33" s="8"/>
      <c r="F33" s="176"/>
      <c r="G33" s="195"/>
      <c r="H33" s="8" t="s">
        <v>105</v>
      </c>
      <c r="I33" s="367">
        <f t="shared" ref="I33:J33" si="9">I8+I13+I16+I28</f>
        <v>962860</v>
      </c>
      <c r="J33" s="165">
        <f t="shared" si="9"/>
        <v>962860</v>
      </c>
      <c r="K33" s="153">
        <f t="shared" ref="K33" si="10">K8+K13+K16+K28</f>
        <v>907718</v>
      </c>
      <c r="L33" s="370">
        <f>L8+L13+L16+L28</f>
        <v>911865</v>
      </c>
      <c r="M33" s="165">
        <f>M8+M13+M16+M28</f>
        <v>0</v>
      </c>
      <c r="N33" s="774">
        <f>N8+N13+N16+N28</f>
        <v>911865</v>
      </c>
      <c r="O33" s="953">
        <f>IF(J33=0,"",N33/J33*100)</f>
        <v>94.703799098518999</v>
      </c>
      <c r="P33" s="954">
        <f t="shared" si="2"/>
        <v>100.45685994989633</v>
      </c>
    </row>
    <row r="34" spans="1:16" s="1" customFormat="1" ht="12.95" customHeight="1">
      <c r="A34" s="158"/>
      <c r="B34" s="12"/>
      <c r="C34" s="8"/>
      <c r="D34" s="8"/>
      <c r="E34" s="8"/>
      <c r="F34" s="176"/>
      <c r="G34" s="195"/>
      <c r="H34" s="8" t="s">
        <v>92</v>
      </c>
      <c r="I34" s="15">
        <f t="shared" ref="I34:K35" si="11">I33</f>
        <v>962860</v>
      </c>
      <c r="J34" s="15">
        <f t="shared" si="11"/>
        <v>962860</v>
      </c>
      <c r="K34" s="153">
        <f t="shared" si="11"/>
        <v>907718</v>
      </c>
      <c r="L34" s="370">
        <f t="shared" ref="L34:N35" si="12">L33</f>
        <v>911865</v>
      </c>
      <c r="M34" s="165">
        <f t="shared" si="12"/>
        <v>0</v>
      </c>
      <c r="N34" s="774">
        <f t="shared" si="12"/>
        <v>911865</v>
      </c>
      <c r="O34" s="953">
        <f>IF(J34=0,"",N34/J34*100)</f>
        <v>94.703799098518999</v>
      </c>
      <c r="P34" s="954">
        <f t="shared" si="2"/>
        <v>100.45685994989633</v>
      </c>
    </row>
    <row r="35" spans="1:16" s="1" customFormat="1" ht="12.95" customHeight="1">
      <c r="A35" s="158"/>
      <c r="B35" s="12"/>
      <c r="C35" s="8"/>
      <c r="D35" s="8"/>
      <c r="E35" s="8"/>
      <c r="F35" s="176"/>
      <c r="G35" s="195"/>
      <c r="H35" s="8" t="s">
        <v>93</v>
      </c>
      <c r="I35" s="15">
        <f t="shared" si="11"/>
        <v>962860</v>
      </c>
      <c r="J35" s="15">
        <f t="shared" si="11"/>
        <v>962860</v>
      </c>
      <c r="K35" s="153">
        <f t="shared" si="11"/>
        <v>907718</v>
      </c>
      <c r="L35" s="370">
        <f t="shared" si="12"/>
        <v>911865</v>
      </c>
      <c r="M35" s="165">
        <f t="shared" si="12"/>
        <v>0</v>
      </c>
      <c r="N35" s="774">
        <f t="shared" si="12"/>
        <v>911865</v>
      </c>
      <c r="O35" s="953">
        <f>IF(J35=0,"",N35/J35*100)</f>
        <v>94.703799098518999</v>
      </c>
      <c r="P35" s="954">
        <f t="shared" si="2"/>
        <v>100.45685994989633</v>
      </c>
    </row>
    <row r="36" spans="1:16" ht="12.95" customHeight="1" thickBot="1">
      <c r="B36" s="16"/>
      <c r="C36" s="17"/>
      <c r="D36" s="17"/>
      <c r="E36" s="17"/>
      <c r="F36" s="178"/>
      <c r="G36" s="197"/>
      <c r="H36" s="17"/>
      <c r="I36" s="17"/>
      <c r="J36" s="17"/>
      <c r="K36" s="355"/>
      <c r="L36" s="16"/>
      <c r="M36" s="17"/>
      <c r="N36" s="800"/>
      <c r="O36" s="957"/>
      <c r="P36" s="958" t="str">
        <f t="shared" si="2"/>
        <v/>
      </c>
    </row>
    <row r="37" spans="1:16" ht="12.95" customHeight="1">
      <c r="F37" s="179"/>
      <c r="G37" s="198"/>
      <c r="L37" s="401"/>
      <c r="N37" s="253"/>
      <c r="P37" s="214" t="str">
        <f t="shared" si="2"/>
        <v/>
      </c>
    </row>
    <row r="38" spans="1:16" ht="12.95" customHeight="1">
      <c r="B38" s="45"/>
      <c r="F38" s="179"/>
      <c r="G38" s="198"/>
      <c r="N38" s="253"/>
      <c r="P38" s="214" t="str">
        <f t="shared" si="2"/>
        <v/>
      </c>
    </row>
    <row r="39" spans="1:16" ht="12.95" customHeight="1">
      <c r="B39" s="45"/>
      <c r="F39" s="179"/>
      <c r="G39" s="198"/>
      <c r="N39" s="253"/>
      <c r="P39" s="214" t="str">
        <f t="shared" si="2"/>
        <v/>
      </c>
    </row>
    <row r="40" spans="1:16" ht="12.95" customHeight="1">
      <c r="B40" s="45"/>
      <c r="F40" s="179"/>
      <c r="G40" s="198"/>
      <c r="N40" s="253"/>
      <c r="P40" s="214" t="str">
        <f t="shared" si="2"/>
        <v/>
      </c>
    </row>
    <row r="41" spans="1:16" ht="12.95" customHeight="1">
      <c r="B41" s="45"/>
      <c r="F41" s="179"/>
      <c r="G41" s="198"/>
      <c r="N41" s="253"/>
      <c r="P41" s="214" t="str">
        <f t="shared" si="2"/>
        <v/>
      </c>
    </row>
    <row r="42" spans="1:16" ht="12.95" customHeight="1">
      <c r="F42" s="179"/>
      <c r="G42" s="198"/>
      <c r="N42" s="253"/>
      <c r="P42" s="214" t="str">
        <f t="shared" si="2"/>
        <v/>
      </c>
    </row>
    <row r="43" spans="1:16" ht="12.95" customHeight="1">
      <c r="F43" s="179"/>
      <c r="G43" s="198"/>
      <c r="N43" s="253"/>
      <c r="P43" s="214" t="str">
        <f t="shared" si="2"/>
        <v/>
      </c>
    </row>
    <row r="44" spans="1:16" ht="12.95" customHeight="1">
      <c r="F44" s="179"/>
      <c r="G44" s="198"/>
      <c r="N44" s="253"/>
      <c r="P44" s="214" t="str">
        <f t="shared" si="2"/>
        <v/>
      </c>
    </row>
    <row r="45" spans="1:16" ht="12.95" customHeight="1">
      <c r="F45" s="179"/>
      <c r="G45" s="198"/>
      <c r="N45" s="253"/>
      <c r="P45" s="214" t="str">
        <f t="shared" si="2"/>
        <v/>
      </c>
    </row>
    <row r="46" spans="1:16" ht="12.95" customHeight="1">
      <c r="F46" s="179"/>
      <c r="G46" s="198"/>
      <c r="N46" s="253"/>
      <c r="P46" s="214" t="str">
        <f t="shared" si="2"/>
        <v/>
      </c>
    </row>
    <row r="47" spans="1:16" ht="12.95" customHeight="1">
      <c r="F47" s="179"/>
      <c r="G47" s="198"/>
      <c r="N47" s="253"/>
      <c r="P47" s="214" t="str">
        <f t="shared" si="2"/>
        <v/>
      </c>
    </row>
    <row r="48" spans="1:16" ht="12.95" customHeight="1">
      <c r="F48" s="179"/>
      <c r="G48" s="198"/>
      <c r="N48" s="253"/>
      <c r="P48" s="214" t="str">
        <f t="shared" si="2"/>
        <v/>
      </c>
    </row>
    <row r="49" spans="6:16" ht="12.95" customHeight="1">
      <c r="F49" s="179"/>
      <c r="G49" s="198"/>
      <c r="N49" s="253"/>
      <c r="P49" s="214" t="str">
        <f t="shared" si="2"/>
        <v/>
      </c>
    </row>
    <row r="50" spans="6:16" ht="12.95" customHeight="1">
      <c r="F50" s="179"/>
      <c r="G50" s="198"/>
      <c r="N50" s="253"/>
      <c r="P50" s="214" t="str">
        <f t="shared" si="2"/>
        <v/>
      </c>
    </row>
    <row r="51" spans="6:16" ht="12.95" customHeight="1">
      <c r="F51" s="179"/>
      <c r="G51" s="198"/>
      <c r="N51" s="253"/>
      <c r="P51" s="214" t="str">
        <f t="shared" si="2"/>
        <v/>
      </c>
    </row>
    <row r="52" spans="6:16" ht="12.95" customHeight="1">
      <c r="F52" s="179"/>
      <c r="G52" s="198"/>
      <c r="N52" s="253"/>
      <c r="P52" s="214" t="str">
        <f t="shared" si="2"/>
        <v/>
      </c>
    </row>
    <row r="53" spans="6:16" ht="12.95" customHeight="1">
      <c r="F53" s="179"/>
      <c r="G53" s="198"/>
      <c r="N53" s="253"/>
      <c r="P53" s="214" t="str">
        <f t="shared" si="2"/>
        <v/>
      </c>
    </row>
    <row r="54" spans="6:16" ht="12.95" customHeight="1">
      <c r="F54" s="179"/>
      <c r="G54" s="198"/>
      <c r="N54" s="253"/>
    </row>
    <row r="55" spans="6:16" ht="12.95" customHeight="1">
      <c r="F55" s="179"/>
      <c r="G55" s="198"/>
      <c r="N55" s="253"/>
    </row>
    <row r="56" spans="6:16" ht="12.95" customHeight="1">
      <c r="F56" s="179"/>
      <c r="G56" s="198"/>
      <c r="N56" s="253"/>
    </row>
    <row r="57" spans="6:16" ht="12.95" customHeight="1">
      <c r="F57" s="179"/>
      <c r="G57" s="198"/>
      <c r="N57" s="253"/>
    </row>
    <row r="58" spans="6:16" ht="12.95" customHeight="1">
      <c r="F58" s="179"/>
      <c r="G58" s="198"/>
      <c r="N58" s="253"/>
    </row>
    <row r="59" spans="6:16" ht="12.95" customHeight="1">
      <c r="F59" s="179"/>
      <c r="G59" s="198"/>
      <c r="N59" s="253"/>
    </row>
    <row r="60" spans="6:16" ht="17.100000000000001" customHeight="1">
      <c r="F60" s="179"/>
      <c r="G60" s="198"/>
      <c r="N60" s="253"/>
    </row>
    <row r="61" spans="6:16" ht="14.25">
      <c r="F61" s="179"/>
      <c r="G61" s="198"/>
      <c r="N61" s="253"/>
    </row>
    <row r="62" spans="6:16" ht="14.25">
      <c r="F62" s="179"/>
      <c r="G62" s="198"/>
      <c r="N62" s="253"/>
    </row>
    <row r="63" spans="6:16" ht="14.25">
      <c r="F63" s="179"/>
      <c r="G63" s="198"/>
      <c r="N63" s="253"/>
    </row>
    <row r="64" spans="6:16" ht="14.25">
      <c r="F64" s="179"/>
      <c r="G64" s="198"/>
      <c r="N64" s="253"/>
    </row>
    <row r="65" spans="6:14" ht="14.25">
      <c r="F65" s="179"/>
      <c r="G65" s="198"/>
      <c r="N65" s="253"/>
    </row>
    <row r="66" spans="6:14" ht="14.25">
      <c r="F66" s="179"/>
      <c r="G66" s="198"/>
      <c r="N66" s="253"/>
    </row>
    <row r="67" spans="6:14" ht="14.25">
      <c r="F67" s="179"/>
      <c r="G67" s="198"/>
      <c r="N67" s="253"/>
    </row>
    <row r="68" spans="6:14" ht="14.25">
      <c r="F68" s="179"/>
      <c r="G68" s="198"/>
      <c r="N68" s="253"/>
    </row>
    <row r="69" spans="6:14" ht="14.25">
      <c r="F69" s="179"/>
      <c r="G69" s="198"/>
      <c r="N69" s="253"/>
    </row>
    <row r="70" spans="6:14" ht="14.25">
      <c r="F70" s="179"/>
      <c r="G70" s="198"/>
      <c r="N70" s="253"/>
    </row>
    <row r="71" spans="6:14" ht="14.25">
      <c r="F71" s="179"/>
      <c r="G71" s="198"/>
      <c r="N71" s="253"/>
    </row>
    <row r="72" spans="6:14" ht="14.25">
      <c r="F72" s="179"/>
      <c r="G72" s="198"/>
      <c r="N72" s="253"/>
    </row>
    <row r="73" spans="6:14" ht="14.25">
      <c r="F73" s="179"/>
      <c r="G73" s="198"/>
      <c r="N73" s="253"/>
    </row>
    <row r="74" spans="6:14" ht="14.25">
      <c r="F74" s="179"/>
      <c r="G74" s="179"/>
      <c r="N74" s="253"/>
    </row>
    <row r="75" spans="6:14" ht="14.25">
      <c r="F75" s="179"/>
      <c r="G75" s="179"/>
      <c r="N75" s="253"/>
    </row>
    <row r="76" spans="6:14" ht="14.25">
      <c r="F76" s="179"/>
      <c r="G76" s="179"/>
      <c r="N76" s="253"/>
    </row>
    <row r="77" spans="6:14" ht="14.25">
      <c r="F77" s="179"/>
      <c r="G77" s="179"/>
      <c r="N77" s="253"/>
    </row>
    <row r="78" spans="6:14" ht="14.25">
      <c r="F78" s="179"/>
      <c r="G78" s="179"/>
      <c r="N78" s="253"/>
    </row>
    <row r="79" spans="6:14" ht="14.25">
      <c r="F79" s="179"/>
      <c r="G79" s="179"/>
      <c r="N79" s="253"/>
    </row>
    <row r="80" spans="6:14" ht="14.25">
      <c r="F80" s="179"/>
      <c r="G80" s="179"/>
      <c r="N80" s="253"/>
    </row>
    <row r="81" spans="6:14" ht="14.25">
      <c r="F81" s="179"/>
      <c r="G81" s="179"/>
      <c r="N81" s="253"/>
    </row>
    <row r="82" spans="6:14" ht="14.25">
      <c r="F82" s="179"/>
      <c r="G82" s="179"/>
      <c r="N82" s="253"/>
    </row>
    <row r="83" spans="6:14" ht="14.25">
      <c r="F83" s="179"/>
      <c r="G83" s="179"/>
      <c r="N83" s="253"/>
    </row>
    <row r="84" spans="6:14" ht="14.25">
      <c r="F84" s="179"/>
      <c r="G84" s="179"/>
      <c r="N84" s="253"/>
    </row>
    <row r="85" spans="6:14" ht="14.25">
      <c r="F85" s="179"/>
      <c r="G85" s="179"/>
      <c r="N85" s="253"/>
    </row>
    <row r="86" spans="6:14" ht="14.25">
      <c r="F86" s="179"/>
      <c r="G86" s="179"/>
      <c r="N86" s="253"/>
    </row>
    <row r="87" spans="6:14" ht="14.25">
      <c r="F87" s="179"/>
      <c r="G87" s="179"/>
      <c r="N87" s="253"/>
    </row>
    <row r="88" spans="6:14" ht="14.25">
      <c r="F88" s="179"/>
      <c r="G88" s="179"/>
      <c r="N88" s="253"/>
    </row>
    <row r="89" spans="6:14" ht="14.25">
      <c r="F89" s="179"/>
      <c r="G89" s="179"/>
      <c r="N89" s="253"/>
    </row>
    <row r="90" spans="6:14" ht="14.25">
      <c r="F90" s="179"/>
      <c r="G90" s="179"/>
      <c r="N90" s="253"/>
    </row>
    <row r="91" spans="6:14">
      <c r="G91" s="179"/>
    </row>
    <row r="92" spans="6:14">
      <c r="G92" s="179"/>
    </row>
    <row r="93" spans="6:14">
      <c r="G93" s="179"/>
    </row>
    <row r="94" spans="6:14">
      <c r="G94" s="179"/>
    </row>
    <row r="95" spans="6:14">
      <c r="G95" s="179"/>
    </row>
    <row r="96" spans="6:14">
      <c r="G96" s="179"/>
    </row>
  </sheetData>
  <mergeCells count="15">
    <mergeCell ref="P4:P5"/>
    <mergeCell ref="B2:P2"/>
    <mergeCell ref="K4:K5"/>
    <mergeCell ref="O4:O5"/>
    <mergeCell ref="H4:H5"/>
    <mergeCell ref="H3:I3"/>
    <mergeCell ref="L4:N4"/>
    <mergeCell ref="B4:B5"/>
    <mergeCell ref="C4:C5"/>
    <mergeCell ref="D4:D5"/>
    <mergeCell ref="G4:G5"/>
    <mergeCell ref="F4:F5"/>
    <mergeCell ref="I4:I5"/>
    <mergeCell ref="J4:J5"/>
    <mergeCell ref="E4:E5"/>
  </mergeCells>
  <phoneticPr fontId="2" type="noConversion"/>
  <pageMargins left="0.78740157480314965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2"/>
  <dimension ref="A1:R97"/>
  <sheetViews>
    <sheetView zoomScaleNormal="100" workbookViewId="0">
      <selection activeCell="N34" sqref="N34"/>
    </sheetView>
  </sheetViews>
  <sheetFormatPr defaultColWidth="9.140625" defaultRowHeight="12.75"/>
  <cols>
    <col min="1" max="1" width="4.42578125" style="161" customWidth="1"/>
    <col min="2" max="2" width="4.7109375" style="9" customWidth="1"/>
    <col min="3" max="3" width="5.140625" style="9" customWidth="1"/>
    <col min="4" max="4" width="5" style="9" customWidth="1"/>
    <col min="5" max="5" width="5" style="161" customWidth="1"/>
    <col min="6" max="6" width="8.7109375" style="18" customWidth="1"/>
    <col min="7" max="7" width="8.7109375" style="166" customWidth="1"/>
    <col min="8" max="8" width="50.7109375" style="9" customWidth="1"/>
    <col min="9" max="10" width="14.7109375" style="9" customWidth="1"/>
    <col min="11" max="11" width="12.5703125" style="161" customWidth="1"/>
    <col min="12" max="13" width="14.7109375" style="161" customWidth="1"/>
    <col min="14" max="14" width="15.7109375" style="9" customWidth="1"/>
    <col min="15" max="16" width="7.7109375" style="214" customWidth="1"/>
    <col min="17" max="17" width="9.140625" style="9"/>
    <col min="18" max="18" width="9.5703125" style="9" bestFit="1" customWidth="1"/>
    <col min="19" max="16384" width="9.140625" style="9"/>
  </cols>
  <sheetData>
    <row r="1" spans="1:18" ht="13.5" thickBot="1"/>
    <row r="2" spans="1:18" s="79" customFormat="1" ht="20.100000000000001" customHeight="1" thickTop="1" thickBot="1">
      <c r="A2" s="244"/>
      <c r="B2" s="1034" t="s">
        <v>116</v>
      </c>
      <c r="C2" s="1035"/>
      <c r="D2" s="1035"/>
      <c r="E2" s="1035"/>
      <c r="F2" s="1035"/>
      <c r="G2" s="1035"/>
      <c r="H2" s="1035"/>
      <c r="I2" s="1035"/>
      <c r="J2" s="1035"/>
      <c r="K2" s="1035"/>
      <c r="L2" s="1035"/>
      <c r="M2" s="1035"/>
      <c r="N2" s="1035"/>
      <c r="O2" s="1057"/>
      <c r="P2" s="1036"/>
      <c r="R2" s="244"/>
    </row>
    <row r="3" spans="1:18" s="1" customFormat="1" ht="8.1" customHeight="1" thickTop="1" thickBot="1">
      <c r="A3" s="158"/>
      <c r="E3" s="158"/>
      <c r="F3" s="2"/>
      <c r="G3" s="159"/>
      <c r="H3" s="1039"/>
      <c r="I3" s="1039"/>
      <c r="J3" s="139"/>
      <c r="K3" s="721"/>
      <c r="L3" s="74"/>
      <c r="M3" s="74"/>
      <c r="N3" s="74"/>
      <c r="O3" s="208"/>
      <c r="P3" s="208"/>
    </row>
    <row r="4" spans="1:18" s="1" customFormat="1" ht="39" customHeight="1">
      <c r="A4" s="158"/>
      <c r="B4" s="1043" t="s">
        <v>76</v>
      </c>
      <c r="C4" s="1045" t="s">
        <v>77</v>
      </c>
      <c r="D4" s="1047" t="s">
        <v>102</v>
      </c>
      <c r="E4" s="1062" t="s">
        <v>692</v>
      </c>
      <c r="F4" s="1058" t="s">
        <v>466</v>
      </c>
      <c r="G4" s="1048" t="s">
        <v>493</v>
      </c>
      <c r="H4" s="1050" t="s">
        <v>78</v>
      </c>
      <c r="I4" s="1059" t="s">
        <v>901</v>
      </c>
      <c r="J4" s="1068" t="s">
        <v>813</v>
      </c>
      <c r="K4" s="1037" t="s">
        <v>906</v>
      </c>
      <c r="L4" s="1040" t="s">
        <v>905</v>
      </c>
      <c r="M4" s="1041"/>
      <c r="N4" s="1042"/>
      <c r="O4" s="1054" t="s">
        <v>945</v>
      </c>
      <c r="P4" s="1032" t="s">
        <v>946</v>
      </c>
      <c r="R4" s="61"/>
    </row>
    <row r="5" spans="1:18" s="158" customFormat="1" ht="27" customHeight="1">
      <c r="B5" s="1044"/>
      <c r="C5" s="1046"/>
      <c r="D5" s="1046"/>
      <c r="E5" s="1049"/>
      <c r="F5" s="1051"/>
      <c r="G5" s="1049"/>
      <c r="H5" s="1051"/>
      <c r="I5" s="1051"/>
      <c r="J5" s="1051"/>
      <c r="K5" s="1038"/>
      <c r="L5" s="373" t="s">
        <v>526</v>
      </c>
      <c r="M5" s="242" t="s">
        <v>527</v>
      </c>
      <c r="N5" s="764" t="s">
        <v>319</v>
      </c>
      <c r="O5" s="1055"/>
      <c r="P5" s="1033"/>
    </row>
    <row r="6" spans="1:18" s="2" customFormat="1" ht="12.95" customHeight="1">
      <c r="A6" s="159"/>
      <c r="B6" s="328">
        <v>1</v>
      </c>
      <c r="C6" s="195">
        <v>2</v>
      </c>
      <c r="D6" s="195">
        <v>3</v>
      </c>
      <c r="E6" s="195">
        <v>4</v>
      </c>
      <c r="F6" s="195">
        <v>5</v>
      </c>
      <c r="G6" s="195">
        <v>6</v>
      </c>
      <c r="H6" s="195">
        <v>7</v>
      </c>
      <c r="I6" s="195">
        <v>8</v>
      </c>
      <c r="J6" s="195">
        <v>9</v>
      </c>
      <c r="K6" s="188">
        <v>10</v>
      </c>
      <c r="L6" s="328">
        <v>11</v>
      </c>
      <c r="M6" s="195">
        <v>12</v>
      </c>
      <c r="N6" s="810" t="s">
        <v>694</v>
      </c>
      <c r="O6" s="929" t="s">
        <v>814</v>
      </c>
      <c r="P6" s="930" t="s">
        <v>944</v>
      </c>
    </row>
    <row r="7" spans="1:18" s="2" customFormat="1" ht="12.95" customHeight="1">
      <c r="A7" s="159"/>
      <c r="B7" s="6" t="s">
        <v>117</v>
      </c>
      <c r="C7" s="7" t="s">
        <v>79</v>
      </c>
      <c r="D7" s="7" t="s">
        <v>80</v>
      </c>
      <c r="E7" s="415" t="s">
        <v>696</v>
      </c>
      <c r="F7" s="5"/>
      <c r="G7" s="160"/>
      <c r="H7" s="5"/>
      <c r="I7" s="366"/>
      <c r="J7" s="160"/>
      <c r="K7" s="173"/>
      <c r="L7" s="4"/>
      <c r="M7" s="160"/>
      <c r="N7" s="811"/>
      <c r="O7" s="951"/>
      <c r="P7" s="952"/>
    </row>
    <row r="8" spans="1:18" s="1" customFormat="1" ht="12.95" customHeight="1">
      <c r="A8" s="158"/>
      <c r="B8" s="12"/>
      <c r="C8" s="8"/>
      <c r="D8" s="8"/>
      <c r="E8" s="8"/>
      <c r="F8" s="176">
        <v>611000</v>
      </c>
      <c r="G8" s="195"/>
      <c r="H8" s="25" t="s">
        <v>140</v>
      </c>
      <c r="I8" s="236">
        <f t="shared" ref="I8:N8" si="0">SUM(I9:I12)</f>
        <v>6737200</v>
      </c>
      <c r="J8" s="236">
        <f t="shared" si="0"/>
        <v>6718550</v>
      </c>
      <c r="K8" s="226">
        <f t="shared" si="0"/>
        <v>5734092</v>
      </c>
      <c r="L8" s="482">
        <f t="shared" si="0"/>
        <v>6700578</v>
      </c>
      <c r="M8" s="236">
        <f t="shared" si="0"/>
        <v>0</v>
      </c>
      <c r="N8" s="812">
        <f t="shared" si="0"/>
        <v>6700578</v>
      </c>
      <c r="O8" s="953">
        <f t="shared" ref="O8:O32" si="1">IF(J8=0,"",N8/J8*100)</f>
        <v>99.732501804704881</v>
      </c>
      <c r="P8" s="954">
        <f>IF(K8=0,"",N8/K8*100)</f>
        <v>116.85508359475223</v>
      </c>
      <c r="R8" s="52"/>
    </row>
    <row r="9" spans="1:18" ht="12.95" customHeight="1">
      <c r="B9" s="10"/>
      <c r="C9" s="11"/>
      <c r="D9" s="11"/>
      <c r="E9" s="163"/>
      <c r="F9" s="177">
        <v>611100</v>
      </c>
      <c r="G9" s="196"/>
      <c r="H9" s="428" t="s">
        <v>161</v>
      </c>
      <c r="I9" s="235">
        <f>5539000+12100+7340</f>
        <v>5558440</v>
      </c>
      <c r="J9" s="235">
        <v>5531790</v>
      </c>
      <c r="K9" s="225">
        <v>4803822</v>
      </c>
      <c r="L9" s="357">
        <v>5514473</v>
      </c>
      <c r="M9" s="235">
        <v>0</v>
      </c>
      <c r="N9" s="813">
        <f>SUM(L9:M9)</f>
        <v>5514473</v>
      </c>
      <c r="O9" s="955">
        <f t="shared" si="1"/>
        <v>99.686954855480778</v>
      </c>
      <c r="P9" s="956">
        <f t="shared" ref="P9:P53" si="2">IF(K9=0,"",N9/K9*100)</f>
        <v>114.79344988219798</v>
      </c>
      <c r="Q9" s="59"/>
    </row>
    <row r="10" spans="1:18" ht="12.95" customHeight="1">
      <c r="B10" s="10"/>
      <c r="C10" s="11"/>
      <c r="D10" s="11"/>
      <c r="E10" s="163"/>
      <c r="F10" s="177">
        <v>611200</v>
      </c>
      <c r="G10" s="196"/>
      <c r="H10" s="24" t="s">
        <v>162</v>
      </c>
      <c r="I10" s="235">
        <f>1014200+1050+10910+218*700</f>
        <v>1178760</v>
      </c>
      <c r="J10" s="235">
        <v>1186760</v>
      </c>
      <c r="K10" s="225">
        <v>930270</v>
      </c>
      <c r="L10" s="357">
        <v>1186105</v>
      </c>
      <c r="M10" s="235">
        <v>0</v>
      </c>
      <c r="N10" s="813">
        <f t="shared" ref="N10:N11" si="3">SUM(L10:M10)</f>
        <v>1186105</v>
      </c>
      <c r="O10" s="955">
        <f t="shared" si="1"/>
        <v>99.944807711753</v>
      </c>
      <c r="P10" s="956">
        <f t="shared" si="2"/>
        <v>127.50115557848795</v>
      </c>
      <c r="Q10" s="60"/>
    </row>
    <row r="11" spans="1:18" ht="12.95" customHeight="1">
      <c r="B11" s="10"/>
      <c r="C11" s="11"/>
      <c r="D11" s="11"/>
      <c r="E11" s="163"/>
      <c r="F11" s="177">
        <v>611200</v>
      </c>
      <c r="G11" s="196"/>
      <c r="H11" s="435" t="s">
        <v>434</v>
      </c>
      <c r="I11" s="235">
        <v>0</v>
      </c>
      <c r="J11" s="235">
        <v>0</v>
      </c>
      <c r="K11" s="225">
        <v>0</v>
      </c>
      <c r="L11" s="357">
        <v>0</v>
      </c>
      <c r="M11" s="235">
        <v>0</v>
      </c>
      <c r="N11" s="813">
        <f t="shared" si="3"/>
        <v>0</v>
      </c>
      <c r="O11" s="955" t="str">
        <f t="shared" si="1"/>
        <v/>
      </c>
      <c r="P11" s="956" t="str">
        <f t="shared" si="2"/>
        <v/>
      </c>
      <c r="R11" s="50"/>
    </row>
    <row r="12" spans="1:18" ht="12.95" customHeight="1">
      <c r="B12" s="10"/>
      <c r="C12" s="11"/>
      <c r="D12" s="11"/>
      <c r="E12" s="163"/>
      <c r="F12" s="177"/>
      <c r="G12" s="196"/>
      <c r="H12" s="428"/>
      <c r="I12" s="235"/>
      <c r="J12" s="235"/>
      <c r="K12" s="225"/>
      <c r="L12" s="357"/>
      <c r="M12" s="235"/>
      <c r="N12" s="813"/>
      <c r="O12" s="955" t="str">
        <f t="shared" si="1"/>
        <v/>
      </c>
      <c r="P12" s="956" t="str">
        <f t="shared" si="2"/>
        <v/>
      </c>
      <c r="Q12" s="60"/>
    </row>
    <row r="13" spans="1:18" s="1" customFormat="1" ht="12.95" customHeight="1">
      <c r="A13" s="158"/>
      <c r="B13" s="12"/>
      <c r="C13" s="8"/>
      <c r="D13" s="8"/>
      <c r="E13" s="8"/>
      <c r="F13" s="176">
        <v>612000</v>
      </c>
      <c r="G13" s="195"/>
      <c r="H13" s="25" t="s">
        <v>139</v>
      </c>
      <c r="I13" s="236">
        <f t="shared" ref="I13:J13" si="4">SUM(I14:I15)</f>
        <v>941300</v>
      </c>
      <c r="J13" s="236">
        <f t="shared" si="4"/>
        <v>941300</v>
      </c>
      <c r="K13" s="226">
        <f t="shared" ref="K13" si="5">SUM(K14:K15)</f>
        <v>938271</v>
      </c>
      <c r="L13" s="482">
        <f t="shared" ref="L13:N13" si="6">SUM(L14:L15)</f>
        <v>930986</v>
      </c>
      <c r="M13" s="236">
        <f t="shared" si="6"/>
        <v>0</v>
      </c>
      <c r="N13" s="812">
        <f t="shared" si="6"/>
        <v>930986</v>
      </c>
      <c r="O13" s="953">
        <f t="shared" si="1"/>
        <v>98.904281313077661</v>
      </c>
      <c r="P13" s="954">
        <f t="shared" si="2"/>
        <v>99.223571867829236</v>
      </c>
      <c r="Q13" s="61"/>
    </row>
    <row r="14" spans="1:18" ht="12.95" customHeight="1">
      <c r="B14" s="10"/>
      <c r="C14" s="11"/>
      <c r="D14" s="11"/>
      <c r="E14" s="163"/>
      <c r="F14" s="177">
        <v>612100</v>
      </c>
      <c r="G14" s="196"/>
      <c r="H14" s="430" t="s">
        <v>81</v>
      </c>
      <c r="I14" s="235">
        <f>864300+2000</f>
        <v>866300</v>
      </c>
      <c r="J14" s="235">
        <f>864300+2000</f>
        <v>866300</v>
      </c>
      <c r="K14" s="225">
        <f>938271-199422</f>
        <v>738849</v>
      </c>
      <c r="L14" s="357">
        <v>856209</v>
      </c>
      <c r="M14" s="235">
        <v>0</v>
      </c>
      <c r="N14" s="813">
        <f>SUM(L14:M14)</f>
        <v>856209</v>
      </c>
      <c r="O14" s="955">
        <f t="shared" si="1"/>
        <v>98.835161029666395</v>
      </c>
      <c r="P14" s="956">
        <f t="shared" si="2"/>
        <v>115.88416577676901</v>
      </c>
      <c r="Q14" s="59"/>
    </row>
    <row r="15" spans="1:18" s="161" customFormat="1" ht="12.95" customHeight="1">
      <c r="B15" s="162"/>
      <c r="C15" s="163"/>
      <c r="D15" s="163"/>
      <c r="E15" s="163"/>
      <c r="F15" s="177">
        <v>612100</v>
      </c>
      <c r="G15" s="199" t="s">
        <v>810</v>
      </c>
      <c r="H15" s="438" t="s">
        <v>762</v>
      </c>
      <c r="I15" s="235">
        <v>75000</v>
      </c>
      <c r="J15" s="235">
        <v>75000</v>
      </c>
      <c r="K15" s="225">
        <v>199422</v>
      </c>
      <c r="L15" s="357">
        <v>74777</v>
      </c>
      <c r="M15" s="235">
        <v>0</v>
      </c>
      <c r="N15" s="813">
        <f>SUM(L15:M15)</f>
        <v>74777</v>
      </c>
      <c r="O15" s="955">
        <f t="shared" ref="O15" si="7">IF(J15=0,"",N15/J15*100)</f>
        <v>99.702666666666659</v>
      </c>
      <c r="P15" s="956">
        <f t="shared" si="2"/>
        <v>37.49686594257404</v>
      </c>
      <c r="Q15" s="59"/>
    </row>
    <row r="16" spans="1:18" ht="12.95" customHeight="1">
      <c r="B16" s="10"/>
      <c r="C16" s="11"/>
      <c r="D16" s="11"/>
      <c r="E16" s="163"/>
      <c r="F16" s="177"/>
      <c r="G16" s="196"/>
      <c r="H16" s="428"/>
      <c r="I16" s="235"/>
      <c r="J16" s="235"/>
      <c r="K16" s="225"/>
      <c r="L16" s="357"/>
      <c r="M16" s="235"/>
      <c r="N16" s="776"/>
      <c r="O16" s="955" t="str">
        <f t="shared" si="1"/>
        <v/>
      </c>
      <c r="P16" s="956" t="str">
        <f t="shared" si="2"/>
        <v/>
      </c>
      <c r="Q16" s="60"/>
    </row>
    <row r="17" spans="1:17" s="1" customFormat="1" ht="12.95" customHeight="1">
      <c r="A17" s="158"/>
      <c r="B17" s="12"/>
      <c r="C17" s="8"/>
      <c r="D17" s="8"/>
      <c r="E17" s="8"/>
      <c r="F17" s="176">
        <v>613000</v>
      </c>
      <c r="G17" s="195"/>
      <c r="H17" s="25" t="s">
        <v>141</v>
      </c>
      <c r="I17" s="236">
        <f t="shared" ref="I17:J17" si="8">SUM(I18:I27)</f>
        <v>939000</v>
      </c>
      <c r="J17" s="236">
        <f t="shared" si="8"/>
        <v>939000</v>
      </c>
      <c r="K17" s="226">
        <f>SUM(K18:K27)</f>
        <v>756702</v>
      </c>
      <c r="L17" s="482">
        <f t="shared" ref="L17:N17" si="9">SUM(L18:L27)</f>
        <v>871509</v>
      </c>
      <c r="M17" s="236">
        <f t="shared" si="9"/>
        <v>0</v>
      </c>
      <c r="N17" s="774">
        <f t="shared" si="9"/>
        <v>871509</v>
      </c>
      <c r="O17" s="953">
        <f t="shared" si="1"/>
        <v>92.81246006389776</v>
      </c>
      <c r="P17" s="954">
        <f t="shared" si="2"/>
        <v>115.17202280422147</v>
      </c>
    </row>
    <row r="18" spans="1:17" ht="12.95" customHeight="1">
      <c r="B18" s="10"/>
      <c r="C18" s="11"/>
      <c r="D18" s="11"/>
      <c r="E18" s="163"/>
      <c r="F18" s="177">
        <v>613100</v>
      </c>
      <c r="G18" s="196"/>
      <c r="H18" s="24" t="s">
        <v>82</v>
      </c>
      <c r="I18" s="235">
        <v>12000</v>
      </c>
      <c r="J18" s="235">
        <v>12000</v>
      </c>
      <c r="K18" s="225">
        <v>10808</v>
      </c>
      <c r="L18" s="357">
        <v>10216</v>
      </c>
      <c r="M18" s="235">
        <v>0</v>
      </c>
      <c r="N18" s="813">
        <f t="shared" ref="N18:N27" si="10">SUM(L18:M18)</f>
        <v>10216</v>
      </c>
      <c r="O18" s="955">
        <f t="shared" si="1"/>
        <v>85.13333333333334</v>
      </c>
      <c r="P18" s="956">
        <f t="shared" si="2"/>
        <v>94.52257586972614</v>
      </c>
    </row>
    <row r="19" spans="1:17" ht="12.95" customHeight="1">
      <c r="B19" s="10"/>
      <c r="C19" s="11"/>
      <c r="D19" s="11"/>
      <c r="E19" s="163"/>
      <c r="F19" s="177">
        <v>613200</v>
      </c>
      <c r="G19" s="196"/>
      <c r="H19" s="24" t="s">
        <v>83</v>
      </c>
      <c r="I19" s="235">
        <v>80000</v>
      </c>
      <c r="J19" s="235">
        <v>80000</v>
      </c>
      <c r="K19" s="225">
        <v>77989</v>
      </c>
      <c r="L19" s="357">
        <v>77960</v>
      </c>
      <c r="M19" s="235">
        <v>0</v>
      </c>
      <c r="N19" s="813">
        <f t="shared" si="10"/>
        <v>77960</v>
      </c>
      <c r="O19" s="955">
        <f t="shared" si="1"/>
        <v>97.45</v>
      </c>
      <c r="P19" s="956">
        <f t="shared" si="2"/>
        <v>99.962815268819966</v>
      </c>
    </row>
    <row r="20" spans="1:17" ht="12.95" customHeight="1">
      <c r="B20" s="10"/>
      <c r="C20" s="11"/>
      <c r="D20" s="11"/>
      <c r="E20" s="163"/>
      <c r="F20" s="177">
        <v>613300</v>
      </c>
      <c r="G20" s="196"/>
      <c r="H20" s="428" t="s">
        <v>163</v>
      </c>
      <c r="I20" s="235">
        <v>85000</v>
      </c>
      <c r="J20" s="235">
        <v>85000</v>
      </c>
      <c r="K20" s="225">
        <v>83547</v>
      </c>
      <c r="L20" s="357">
        <v>84166</v>
      </c>
      <c r="M20" s="235">
        <v>0</v>
      </c>
      <c r="N20" s="813">
        <f t="shared" si="10"/>
        <v>84166</v>
      </c>
      <c r="O20" s="955">
        <f t="shared" si="1"/>
        <v>99.018823529411776</v>
      </c>
      <c r="P20" s="956">
        <f t="shared" si="2"/>
        <v>100.74090033154989</v>
      </c>
    </row>
    <row r="21" spans="1:17" ht="12.95" customHeight="1">
      <c r="B21" s="10"/>
      <c r="C21" s="11"/>
      <c r="D21" s="11"/>
      <c r="E21" s="163"/>
      <c r="F21" s="177">
        <v>613400</v>
      </c>
      <c r="G21" s="196"/>
      <c r="H21" s="24" t="s">
        <v>142</v>
      </c>
      <c r="I21" s="235">
        <v>210000</v>
      </c>
      <c r="J21" s="235">
        <v>210000</v>
      </c>
      <c r="K21" s="225">
        <v>199738</v>
      </c>
      <c r="L21" s="357">
        <v>170741</v>
      </c>
      <c r="M21" s="235">
        <v>0</v>
      </c>
      <c r="N21" s="813">
        <f t="shared" si="10"/>
        <v>170741</v>
      </c>
      <c r="O21" s="955">
        <f t="shared" si="1"/>
        <v>81.305238095238096</v>
      </c>
      <c r="P21" s="956">
        <f t="shared" si="2"/>
        <v>85.482482051487452</v>
      </c>
    </row>
    <row r="22" spans="1:17" ht="12.95" customHeight="1">
      <c r="B22" s="10"/>
      <c r="C22" s="11"/>
      <c r="D22" s="11"/>
      <c r="E22" s="163"/>
      <c r="F22" s="177">
        <v>613500</v>
      </c>
      <c r="G22" s="196"/>
      <c r="H22" s="24" t="s">
        <v>84</v>
      </c>
      <c r="I22" s="235">
        <v>160000</v>
      </c>
      <c r="J22" s="235">
        <v>160000</v>
      </c>
      <c r="K22" s="225">
        <v>112676</v>
      </c>
      <c r="L22" s="357">
        <v>157613</v>
      </c>
      <c r="M22" s="235">
        <v>0</v>
      </c>
      <c r="N22" s="813">
        <f t="shared" si="10"/>
        <v>157613</v>
      </c>
      <c r="O22" s="955">
        <f t="shared" si="1"/>
        <v>98.508125000000007</v>
      </c>
      <c r="P22" s="956">
        <f t="shared" si="2"/>
        <v>139.88160744080372</v>
      </c>
    </row>
    <row r="23" spans="1:17" ht="12.95" customHeight="1">
      <c r="B23" s="10"/>
      <c r="C23" s="11"/>
      <c r="D23" s="11"/>
      <c r="E23" s="163"/>
      <c r="F23" s="177">
        <v>613600</v>
      </c>
      <c r="G23" s="196"/>
      <c r="H23" s="428" t="s">
        <v>164</v>
      </c>
      <c r="I23" s="235">
        <v>27000</v>
      </c>
      <c r="J23" s="235">
        <v>27000</v>
      </c>
      <c r="K23" s="225">
        <v>27000</v>
      </c>
      <c r="L23" s="357">
        <v>27000</v>
      </c>
      <c r="M23" s="235">
        <v>0</v>
      </c>
      <c r="N23" s="813">
        <f t="shared" si="10"/>
        <v>27000</v>
      </c>
      <c r="O23" s="955">
        <f t="shared" si="1"/>
        <v>100</v>
      </c>
      <c r="P23" s="956">
        <f t="shared" si="2"/>
        <v>100</v>
      </c>
    </row>
    <row r="24" spans="1:17" ht="12.95" customHeight="1">
      <c r="B24" s="10"/>
      <c r="C24" s="11"/>
      <c r="D24" s="11"/>
      <c r="E24" s="163"/>
      <c r="F24" s="177">
        <v>613700</v>
      </c>
      <c r="G24" s="196"/>
      <c r="H24" s="24" t="s">
        <v>85</v>
      </c>
      <c r="I24" s="235">
        <v>95000</v>
      </c>
      <c r="J24" s="235">
        <v>95000</v>
      </c>
      <c r="K24" s="225">
        <v>97440</v>
      </c>
      <c r="L24" s="357">
        <v>87908</v>
      </c>
      <c r="M24" s="235">
        <v>0</v>
      </c>
      <c r="N24" s="813">
        <f t="shared" si="10"/>
        <v>87908</v>
      </c>
      <c r="O24" s="955">
        <f t="shared" si="1"/>
        <v>92.534736842105261</v>
      </c>
      <c r="P24" s="956">
        <f t="shared" si="2"/>
        <v>90.217569786535307</v>
      </c>
    </row>
    <row r="25" spans="1:17" ht="12.95" customHeight="1">
      <c r="B25" s="10"/>
      <c r="C25" s="11"/>
      <c r="D25" s="11"/>
      <c r="E25" s="163"/>
      <c r="F25" s="177">
        <v>613800</v>
      </c>
      <c r="G25" s="196"/>
      <c r="H25" s="24" t="s">
        <v>143</v>
      </c>
      <c r="I25" s="235">
        <v>30000</v>
      </c>
      <c r="J25" s="235">
        <v>30000</v>
      </c>
      <c r="K25" s="225">
        <v>27248</v>
      </c>
      <c r="L25" s="357">
        <v>24897</v>
      </c>
      <c r="M25" s="235">
        <v>0</v>
      </c>
      <c r="N25" s="813">
        <f t="shared" si="10"/>
        <v>24897</v>
      </c>
      <c r="O25" s="955">
        <f t="shared" si="1"/>
        <v>82.99</v>
      </c>
      <c r="P25" s="956">
        <f t="shared" si="2"/>
        <v>91.371843805049906</v>
      </c>
    </row>
    <row r="26" spans="1:17" ht="12.95" customHeight="1">
      <c r="B26" s="10"/>
      <c r="C26" s="11"/>
      <c r="D26" s="11"/>
      <c r="E26" s="163"/>
      <c r="F26" s="177">
        <v>613900</v>
      </c>
      <c r="G26" s="196"/>
      <c r="H26" s="24" t="s">
        <v>144</v>
      </c>
      <c r="I26" s="235">
        <v>240000</v>
      </c>
      <c r="J26" s="235">
        <v>240000</v>
      </c>
      <c r="K26" s="225">
        <v>120256</v>
      </c>
      <c r="L26" s="357">
        <v>231008</v>
      </c>
      <c r="M26" s="235">
        <v>0</v>
      </c>
      <c r="N26" s="813">
        <f t="shared" si="10"/>
        <v>231008</v>
      </c>
      <c r="O26" s="955">
        <f t="shared" si="1"/>
        <v>96.25333333333333</v>
      </c>
      <c r="P26" s="956">
        <f t="shared" si="2"/>
        <v>192.09686003193187</v>
      </c>
    </row>
    <row r="27" spans="1:17" ht="12.95" customHeight="1">
      <c r="B27" s="10"/>
      <c r="C27" s="11"/>
      <c r="D27" s="11"/>
      <c r="E27" s="163"/>
      <c r="F27" s="177">
        <v>613900</v>
      </c>
      <c r="G27" s="196"/>
      <c r="H27" s="435" t="s">
        <v>435</v>
      </c>
      <c r="I27" s="237">
        <v>0</v>
      </c>
      <c r="J27" s="237">
        <v>0</v>
      </c>
      <c r="K27" s="224">
        <v>0</v>
      </c>
      <c r="L27" s="360">
        <v>0</v>
      </c>
      <c r="M27" s="237">
        <v>0</v>
      </c>
      <c r="N27" s="813">
        <f t="shared" si="10"/>
        <v>0</v>
      </c>
      <c r="O27" s="955" t="str">
        <f t="shared" si="1"/>
        <v/>
      </c>
      <c r="P27" s="956" t="str">
        <f t="shared" si="2"/>
        <v/>
      </c>
      <c r="Q27" s="51"/>
    </row>
    <row r="28" spans="1:17" s="1" customFormat="1" ht="12.95" customHeight="1">
      <c r="A28" s="158"/>
      <c r="B28" s="12"/>
      <c r="C28" s="8"/>
      <c r="D28" s="8"/>
      <c r="E28" s="414"/>
      <c r="F28" s="187"/>
      <c r="G28" s="207"/>
      <c r="H28" s="25"/>
      <c r="I28" s="235"/>
      <c r="J28" s="235"/>
      <c r="K28" s="225"/>
      <c r="L28" s="357"/>
      <c r="M28" s="235"/>
      <c r="N28" s="776"/>
      <c r="O28" s="955" t="str">
        <f t="shared" si="1"/>
        <v/>
      </c>
      <c r="P28" s="956" t="str">
        <f t="shared" si="2"/>
        <v/>
      </c>
    </row>
    <row r="29" spans="1:17" s="1" customFormat="1" ht="12.95" customHeight="1">
      <c r="A29" s="158"/>
      <c r="B29" s="12"/>
      <c r="C29" s="8"/>
      <c r="D29" s="8"/>
      <c r="E29" s="8"/>
      <c r="F29" s="176">
        <v>821000</v>
      </c>
      <c r="G29" s="195"/>
      <c r="H29" s="25" t="s">
        <v>88</v>
      </c>
      <c r="I29" s="236">
        <f t="shared" ref="I29:J29" si="11">SUM(I30:I31)</f>
        <v>213000</v>
      </c>
      <c r="J29" s="236">
        <f t="shared" si="11"/>
        <v>213000</v>
      </c>
      <c r="K29" s="226">
        <f>SUM(K30:K31)</f>
        <v>105171</v>
      </c>
      <c r="L29" s="482">
        <f t="shared" ref="L29:N29" si="12">SUM(L30:L31)</f>
        <v>92326</v>
      </c>
      <c r="M29" s="236">
        <f t="shared" si="12"/>
        <v>110335</v>
      </c>
      <c r="N29" s="774">
        <f t="shared" si="12"/>
        <v>202661</v>
      </c>
      <c r="O29" s="953">
        <f t="shared" si="1"/>
        <v>95.146009389671363</v>
      </c>
      <c r="P29" s="954">
        <f t="shared" si="2"/>
        <v>192.69665592225994</v>
      </c>
    </row>
    <row r="30" spans="1:17" ht="12.95" customHeight="1">
      <c r="B30" s="10"/>
      <c r="C30" s="11"/>
      <c r="D30" s="11"/>
      <c r="E30" s="163"/>
      <c r="F30" s="177">
        <v>821200</v>
      </c>
      <c r="G30" s="196"/>
      <c r="H30" s="24" t="s">
        <v>89</v>
      </c>
      <c r="I30" s="235">
        <v>113000</v>
      </c>
      <c r="J30" s="235">
        <v>113000</v>
      </c>
      <c r="K30" s="225">
        <v>0</v>
      </c>
      <c r="L30" s="357">
        <f>112675-110335</f>
        <v>2340</v>
      </c>
      <c r="M30" s="235">
        <v>110335</v>
      </c>
      <c r="N30" s="813">
        <f t="shared" ref="N30:N31" si="13">SUM(L30:M30)</f>
        <v>112675</v>
      </c>
      <c r="O30" s="955">
        <f t="shared" si="1"/>
        <v>99.712389380530979</v>
      </c>
      <c r="P30" s="956" t="str">
        <f t="shared" si="2"/>
        <v/>
      </c>
    </row>
    <row r="31" spans="1:17" ht="12.95" customHeight="1">
      <c r="B31" s="10"/>
      <c r="C31" s="11"/>
      <c r="D31" s="11"/>
      <c r="E31" s="163"/>
      <c r="F31" s="177">
        <v>821300</v>
      </c>
      <c r="G31" s="196"/>
      <c r="H31" s="24" t="s">
        <v>90</v>
      </c>
      <c r="I31" s="235">
        <v>100000</v>
      </c>
      <c r="J31" s="235">
        <v>100000</v>
      </c>
      <c r="K31" s="225">
        <v>105171</v>
      </c>
      <c r="L31" s="357">
        <v>89986</v>
      </c>
      <c r="M31" s="235">
        <v>0</v>
      </c>
      <c r="N31" s="813">
        <f t="shared" si="13"/>
        <v>89986</v>
      </c>
      <c r="O31" s="955">
        <f t="shared" si="1"/>
        <v>89.986000000000004</v>
      </c>
      <c r="P31" s="956">
        <f t="shared" si="2"/>
        <v>85.561609188844841</v>
      </c>
    </row>
    <row r="32" spans="1:17" ht="12.95" customHeight="1">
      <c r="B32" s="10"/>
      <c r="C32" s="11"/>
      <c r="D32" s="11"/>
      <c r="E32" s="163"/>
      <c r="F32" s="177"/>
      <c r="G32" s="196"/>
      <c r="H32" s="24"/>
      <c r="I32" s="232"/>
      <c r="J32" s="232"/>
      <c r="K32" s="223"/>
      <c r="L32" s="484"/>
      <c r="M32" s="232"/>
      <c r="N32" s="774"/>
      <c r="O32" s="955" t="str">
        <f t="shared" si="1"/>
        <v/>
      </c>
      <c r="P32" s="956" t="str">
        <f t="shared" si="2"/>
        <v/>
      </c>
    </row>
    <row r="33" spans="1:16" s="1" customFormat="1" ht="12.95" customHeight="1">
      <c r="A33" s="158"/>
      <c r="B33" s="12"/>
      <c r="C33" s="8"/>
      <c r="D33" s="8"/>
      <c r="E33" s="8"/>
      <c r="F33" s="176"/>
      <c r="G33" s="195"/>
      <c r="H33" s="25" t="s">
        <v>91</v>
      </c>
      <c r="I33" s="377" t="s">
        <v>843</v>
      </c>
      <c r="J33" s="377" t="s">
        <v>843</v>
      </c>
      <c r="K33" s="486" t="s">
        <v>930</v>
      </c>
      <c r="L33" s="485" t="s">
        <v>843</v>
      </c>
      <c r="M33" s="377"/>
      <c r="N33" s="767" t="s">
        <v>843</v>
      </c>
      <c r="O33" s="955"/>
      <c r="P33" s="956"/>
    </row>
    <row r="34" spans="1:16" s="1" customFormat="1" ht="12.95" customHeight="1">
      <c r="A34" s="158"/>
      <c r="B34" s="12"/>
      <c r="C34" s="8"/>
      <c r="D34" s="8"/>
      <c r="E34" s="8"/>
      <c r="F34" s="176"/>
      <c r="G34" s="195"/>
      <c r="H34" s="8" t="s">
        <v>105</v>
      </c>
      <c r="I34" s="367">
        <f t="shared" ref="I34:N34" si="14">I8+I13+I17+I29</f>
        <v>8830500</v>
      </c>
      <c r="J34" s="165">
        <f t="shared" si="14"/>
        <v>8811850</v>
      </c>
      <c r="K34" s="153">
        <f t="shared" ref="K34" si="15">K8+K13+K17+K29</f>
        <v>7534236</v>
      </c>
      <c r="L34" s="370">
        <f t="shared" si="14"/>
        <v>8595399</v>
      </c>
      <c r="M34" s="165">
        <f t="shared" si="14"/>
        <v>110335</v>
      </c>
      <c r="N34" s="774">
        <f t="shared" si="14"/>
        <v>8705734</v>
      </c>
      <c r="O34" s="953">
        <f>IF(J34=0,"",N34/J34*100)</f>
        <v>98.795757984986125</v>
      </c>
      <c r="P34" s="954">
        <f t="shared" si="2"/>
        <v>115.54899527968065</v>
      </c>
    </row>
    <row r="35" spans="1:16" s="1" customFormat="1" ht="12.95" customHeight="1">
      <c r="A35" s="158"/>
      <c r="B35" s="12"/>
      <c r="C35" s="8"/>
      <c r="D35" s="8"/>
      <c r="E35" s="8"/>
      <c r="F35" s="176"/>
      <c r="G35" s="195"/>
      <c r="H35" s="8" t="s">
        <v>92</v>
      </c>
      <c r="I35" s="367">
        <f t="shared" ref="I35:K36" si="16">I34</f>
        <v>8830500</v>
      </c>
      <c r="J35" s="165">
        <f t="shared" si="16"/>
        <v>8811850</v>
      </c>
      <c r="K35" s="153">
        <f t="shared" si="16"/>
        <v>7534236</v>
      </c>
      <c r="L35" s="370">
        <f t="shared" ref="L35:N36" si="17">L34</f>
        <v>8595399</v>
      </c>
      <c r="M35" s="165">
        <f t="shared" si="17"/>
        <v>110335</v>
      </c>
      <c r="N35" s="774">
        <f t="shared" si="17"/>
        <v>8705734</v>
      </c>
      <c r="O35" s="953">
        <f>IF(J35=0,"",N35/J35*100)</f>
        <v>98.795757984986125</v>
      </c>
      <c r="P35" s="954">
        <f t="shared" si="2"/>
        <v>115.54899527968065</v>
      </c>
    </row>
    <row r="36" spans="1:16" s="1" customFormat="1" ht="12.95" customHeight="1">
      <c r="A36" s="158"/>
      <c r="B36" s="12"/>
      <c r="C36" s="8"/>
      <c r="D36" s="8"/>
      <c r="E36" s="8"/>
      <c r="F36" s="176"/>
      <c r="G36" s="195"/>
      <c r="H36" s="8" t="s">
        <v>93</v>
      </c>
      <c r="I36" s="15">
        <f t="shared" si="16"/>
        <v>8830500</v>
      </c>
      <c r="J36" s="15">
        <f t="shared" si="16"/>
        <v>8811850</v>
      </c>
      <c r="K36" s="153">
        <f t="shared" si="16"/>
        <v>7534236</v>
      </c>
      <c r="L36" s="370">
        <f t="shared" si="17"/>
        <v>8595399</v>
      </c>
      <c r="M36" s="165">
        <f t="shared" si="17"/>
        <v>110335</v>
      </c>
      <c r="N36" s="774">
        <f t="shared" si="17"/>
        <v>8705734</v>
      </c>
      <c r="O36" s="953">
        <f>IF(J36=0,"",N36/J36*100)</f>
        <v>98.795757984986125</v>
      </c>
      <c r="P36" s="954">
        <f t="shared" si="2"/>
        <v>115.54899527968065</v>
      </c>
    </row>
    <row r="37" spans="1:16" ht="12.95" customHeight="1" thickBot="1">
      <c r="B37" s="16"/>
      <c r="C37" s="17"/>
      <c r="D37" s="17"/>
      <c r="E37" s="17"/>
      <c r="F37" s="178"/>
      <c r="G37" s="197"/>
      <c r="H37" s="17"/>
      <c r="I37" s="17"/>
      <c r="J37" s="17"/>
      <c r="K37" s="355"/>
      <c r="L37" s="16"/>
      <c r="M37" s="17"/>
      <c r="N37" s="800"/>
      <c r="O37" s="957"/>
      <c r="P37" s="958" t="str">
        <f t="shared" si="2"/>
        <v/>
      </c>
    </row>
    <row r="38" spans="1:16" ht="12.95" customHeight="1">
      <c r="F38" s="179"/>
      <c r="G38" s="198"/>
      <c r="L38" s="399"/>
      <c r="N38" s="253"/>
      <c r="P38" s="214" t="str">
        <f t="shared" si="2"/>
        <v/>
      </c>
    </row>
    <row r="39" spans="1:16" ht="12.95" customHeight="1">
      <c r="B39" s="45"/>
      <c r="F39" s="179"/>
      <c r="G39" s="198"/>
      <c r="N39" s="254"/>
      <c r="P39" s="214" t="str">
        <f t="shared" si="2"/>
        <v/>
      </c>
    </row>
    <row r="40" spans="1:16" ht="12.95" customHeight="1">
      <c r="B40" s="45"/>
      <c r="F40" s="179"/>
      <c r="G40" s="198"/>
      <c r="N40" s="253"/>
      <c r="P40" s="214" t="str">
        <f t="shared" si="2"/>
        <v/>
      </c>
    </row>
    <row r="41" spans="1:16" ht="12.95" customHeight="1">
      <c r="B41" s="45"/>
      <c r="F41" s="179"/>
      <c r="G41" s="198"/>
      <c r="N41" s="253"/>
      <c r="P41" s="214" t="str">
        <f t="shared" si="2"/>
        <v/>
      </c>
    </row>
    <row r="42" spans="1:16" ht="12.95" customHeight="1">
      <c r="B42" s="45"/>
      <c r="F42" s="179"/>
      <c r="G42" s="198"/>
      <c r="N42" s="253"/>
      <c r="P42" s="214" t="str">
        <f t="shared" si="2"/>
        <v/>
      </c>
    </row>
    <row r="43" spans="1:16" ht="12.95" customHeight="1">
      <c r="B43" s="45"/>
      <c r="F43" s="179"/>
      <c r="G43" s="198"/>
      <c r="N43" s="253"/>
      <c r="P43" s="214" t="str">
        <f t="shared" si="2"/>
        <v/>
      </c>
    </row>
    <row r="44" spans="1:16" ht="12.95" customHeight="1">
      <c r="B44" s="45"/>
      <c r="F44" s="179"/>
      <c r="G44" s="198"/>
      <c r="N44" s="253"/>
      <c r="P44" s="214" t="str">
        <f t="shared" si="2"/>
        <v/>
      </c>
    </row>
    <row r="45" spans="1:16" ht="12.95" customHeight="1">
      <c r="F45" s="179"/>
      <c r="G45" s="198"/>
      <c r="N45" s="253"/>
      <c r="P45" s="214" t="str">
        <f t="shared" si="2"/>
        <v/>
      </c>
    </row>
    <row r="46" spans="1:16" ht="12.95" customHeight="1">
      <c r="F46" s="179"/>
      <c r="G46" s="198"/>
      <c r="N46" s="253"/>
      <c r="P46" s="214" t="str">
        <f t="shared" si="2"/>
        <v/>
      </c>
    </row>
    <row r="47" spans="1:16" ht="12.95" customHeight="1">
      <c r="F47" s="179"/>
      <c r="G47" s="198"/>
      <c r="N47" s="253"/>
      <c r="P47" s="214" t="str">
        <f t="shared" si="2"/>
        <v/>
      </c>
    </row>
    <row r="48" spans="1:16" ht="12.95" customHeight="1">
      <c r="F48" s="179"/>
      <c r="G48" s="198"/>
      <c r="N48" s="253"/>
      <c r="P48" s="214" t="str">
        <f t="shared" si="2"/>
        <v/>
      </c>
    </row>
    <row r="49" spans="6:16" ht="12.95" customHeight="1">
      <c r="F49" s="179"/>
      <c r="G49" s="198"/>
      <c r="N49" s="253"/>
      <c r="P49" s="214" t="str">
        <f t="shared" si="2"/>
        <v/>
      </c>
    </row>
    <row r="50" spans="6:16" ht="12.95" customHeight="1">
      <c r="F50" s="179"/>
      <c r="G50" s="198"/>
      <c r="N50" s="253"/>
      <c r="P50" s="214" t="str">
        <f t="shared" si="2"/>
        <v/>
      </c>
    </row>
    <row r="51" spans="6:16" ht="12.95" customHeight="1">
      <c r="F51" s="179"/>
      <c r="G51" s="198"/>
      <c r="N51" s="253"/>
      <c r="P51" s="214" t="str">
        <f t="shared" si="2"/>
        <v/>
      </c>
    </row>
    <row r="52" spans="6:16" ht="12.95" customHeight="1">
      <c r="F52" s="179"/>
      <c r="G52" s="198"/>
      <c r="N52" s="253"/>
      <c r="P52" s="214" t="str">
        <f t="shared" si="2"/>
        <v/>
      </c>
    </row>
    <row r="53" spans="6:16" ht="12.95" customHeight="1">
      <c r="F53" s="179"/>
      <c r="G53" s="198"/>
      <c r="N53" s="253"/>
      <c r="P53" s="214" t="str">
        <f t="shared" si="2"/>
        <v/>
      </c>
    </row>
    <row r="54" spans="6:16" ht="12.95" customHeight="1">
      <c r="F54" s="179"/>
      <c r="G54" s="198"/>
      <c r="N54" s="253"/>
    </row>
    <row r="55" spans="6:16" ht="12.95" customHeight="1">
      <c r="F55" s="179"/>
      <c r="G55" s="198"/>
      <c r="N55" s="253"/>
    </row>
    <row r="56" spans="6:16" ht="12.95" customHeight="1">
      <c r="F56" s="179"/>
      <c r="G56" s="198"/>
      <c r="N56" s="253"/>
    </row>
    <row r="57" spans="6:16" ht="12.95" customHeight="1">
      <c r="F57" s="179"/>
      <c r="G57" s="198"/>
      <c r="N57" s="253"/>
    </row>
    <row r="58" spans="6:16" ht="12.95" customHeight="1">
      <c r="F58" s="179"/>
      <c r="G58" s="198"/>
      <c r="N58" s="253"/>
    </row>
    <row r="59" spans="6:16" ht="12.95" customHeight="1">
      <c r="F59" s="179"/>
      <c r="G59" s="198"/>
      <c r="N59" s="253"/>
    </row>
    <row r="60" spans="6:16" ht="12.95" customHeight="1">
      <c r="F60" s="179"/>
      <c r="G60" s="198"/>
      <c r="N60" s="253"/>
    </row>
    <row r="61" spans="6:16" ht="17.100000000000001" customHeight="1">
      <c r="F61" s="179"/>
      <c r="G61" s="198"/>
      <c r="N61" s="253"/>
    </row>
    <row r="62" spans="6:16" ht="14.25">
      <c r="F62" s="179"/>
      <c r="G62" s="198"/>
      <c r="N62" s="253"/>
    </row>
    <row r="63" spans="6:16" ht="14.25">
      <c r="F63" s="179"/>
      <c r="G63" s="198"/>
      <c r="N63" s="253"/>
    </row>
    <row r="64" spans="6:16" ht="14.25">
      <c r="F64" s="179"/>
      <c r="G64" s="198"/>
      <c r="N64" s="253"/>
    </row>
    <row r="65" spans="6:14" ht="14.25">
      <c r="F65" s="179"/>
      <c r="G65" s="198"/>
      <c r="N65" s="253"/>
    </row>
    <row r="66" spans="6:14" ht="14.25">
      <c r="F66" s="179"/>
      <c r="G66" s="198"/>
      <c r="N66" s="253"/>
    </row>
    <row r="67" spans="6:14" ht="14.25">
      <c r="F67" s="179"/>
      <c r="G67" s="198"/>
      <c r="N67" s="253"/>
    </row>
    <row r="68" spans="6:14" ht="14.25">
      <c r="F68" s="179"/>
      <c r="G68" s="198"/>
      <c r="N68" s="253"/>
    </row>
    <row r="69" spans="6:14" ht="14.25">
      <c r="F69" s="179"/>
      <c r="G69" s="198"/>
      <c r="N69" s="253"/>
    </row>
    <row r="70" spans="6:14" ht="14.25">
      <c r="F70" s="179"/>
      <c r="G70" s="198"/>
      <c r="N70" s="253"/>
    </row>
    <row r="71" spans="6:14" ht="14.25">
      <c r="F71" s="179"/>
      <c r="G71" s="198"/>
      <c r="N71" s="253"/>
    </row>
    <row r="72" spans="6:14" ht="14.25">
      <c r="F72" s="179"/>
      <c r="G72" s="198"/>
      <c r="N72" s="253"/>
    </row>
    <row r="73" spans="6:14" ht="14.25">
      <c r="F73" s="179"/>
      <c r="G73" s="198"/>
      <c r="N73" s="253"/>
    </row>
    <row r="74" spans="6:14" ht="14.25">
      <c r="F74" s="179"/>
      <c r="G74" s="198"/>
      <c r="N74" s="253"/>
    </row>
    <row r="75" spans="6:14" ht="14.25">
      <c r="F75" s="179"/>
      <c r="G75" s="179"/>
      <c r="N75" s="253"/>
    </row>
    <row r="76" spans="6:14" ht="14.25">
      <c r="F76" s="179"/>
      <c r="G76" s="179"/>
      <c r="N76" s="253"/>
    </row>
    <row r="77" spans="6:14" ht="14.25">
      <c r="F77" s="179"/>
      <c r="G77" s="179"/>
      <c r="N77" s="253"/>
    </row>
    <row r="78" spans="6:14" ht="14.25">
      <c r="F78" s="179"/>
      <c r="G78" s="179"/>
      <c r="N78" s="253"/>
    </row>
    <row r="79" spans="6:14" ht="14.25">
      <c r="F79" s="179"/>
      <c r="G79" s="179"/>
      <c r="N79" s="253"/>
    </row>
    <row r="80" spans="6:14" ht="14.25">
      <c r="F80" s="179"/>
      <c r="G80" s="179"/>
      <c r="N80" s="253"/>
    </row>
    <row r="81" spans="6:14" ht="14.25">
      <c r="F81" s="179"/>
      <c r="G81" s="179"/>
      <c r="N81" s="253"/>
    </row>
    <row r="82" spans="6:14" ht="14.25">
      <c r="F82" s="179"/>
      <c r="G82" s="179"/>
      <c r="N82" s="253"/>
    </row>
    <row r="83" spans="6:14" ht="14.25">
      <c r="F83" s="179"/>
      <c r="G83" s="179"/>
      <c r="N83" s="253"/>
    </row>
    <row r="84" spans="6:14" ht="14.25">
      <c r="F84" s="179"/>
      <c r="G84" s="179"/>
      <c r="N84" s="253"/>
    </row>
    <row r="85" spans="6:14" ht="14.25">
      <c r="F85" s="179"/>
      <c r="G85" s="179"/>
      <c r="N85" s="253"/>
    </row>
    <row r="86" spans="6:14" ht="14.25">
      <c r="F86" s="179"/>
      <c r="G86" s="179"/>
      <c r="N86" s="253"/>
    </row>
    <row r="87" spans="6:14" ht="14.25">
      <c r="F87" s="179"/>
      <c r="G87" s="179"/>
      <c r="N87" s="253"/>
    </row>
    <row r="88" spans="6:14" ht="14.25">
      <c r="F88" s="179"/>
      <c r="G88" s="179"/>
      <c r="N88" s="253"/>
    </row>
    <row r="89" spans="6:14" ht="14.25">
      <c r="F89" s="179"/>
      <c r="G89" s="179"/>
      <c r="N89" s="253"/>
    </row>
    <row r="90" spans="6:14" ht="14.25">
      <c r="F90" s="179"/>
      <c r="G90" s="179"/>
      <c r="N90" s="253"/>
    </row>
    <row r="91" spans="6:14" ht="14.25">
      <c r="F91" s="179"/>
      <c r="G91" s="179"/>
      <c r="N91" s="253"/>
    </row>
    <row r="92" spans="6:14">
      <c r="G92" s="179"/>
    </row>
    <row r="93" spans="6:14">
      <c r="G93" s="179"/>
    </row>
    <row r="94" spans="6:14">
      <c r="G94" s="179"/>
    </row>
    <row r="95" spans="6:14">
      <c r="G95" s="179"/>
    </row>
    <row r="96" spans="6:14">
      <c r="G96" s="179"/>
    </row>
    <row r="97" spans="7:7">
      <c r="G97" s="179"/>
    </row>
  </sheetData>
  <mergeCells count="15">
    <mergeCell ref="P4:P5"/>
    <mergeCell ref="B2:P2"/>
    <mergeCell ref="K4:K5"/>
    <mergeCell ref="O4:O5"/>
    <mergeCell ref="H4:H5"/>
    <mergeCell ref="H3:I3"/>
    <mergeCell ref="L4:N4"/>
    <mergeCell ref="B4:B5"/>
    <mergeCell ref="C4:C5"/>
    <mergeCell ref="D4:D5"/>
    <mergeCell ref="G4:G5"/>
    <mergeCell ref="F4:F5"/>
    <mergeCell ref="I4:I5"/>
    <mergeCell ref="J4:J5"/>
    <mergeCell ref="E4:E5"/>
  </mergeCells>
  <phoneticPr fontId="2" type="noConversion"/>
  <pageMargins left="0.78740157480314965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3"/>
  <dimension ref="A1:R98"/>
  <sheetViews>
    <sheetView zoomScaleNormal="100" workbookViewId="0">
      <selection activeCell="N35" sqref="N35"/>
    </sheetView>
  </sheetViews>
  <sheetFormatPr defaultColWidth="9.140625" defaultRowHeight="12.75"/>
  <cols>
    <col min="1" max="1" width="4.42578125" style="161" customWidth="1"/>
    <col min="2" max="2" width="4.7109375" style="9" customWidth="1"/>
    <col min="3" max="3" width="5.140625" style="9" customWidth="1"/>
    <col min="4" max="4" width="5" style="9" customWidth="1"/>
    <col min="5" max="5" width="5" style="161" customWidth="1"/>
    <col min="6" max="6" width="8.7109375" style="18" customWidth="1"/>
    <col min="7" max="7" width="8.7109375" style="166" customWidth="1"/>
    <col min="8" max="8" width="50.7109375" style="9" customWidth="1"/>
    <col min="9" max="10" width="14.7109375" style="51" customWidth="1"/>
    <col min="11" max="11" width="12.5703125" style="51" customWidth="1"/>
    <col min="12" max="13" width="14.7109375" style="51" customWidth="1"/>
    <col min="14" max="14" width="15.7109375" style="51" customWidth="1"/>
    <col min="15" max="16" width="7.7109375" style="214" customWidth="1"/>
    <col min="17" max="16384" width="9.140625" style="9"/>
  </cols>
  <sheetData>
    <row r="1" spans="1:18" ht="13.5" thickBot="1"/>
    <row r="2" spans="1:18" s="244" customFormat="1" ht="20.100000000000001" customHeight="1" thickTop="1" thickBot="1">
      <c r="B2" s="1034" t="s">
        <v>628</v>
      </c>
      <c r="C2" s="1035"/>
      <c r="D2" s="1035"/>
      <c r="E2" s="1035"/>
      <c r="F2" s="1035"/>
      <c r="G2" s="1035"/>
      <c r="H2" s="1035"/>
      <c r="I2" s="1035"/>
      <c r="J2" s="1057"/>
      <c r="K2" s="1057"/>
      <c r="L2" s="1057"/>
      <c r="M2" s="1057"/>
      <c r="N2" s="1057"/>
      <c r="O2" s="1057"/>
      <c r="P2" s="1036"/>
    </row>
    <row r="3" spans="1:18" s="1" customFormat="1" ht="8.1" customHeight="1" thickTop="1" thickBot="1">
      <c r="A3" s="158"/>
      <c r="E3" s="158"/>
      <c r="F3" s="2"/>
      <c r="G3" s="159"/>
      <c r="H3" s="1039"/>
      <c r="I3" s="1039"/>
      <c r="J3" s="139"/>
      <c r="K3" s="721"/>
      <c r="L3" s="74"/>
      <c r="M3" s="74"/>
      <c r="N3" s="74"/>
      <c r="O3" s="208"/>
      <c r="P3" s="208"/>
    </row>
    <row r="4" spans="1:18" s="1" customFormat="1" ht="39" customHeight="1">
      <c r="A4" s="158"/>
      <c r="B4" s="1043" t="s">
        <v>76</v>
      </c>
      <c r="C4" s="1045" t="s">
        <v>77</v>
      </c>
      <c r="D4" s="1047" t="s">
        <v>102</v>
      </c>
      <c r="E4" s="1062" t="s">
        <v>692</v>
      </c>
      <c r="F4" s="1058" t="s">
        <v>466</v>
      </c>
      <c r="G4" s="1048" t="s">
        <v>493</v>
      </c>
      <c r="H4" s="1050" t="s">
        <v>78</v>
      </c>
      <c r="I4" s="1059" t="s">
        <v>901</v>
      </c>
      <c r="J4" s="1068" t="s">
        <v>813</v>
      </c>
      <c r="K4" s="1037" t="s">
        <v>906</v>
      </c>
      <c r="L4" s="1040" t="s">
        <v>905</v>
      </c>
      <c r="M4" s="1041"/>
      <c r="N4" s="1042"/>
      <c r="O4" s="1054" t="s">
        <v>945</v>
      </c>
      <c r="P4" s="1032" t="s">
        <v>946</v>
      </c>
      <c r="R4" s="61"/>
    </row>
    <row r="5" spans="1:18" s="158" customFormat="1" ht="27" customHeight="1">
      <c r="B5" s="1044"/>
      <c r="C5" s="1046"/>
      <c r="D5" s="1046"/>
      <c r="E5" s="1049"/>
      <c r="F5" s="1051"/>
      <c r="G5" s="1049"/>
      <c r="H5" s="1051"/>
      <c r="I5" s="1051"/>
      <c r="J5" s="1051"/>
      <c r="K5" s="1038"/>
      <c r="L5" s="385" t="s">
        <v>526</v>
      </c>
      <c r="M5" s="379" t="s">
        <v>527</v>
      </c>
      <c r="N5" s="823" t="s">
        <v>319</v>
      </c>
      <c r="O5" s="1055"/>
      <c r="P5" s="1033"/>
    </row>
    <row r="6" spans="1:18" s="2" customFormat="1" ht="12.95" customHeight="1">
      <c r="A6" s="159"/>
      <c r="B6" s="328">
        <v>1</v>
      </c>
      <c r="C6" s="195">
        <v>2</v>
      </c>
      <c r="D6" s="195">
        <v>3</v>
      </c>
      <c r="E6" s="195">
        <v>4</v>
      </c>
      <c r="F6" s="195">
        <v>5</v>
      </c>
      <c r="G6" s="195">
        <v>6</v>
      </c>
      <c r="H6" s="195">
        <v>7</v>
      </c>
      <c r="I6" s="195">
        <v>8</v>
      </c>
      <c r="J6" s="195">
        <v>9</v>
      </c>
      <c r="K6" s="188">
        <v>10</v>
      </c>
      <c r="L6" s="386">
        <v>11</v>
      </c>
      <c r="M6" s="380">
        <v>12</v>
      </c>
      <c r="N6" s="824" t="s">
        <v>694</v>
      </c>
      <c r="O6" s="929" t="s">
        <v>814</v>
      </c>
      <c r="P6" s="930" t="s">
        <v>944</v>
      </c>
    </row>
    <row r="7" spans="1:18" s="2" customFormat="1" ht="12.95" customHeight="1">
      <c r="A7" s="159"/>
      <c r="B7" s="6" t="s">
        <v>118</v>
      </c>
      <c r="C7" s="7" t="s">
        <v>79</v>
      </c>
      <c r="D7" s="7" t="s">
        <v>80</v>
      </c>
      <c r="E7" s="415" t="s">
        <v>697</v>
      </c>
      <c r="F7" s="5"/>
      <c r="G7" s="160"/>
      <c r="H7" s="5"/>
      <c r="I7" s="378"/>
      <c r="J7" s="70"/>
      <c r="K7" s="726"/>
      <c r="L7" s="387"/>
      <c r="M7" s="381"/>
      <c r="N7" s="825"/>
      <c r="O7" s="951"/>
      <c r="P7" s="952"/>
    </row>
    <row r="8" spans="1:18" s="1" customFormat="1" ht="12.95" customHeight="1">
      <c r="A8" s="158"/>
      <c r="B8" s="12"/>
      <c r="C8" s="8"/>
      <c r="D8" s="8"/>
      <c r="E8" s="8"/>
      <c r="F8" s="176">
        <v>611000</v>
      </c>
      <c r="G8" s="195"/>
      <c r="H8" s="25" t="s">
        <v>140</v>
      </c>
      <c r="I8" s="439">
        <f t="shared" ref="I8:N8" si="0">SUM(I9:I12)</f>
        <v>178260</v>
      </c>
      <c r="J8" s="439">
        <f t="shared" si="0"/>
        <v>178260</v>
      </c>
      <c r="K8" s="733">
        <f t="shared" si="0"/>
        <v>157437</v>
      </c>
      <c r="L8" s="490">
        <f t="shared" si="0"/>
        <v>177167</v>
      </c>
      <c r="M8" s="439">
        <f t="shared" si="0"/>
        <v>0</v>
      </c>
      <c r="N8" s="826">
        <f t="shared" si="0"/>
        <v>177167</v>
      </c>
      <c r="O8" s="953">
        <f t="shared" ref="O8:O33" si="1">IF(J8=0,"",N8/J8*100)</f>
        <v>99.386850667564232</v>
      </c>
      <c r="P8" s="954">
        <f>IF(K8=0,"",N8/K8*100)</f>
        <v>112.53199692575441</v>
      </c>
    </row>
    <row r="9" spans="1:18" ht="12.95" customHeight="1">
      <c r="B9" s="10"/>
      <c r="C9" s="11"/>
      <c r="D9" s="11"/>
      <c r="E9" s="163"/>
      <c r="F9" s="177">
        <v>611100</v>
      </c>
      <c r="G9" s="196"/>
      <c r="H9" s="428" t="s">
        <v>161</v>
      </c>
      <c r="I9" s="440">
        <f>143850+1800*2</f>
        <v>147450</v>
      </c>
      <c r="J9" s="440">
        <f>143850+1800*2</f>
        <v>147450</v>
      </c>
      <c r="K9" s="734">
        <v>132975</v>
      </c>
      <c r="L9" s="491">
        <v>147293</v>
      </c>
      <c r="M9" s="440">
        <v>0</v>
      </c>
      <c r="N9" s="827">
        <f>SUM(L9:M9)</f>
        <v>147293</v>
      </c>
      <c r="O9" s="955">
        <f t="shared" si="1"/>
        <v>99.893523228212956</v>
      </c>
      <c r="P9" s="956">
        <f t="shared" ref="P9:P53" si="2">IF(K9=0,"",N9/K9*100)</f>
        <v>110.76743748824967</v>
      </c>
    </row>
    <row r="10" spans="1:18" ht="12.95" customHeight="1">
      <c r="B10" s="10"/>
      <c r="C10" s="11"/>
      <c r="D10" s="11"/>
      <c r="E10" s="163"/>
      <c r="F10" s="177">
        <v>611200</v>
      </c>
      <c r="G10" s="196"/>
      <c r="H10" s="24" t="s">
        <v>162</v>
      </c>
      <c r="I10" s="440">
        <f>25270+200+1140+6*700</f>
        <v>30810</v>
      </c>
      <c r="J10" s="440">
        <f>25270+200+1140+6*700</f>
        <v>30810</v>
      </c>
      <c r="K10" s="734">
        <v>24462</v>
      </c>
      <c r="L10" s="491">
        <v>29874</v>
      </c>
      <c r="M10" s="440">
        <v>0</v>
      </c>
      <c r="N10" s="827">
        <f t="shared" ref="N10:N11" si="3">SUM(L10:M10)</f>
        <v>29874</v>
      </c>
      <c r="O10" s="955">
        <f t="shared" si="1"/>
        <v>96.962025316455694</v>
      </c>
      <c r="P10" s="956">
        <f t="shared" si="2"/>
        <v>122.12411086583272</v>
      </c>
    </row>
    <row r="11" spans="1:18" ht="12.95" customHeight="1">
      <c r="B11" s="10"/>
      <c r="C11" s="11"/>
      <c r="D11" s="11"/>
      <c r="E11" s="163"/>
      <c r="F11" s="177">
        <v>611200</v>
      </c>
      <c r="G11" s="196"/>
      <c r="H11" s="435" t="s">
        <v>434</v>
      </c>
      <c r="I11" s="441">
        <v>0</v>
      </c>
      <c r="J11" s="441">
        <v>0</v>
      </c>
      <c r="K11" s="735">
        <v>0</v>
      </c>
      <c r="L11" s="437">
        <v>0</v>
      </c>
      <c r="M11" s="441">
        <v>0</v>
      </c>
      <c r="N11" s="827">
        <f t="shared" si="3"/>
        <v>0</v>
      </c>
      <c r="O11" s="955" t="str">
        <f t="shared" si="1"/>
        <v/>
      </c>
      <c r="P11" s="956" t="str">
        <f t="shared" si="2"/>
        <v/>
      </c>
      <c r="R11" s="50"/>
    </row>
    <row r="12" spans="1:18" ht="12.95" customHeight="1">
      <c r="B12" s="10"/>
      <c r="C12" s="11"/>
      <c r="D12" s="11"/>
      <c r="E12" s="163"/>
      <c r="F12" s="177"/>
      <c r="G12" s="196"/>
      <c r="H12" s="428"/>
      <c r="I12" s="440"/>
      <c r="J12" s="440"/>
      <c r="K12" s="734"/>
      <c r="L12" s="491"/>
      <c r="M12" s="440"/>
      <c r="N12" s="827"/>
      <c r="O12" s="955" t="str">
        <f t="shared" si="1"/>
        <v/>
      </c>
      <c r="P12" s="956" t="str">
        <f t="shared" si="2"/>
        <v/>
      </c>
    </row>
    <row r="13" spans="1:18" s="1" customFormat="1" ht="12.95" customHeight="1">
      <c r="A13" s="158"/>
      <c r="B13" s="12"/>
      <c r="C13" s="8"/>
      <c r="D13" s="8"/>
      <c r="E13" s="8"/>
      <c r="F13" s="176">
        <v>612000</v>
      </c>
      <c r="G13" s="195"/>
      <c r="H13" s="25" t="s">
        <v>139</v>
      </c>
      <c r="I13" s="439">
        <f t="shared" ref="I13:N13" si="4">I14</f>
        <v>15500</v>
      </c>
      <c r="J13" s="439">
        <f t="shared" si="4"/>
        <v>15500</v>
      </c>
      <c r="K13" s="733">
        <f t="shared" si="4"/>
        <v>13962</v>
      </c>
      <c r="L13" s="490">
        <f t="shared" si="4"/>
        <v>15466</v>
      </c>
      <c r="M13" s="439">
        <f t="shared" si="4"/>
        <v>0</v>
      </c>
      <c r="N13" s="826">
        <f t="shared" si="4"/>
        <v>15466</v>
      </c>
      <c r="O13" s="953">
        <f t="shared" si="1"/>
        <v>99.780645161290323</v>
      </c>
      <c r="P13" s="954">
        <f t="shared" si="2"/>
        <v>110.7720956882968</v>
      </c>
    </row>
    <row r="14" spans="1:18" ht="12.95" customHeight="1">
      <c r="B14" s="10"/>
      <c r="C14" s="11"/>
      <c r="D14" s="11"/>
      <c r="E14" s="163"/>
      <c r="F14" s="177">
        <v>612100</v>
      </c>
      <c r="G14" s="196"/>
      <c r="H14" s="430" t="s">
        <v>81</v>
      </c>
      <c r="I14" s="440">
        <f>15100+200*2</f>
        <v>15500</v>
      </c>
      <c r="J14" s="440">
        <f>15100+200*2</f>
        <v>15500</v>
      </c>
      <c r="K14" s="734">
        <v>13962</v>
      </c>
      <c r="L14" s="491">
        <v>15466</v>
      </c>
      <c r="M14" s="440">
        <v>0</v>
      </c>
      <c r="N14" s="827">
        <f>SUM(L14:M14)</f>
        <v>15466</v>
      </c>
      <c r="O14" s="955">
        <f t="shared" si="1"/>
        <v>99.780645161290323</v>
      </c>
      <c r="P14" s="956">
        <f t="shared" si="2"/>
        <v>110.7720956882968</v>
      </c>
    </row>
    <row r="15" spans="1:18" ht="12.95" customHeight="1">
      <c r="B15" s="10"/>
      <c r="C15" s="11"/>
      <c r="D15" s="11"/>
      <c r="E15" s="163"/>
      <c r="F15" s="177"/>
      <c r="G15" s="196"/>
      <c r="H15" s="24"/>
      <c r="I15" s="442"/>
      <c r="J15" s="442"/>
      <c r="K15" s="736"/>
      <c r="L15" s="492"/>
      <c r="M15" s="442"/>
      <c r="N15" s="828"/>
      <c r="O15" s="955" t="str">
        <f t="shared" si="1"/>
        <v/>
      </c>
      <c r="P15" s="956" t="str">
        <f t="shared" si="2"/>
        <v/>
      </c>
    </row>
    <row r="16" spans="1:18" s="1" customFormat="1" ht="12.95" customHeight="1">
      <c r="A16" s="158"/>
      <c r="B16" s="12"/>
      <c r="C16" s="8"/>
      <c r="D16" s="8"/>
      <c r="E16" s="8"/>
      <c r="F16" s="176">
        <v>613000</v>
      </c>
      <c r="G16" s="195"/>
      <c r="H16" s="25" t="s">
        <v>141</v>
      </c>
      <c r="I16" s="443">
        <f t="shared" ref="I16:N16" si="5">SUM(I17:I28)</f>
        <v>148300</v>
      </c>
      <c r="J16" s="443">
        <f t="shared" si="5"/>
        <v>148300</v>
      </c>
      <c r="K16" s="737">
        <f t="shared" si="5"/>
        <v>121296</v>
      </c>
      <c r="L16" s="493">
        <f t="shared" si="5"/>
        <v>148059</v>
      </c>
      <c r="M16" s="443">
        <f t="shared" si="5"/>
        <v>0</v>
      </c>
      <c r="N16" s="829">
        <f t="shared" si="5"/>
        <v>148059</v>
      </c>
      <c r="O16" s="953">
        <f t="shared" si="1"/>
        <v>99.83749157113958</v>
      </c>
      <c r="P16" s="954">
        <f t="shared" si="2"/>
        <v>122.06420656905421</v>
      </c>
    </row>
    <row r="17" spans="1:16" ht="12.95" customHeight="1">
      <c r="B17" s="10"/>
      <c r="C17" s="11"/>
      <c r="D17" s="11"/>
      <c r="E17" s="163"/>
      <c r="F17" s="177">
        <v>613100</v>
      </c>
      <c r="G17" s="196"/>
      <c r="H17" s="24" t="s">
        <v>82</v>
      </c>
      <c r="I17" s="441">
        <v>4000</v>
      </c>
      <c r="J17" s="441">
        <v>4000</v>
      </c>
      <c r="K17" s="735">
        <v>1916</v>
      </c>
      <c r="L17" s="437">
        <v>3959</v>
      </c>
      <c r="M17" s="441">
        <v>0</v>
      </c>
      <c r="N17" s="827">
        <f t="shared" ref="N17:N28" si="6">SUM(L17:M17)</f>
        <v>3959</v>
      </c>
      <c r="O17" s="955">
        <f t="shared" si="1"/>
        <v>98.975000000000009</v>
      </c>
      <c r="P17" s="956">
        <f t="shared" si="2"/>
        <v>206.62839248434238</v>
      </c>
    </row>
    <row r="18" spans="1:16" ht="12.95" customHeight="1">
      <c r="B18" s="10"/>
      <c r="C18" s="11"/>
      <c r="D18" s="11"/>
      <c r="E18" s="163"/>
      <c r="F18" s="177">
        <v>613200</v>
      </c>
      <c r="G18" s="196"/>
      <c r="H18" s="24" t="s">
        <v>83</v>
      </c>
      <c r="I18" s="441">
        <v>0</v>
      </c>
      <c r="J18" s="441">
        <v>0</v>
      </c>
      <c r="K18" s="735">
        <v>0</v>
      </c>
      <c r="L18" s="437">
        <v>0</v>
      </c>
      <c r="M18" s="441">
        <v>0</v>
      </c>
      <c r="N18" s="827">
        <f t="shared" si="6"/>
        <v>0</v>
      </c>
      <c r="O18" s="955" t="str">
        <f t="shared" si="1"/>
        <v/>
      </c>
      <c r="P18" s="956" t="str">
        <f t="shared" si="2"/>
        <v/>
      </c>
    </row>
    <row r="19" spans="1:16" ht="12.95" customHeight="1">
      <c r="B19" s="10"/>
      <c r="C19" s="11"/>
      <c r="D19" s="11"/>
      <c r="E19" s="163"/>
      <c r="F19" s="177">
        <v>613300</v>
      </c>
      <c r="G19" s="196"/>
      <c r="H19" s="428" t="s">
        <v>163</v>
      </c>
      <c r="I19" s="441">
        <v>2800</v>
      </c>
      <c r="J19" s="441">
        <v>2320</v>
      </c>
      <c r="K19" s="735">
        <v>2354</v>
      </c>
      <c r="L19" s="437">
        <v>2319</v>
      </c>
      <c r="M19" s="441">
        <v>0</v>
      </c>
      <c r="N19" s="827">
        <f t="shared" si="6"/>
        <v>2319</v>
      </c>
      <c r="O19" s="955">
        <f t="shared" si="1"/>
        <v>99.956896551724142</v>
      </c>
      <c r="P19" s="956">
        <f t="shared" si="2"/>
        <v>98.513169073916742</v>
      </c>
    </row>
    <row r="20" spans="1:16" ht="12.95" customHeight="1">
      <c r="B20" s="10"/>
      <c r="C20" s="11"/>
      <c r="D20" s="11"/>
      <c r="E20" s="163"/>
      <c r="F20" s="177">
        <v>613400</v>
      </c>
      <c r="G20" s="196"/>
      <c r="H20" s="24" t="s">
        <v>142</v>
      </c>
      <c r="I20" s="441">
        <v>5000</v>
      </c>
      <c r="J20" s="441">
        <v>6840</v>
      </c>
      <c r="K20" s="735">
        <v>3226</v>
      </c>
      <c r="L20" s="437">
        <v>6708</v>
      </c>
      <c r="M20" s="441">
        <v>0</v>
      </c>
      <c r="N20" s="827">
        <f t="shared" si="6"/>
        <v>6708</v>
      </c>
      <c r="O20" s="955">
        <f t="shared" si="1"/>
        <v>98.070175438596493</v>
      </c>
      <c r="P20" s="956">
        <f t="shared" si="2"/>
        <v>207.93552386856788</v>
      </c>
    </row>
    <row r="21" spans="1:16" ht="12.95" customHeight="1">
      <c r="B21" s="10"/>
      <c r="C21" s="11"/>
      <c r="D21" s="11"/>
      <c r="E21" s="163"/>
      <c r="F21" s="177">
        <v>613500</v>
      </c>
      <c r="G21" s="196"/>
      <c r="H21" s="24" t="s">
        <v>84</v>
      </c>
      <c r="I21" s="441">
        <v>0</v>
      </c>
      <c r="J21" s="441">
        <v>0</v>
      </c>
      <c r="K21" s="735">
        <v>0</v>
      </c>
      <c r="L21" s="437">
        <v>0</v>
      </c>
      <c r="M21" s="441">
        <v>0</v>
      </c>
      <c r="N21" s="827">
        <f t="shared" si="6"/>
        <v>0</v>
      </c>
      <c r="O21" s="955" t="str">
        <f t="shared" si="1"/>
        <v/>
      </c>
      <c r="P21" s="956" t="str">
        <f t="shared" si="2"/>
        <v/>
      </c>
    </row>
    <row r="22" spans="1:16" ht="12.95" customHeight="1">
      <c r="B22" s="10"/>
      <c r="C22" s="11"/>
      <c r="D22" s="11"/>
      <c r="E22" s="163"/>
      <c r="F22" s="177">
        <v>613600</v>
      </c>
      <c r="G22" s="196"/>
      <c r="H22" s="428" t="s">
        <v>164</v>
      </c>
      <c r="I22" s="441">
        <v>0</v>
      </c>
      <c r="J22" s="441">
        <v>0</v>
      </c>
      <c r="K22" s="735">
        <v>0</v>
      </c>
      <c r="L22" s="437">
        <v>0</v>
      </c>
      <c r="M22" s="441">
        <v>0</v>
      </c>
      <c r="N22" s="827">
        <f t="shared" si="6"/>
        <v>0</v>
      </c>
      <c r="O22" s="955" t="str">
        <f t="shared" si="1"/>
        <v/>
      </c>
      <c r="P22" s="956" t="str">
        <f t="shared" si="2"/>
        <v/>
      </c>
    </row>
    <row r="23" spans="1:16" ht="12.95" customHeight="1">
      <c r="B23" s="10"/>
      <c r="C23" s="11"/>
      <c r="D23" s="11"/>
      <c r="E23" s="163"/>
      <c r="F23" s="177">
        <v>613700</v>
      </c>
      <c r="G23" s="196"/>
      <c r="H23" s="24" t="s">
        <v>85</v>
      </c>
      <c r="I23" s="441">
        <v>1000</v>
      </c>
      <c r="J23" s="441">
        <v>1350</v>
      </c>
      <c r="K23" s="735">
        <v>904</v>
      </c>
      <c r="L23" s="437">
        <v>1313</v>
      </c>
      <c r="M23" s="441">
        <v>0</v>
      </c>
      <c r="N23" s="827">
        <f t="shared" si="6"/>
        <v>1313</v>
      </c>
      <c r="O23" s="955">
        <f t="shared" si="1"/>
        <v>97.259259259259252</v>
      </c>
      <c r="P23" s="956">
        <f t="shared" si="2"/>
        <v>145.24336283185841</v>
      </c>
    </row>
    <row r="24" spans="1:16" ht="12.95" customHeight="1">
      <c r="B24" s="10"/>
      <c r="C24" s="11"/>
      <c r="D24" s="11"/>
      <c r="E24" s="163"/>
      <c r="F24" s="177">
        <v>613800</v>
      </c>
      <c r="G24" s="196"/>
      <c r="H24" s="24" t="s">
        <v>143</v>
      </c>
      <c r="I24" s="441">
        <v>0</v>
      </c>
      <c r="J24" s="441">
        <v>0</v>
      </c>
      <c r="K24" s="735">
        <v>0</v>
      </c>
      <c r="L24" s="437">
        <v>0</v>
      </c>
      <c r="M24" s="441">
        <v>0</v>
      </c>
      <c r="N24" s="827">
        <f t="shared" si="6"/>
        <v>0</v>
      </c>
      <c r="O24" s="955" t="str">
        <f t="shared" si="1"/>
        <v/>
      </c>
      <c r="P24" s="956" t="str">
        <f t="shared" si="2"/>
        <v/>
      </c>
    </row>
    <row r="25" spans="1:16" ht="12.95" customHeight="1">
      <c r="B25" s="10"/>
      <c r="C25" s="11"/>
      <c r="D25" s="11"/>
      <c r="E25" s="163"/>
      <c r="F25" s="177">
        <v>613900</v>
      </c>
      <c r="G25" s="196"/>
      <c r="H25" s="24" t="s">
        <v>144</v>
      </c>
      <c r="I25" s="441">
        <v>26000</v>
      </c>
      <c r="J25" s="441">
        <v>27470</v>
      </c>
      <c r="K25" s="735">
        <v>13449</v>
      </c>
      <c r="L25" s="437">
        <v>27457</v>
      </c>
      <c r="M25" s="441">
        <v>0</v>
      </c>
      <c r="N25" s="827">
        <f t="shared" si="6"/>
        <v>27457</v>
      </c>
      <c r="O25" s="955">
        <f t="shared" si="1"/>
        <v>99.952675646159449</v>
      </c>
      <c r="P25" s="956">
        <f t="shared" si="2"/>
        <v>204.15644285820508</v>
      </c>
    </row>
    <row r="26" spans="1:16" s="161" customFormat="1" ht="12.95" customHeight="1">
      <c r="B26" s="162"/>
      <c r="C26" s="163"/>
      <c r="D26" s="163"/>
      <c r="E26" s="163"/>
      <c r="F26" s="177">
        <v>613900</v>
      </c>
      <c r="G26" s="199" t="s">
        <v>715</v>
      </c>
      <c r="H26" s="438" t="s">
        <v>713</v>
      </c>
      <c r="I26" s="441">
        <v>44500</v>
      </c>
      <c r="J26" s="441">
        <v>43020</v>
      </c>
      <c r="K26" s="735">
        <v>45987</v>
      </c>
      <c r="L26" s="437">
        <v>43018</v>
      </c>
      <c r="M26" s="441">
        <v>0</v>
      </c>
      <c r="N26" s="827">
        <f t="shared" ref="N26:N27" si="7">SUM(L26:M26)</f>
        <v>43018</v>
      </c>
      <c r="O26" s="955">
        <f t="shared" si="1"/>
        <v>99.995350999535106</v>
      </c>
      <c r="P26" s="956">
        <f t="shared" si="2"/>
        <v>93.543827603453138</v>
      </c>
    </row>
    <row r="27" spans="1:16" s="447" customFormat="1" ht="12.95" customHeight="1">
      <c r="B27" s="448"/>
      <c r="C27" s="395"/>
      <c r="D27" s="395"/>
      <c r="E27" s="395"/>
      <c r="F27" s="449">
        <v>613900</v>
      </c>
      <c r="G27" s="450" t="s">
        <v>724</v>
      </c>
      <c r="H27" s="364" t="s">
        <v>725</v>
      </c>
      <c r="I27" s="441">
        <v>65000</v>
      </c>
      <c r="J27" s="441">
        <v>63300</v>
      </c>
      <c r="K27" s="735">
        <v>53460</v>
      </c>
      <c r="L27" s="437">
        <v>63285</v>
      </c>
      <c r="M27" s="441">
        <v>0</v>
      </c>
      <c r="N27" s="451">
        <f t="shared" si="7"/>
        <v>63285</v>
      </c>
      <c r="O27" s="961">
        <f t="shared" si="1"/>
        <v>99.976303317535539</v>
      </c>
      <c r="P27" s="962">
        <f t="shared" si="2"/>
        <v>118.37822671156005</v>
      </c>
    </row>
    <row r="28" spans="1:16" ht="12.95" customHeight="1">
      <c r="B28" s="10"/>
      <c r="C28" s="11"/>
      <c r="D28" s="11"/>
      <c r="E28" s="163"/>
      <c r="F28" s="177">
        <v>613900</v>
      </c>
      <c r="G28" s="196"/>
      <c r="H28" s="435" t="s">
        <v>435</v>
      </c>
      <c r="I28" s="444">
        <v>0</v>
      </c>
      <c r="J28" s="444">
        <v>0</v>
      </c>
      <c r="K28" s="738">
        <v>0</v>
      </c>
      <c r="L28" s="494">
        <v>0</v>
      </c>
      <c r="M28" s="444">
        <v>0</v>
      </c>
      <c r="N28" s="827">
        <f t="shared" si="6"/>
        <v>0</v>
      </c>
      <c r="O28" s="955" t="str">
        <f t="shared" si="1"/>
        <v/>
      </c>
      <c r="P28" s="956" t="str">
        <f t="shared" si="2"/>
        <v/>
      </c>
    </row>
    <row r="29" spans="1:16" s="1" customFormat="1" ht="12.95" customHeight="1">
      <c r="A29" s="158"/>
      <c r="B29" s="12"/>
      <c r="C29" s="8"/>
      <c r="D29" s="8"/>
      <c r="E29" s="414"/>
      <c r="F29" s="187"/>
      <c r="G29" s="207"/>
      <c r="H29" s="25"/>
      <c r="I29" s="442"/>
      <c r="J29" s="442"/>
      <c r="K29" s="736"/>
      <c r="L29" s="492"/>
      <c r="M29" s="442"/>
      <c r="N29" s="828"/>
      <c r="O29" s="955" t="str">
        <f t="shared" si="1"/>
        <v/>
      </c>
      <c r="P29" s="956" t="str">
        <f t="shared" si="2"/>
        <v/>
      </c>
    </row>
    <row r="30" spans="1:16" s="1" customFormat="1" ht="12.95" customHeight="1">
      <c r="A30" s="158"/>
      <c r="B30" s="12"/>
      <c r="C30" s="8"/>
      <c r="D30" s="8"/>
      <c r="E30" s="8"/>
      <c r="F30" s="176">
        <v>821000</v>
      </c>
      <c r="G30" s="195"/>
      <c r="H30" s="25" t="s">
        <v>88</v>
      </c>
      <c r="I30" s="445">
        <f t="shared" ref="I30:J30" si="8">SUM(I31:I32)</f>
        <v>5500</v>
      </c>
      <c r="J30" s="445">
        <f t="shared" si="8"/>
        <v>5500</v>
      </c>
      <c r="K30" s="739">
        <f>SUM(K31:K32)</f>
        <v>2475</v>
      </c>
      <c r="L30" s="495">
        <f t="shared" ref="L30:N30" si="9">SUM(L31:L32)</f>
        <v>5106</v>
      </c>
      <c r="M30" s="445">
        <f t="shared" si="9"/>
        <v>0</v>
      </c>
      <c r="N30" s="829">
        <f t="shared" si="9"/>
        <v>5106</v>
      </c>
      <c r="O30" s="953">
        <f t="shared" si="1"/>
        <v>92.836363636363643</v>
      </c>
      <c r="P30" s="954">
        <f t="shared" si="2"/>
        <v>206.30303030303031</v>
      </c>
    </row>
    <row r="31" spans="1:16" ht="12.95" customHeight="1">
      <c r="B31" s="10"/>
      <c r="C31" s="11"/>
      <c r="D31" s="11"/>
      <c r="E31" s="163"/>
      <c r="F31" s="177">
        <v>821200</v>
      </c>
      <c r="G31" s="196"/>
      <c r="H31" s="24" t="s">
        <v>89</v>
      </c>
      <c r="I31" s="442">
        <v>0</v>
      </c>
      <c r="J31" s="442">
        <v>0</v>
      </c>
      <c r="K31" s="736">
        <v>0</v>
      </c>
      <c r="L31" s="492">
        <v>0</v>
      </c>
      <c r="M31" s="442">
        <v>0</v>
      </c>
      <c r="N31" s="827">
        <f t="shared" ref="N31:N32" si="10">SUM(L31:M31)</f>
        <v>0</v>
      </c>
      <c r="O31" s="955" t="str">
        <f t="shared" si="1"/>
        <v/>
      </c>
      <c r="P31" s="956" t="str">
        <f t="shared" si="2"/>
        <v/>
      </c>
    </row>
    <row r="32" spans="1:16" ht="12.95" customHeight="1">
      <c r="B32" s="10"/>
      <c r="C32" s="11"/>
      <c r="D32" s="11"/>
      <c r="E32" s="163"/>
      <c r="F32" s="177">
        <v>821300</v>
      </c>
      <c r="G32" s="196"/>
      <c r="H32" s="24" t="s">
        <v>90</v>
      </c>
      <c r="I32" s="442">
        <v>5500</v>
      </c>
      <c r="J32" s="442">
        <v>5500</v>
      </c>
      <c r="K32" s="736">
        <v>2475</v>
      </c>
      <c r="L32" s="492">
        <v>5106</v>
      </c>
      <c r="M32" s="442">
        <v>0</v>
      </c>
      <c r="N32" s="827">
        <f t="shared" si="10"/>
        <v>5106</v>
      </c>
      <c r="O32" s="955">
        <f t="shared" si="1"/>
        <v>92.836363636363643</v>
      </c>
      <c r="P32" s="956">
        <f t="shared" si="2"/>
        <v>206.30303030303031</v>
      </c>
    </row>
    <row r="33" spans="1:16" ht="12.95" customHeight="1">
      <c r="B33" s="10"/>
      <c r="C33" s="11"/>
      <c r="D33" s="11"/>
      <c r="E33" s="163"/>
      <c r="F33" s="177"/>
      <c r="G33" s="196"/>
      <c r="H33" s="24"/>
      <c r="I33" s="442"/>
      <c r="J33" s="442"/>
      <c r="K33" s="736"/>
      <c r="L33" s="492"/>
      <c r="M33" s="442"/>
      <c r="N33" s="828"/>
      <c r="O33" s="955" t="str">
        <f t="shared" si="1"/>
        <v/>
      </c>
      <c r="P33" s="956" t="str">
        <f t="shared" si="2"/>
        <v/>
      </c>
    </row>
    <row r="34" spans="1:16" s="1" customFormat="1" ht="12.95" customHeight="1">
      <c r="A34" s="158"/>
      <c r="B34" s="12"/>
      <c r="C34" s="8"/>
      <c r="D34" s="8"/>
      <c r="E34" s="8"/>
      <c r="F34" s="176"/>
      <c r="G34" s="195"/>
      <c r="H34" s="25" t="s">
        <v>91</v>
      </c>
      <c r="I34" s="446" t="s">
        <v>794</v>
      </c>
      <c r="J34" s="446" t="s">
        <v>794</v>
      </c>
      <c r="K34" s="740">
        <v>5</v>
      </c>
      <c r="L34" s="496" t="s">
        <v>794</v>
      </c>
      <c r="M34" s="497"/>
      <c r="N34" s="830" t="s">
        <v>794</v>
      </c>
      <c r="O34" s="955"/>
      <c r="P34" s="956"/>
    </row>
    <row r="35" spans="1:16" s="1" customFormat="1" ht="12.95" customHeight="1">
      <c r="A35" s="158"/>
      <c r="B35" s="12"/>
      <c r="C35" s="8"/>
      <c r="D35" s="8"/>
      <c r="E35" s="8"/>
      <c r="F35" s="176"/>
      <c r="G35" s="195"/>
      <c r="H35" s="25" t="s">
        <v>105</v>
      </c>
      <c r="I35" s="445">
        <f t="shared" ref="I35:N35" si="11">I8+I13+I16+I30</f>
        <v>347560</v>
      </c>
      <c r="J35" s="445">
        <f t="shared" si="11"/>
        <v>347560</v>
      </c>
      <c r="K35" s="739">
        <f t="shared" ref="K35" si="12">K8+K13+K16+K30</f>
        <v>295170</v>
      </c>
      <c r="L35" s="388">
        <f t="shared" si="11"/>
        <v>345798</v>
      </c>
      <c r="M35" s="382">
        <f t="shared" si="11"/>
        <v>0</v>
      </c>
      <c r="N35" s="829">
        <f t="shared" si="11"/>
        <v>345798</v>
      </c>
      <c r="O35" s="953">
        <f>IF(J35=0,"",N35/J35*100)</f>
        <v>99.493037173437685</v>
      </c>
      <c r="P35" s="954">
        <f t="shared" si="2"/>
        <v>117.15214960870006</v>
      </c>
    </row>
    <row r="36" spans="1:16" s="1" customFormat="1" ht="12.95" customHeight="1">
      <c r="A36" s="158"/>
      <c r="B36" s="12"/>
      <c r="C36" s="8"/>
      <c r="D36" s="8"/>
      <c r="E36" s="8"/>
      <c r="F36" s="176"/>
      <c r="G36" s="195"/>
      <c r="H36" s="8" t="s">
        <v>92</v>
      </c>
      <c r="I36" s="367"/>
      <c r="J36" s="165"/>
      <c r="K36" s="153"/>
      <c r="L36" s="388"/>
      <c r="M36" s="382"/>
      <c r="N36" s="829"/>
      <c r="O36" s="955" t="str">
        <f>IF(J36=0,"",N36/J36*100)</f>
        <v/>
      </c>
      <c r="P36" s="956" t="str">
        <f t="shared" si="2"/>
        <v/>
      </c>
    </row>
    <row r="37" spans="1:16" s="1" customFormat="1" ht="12.95" customHeight="1">
      <c r="A37" s="158"/>
      <c r="B37" s="12"/>
      <c r="C37" s="8"/>
      <c r="D37" s="8"/>
      <c r="E37" s="8"/>
      <c r="F37" s="176"/>
      <c r="G37" s="195"/>
      <c r="H37" s="8" t="s">
        <v>93</v>
      </c>
      <c r="I37" s="29"/>
      <c r="J37" s="29"/>
      <c r="K37" s="148"/>
      <c r="L37" s="389"/>
      <c r="M37" s="383"/>
      <c r="N37" s="828"/>
      <c r="O37" s="955" t="str">
        <f>IF(J37=0,"",N37/J37*100)</f>
        <v/>
      </c>
      <c r="P37" s="956" t="str">
        <f t="shared" si="2"/>
        <v/>
      </c>
    </row>
    <row r="38" spans="1:16" ht="12.95" customHeight="1" thickBot="1">
      <c r="B38" s="16"/>
      <c r="C38" s="17"/>
      <c r="D38" s="17"/>
      <c r="E38" s="17"/>
      <c r="F38" s="178"/>
      <c r="G38" s="197"/>
      <c r="H38" s="17"/>
      <c r="I38" s="31"/>
      <c r="J38" s="31"/>
      <c r="K38" s="725"/>
      <c r="L38" s="390"/>
      <c r="M38" s="384"/>
      <c r="N38" s="831"/>
      <c r="O38" s="957"/>
      <c r="P38" s="958" t="str">
        <f t="shared" si="2"/>
        <v/>
      </c>
    </row>
    <row r="39" spans="1:16" ht="12.95" customHeight="1">
      <c r="F39" s="179"/>
      <c r="G39" s="198"/>
      <c r="L39" s="864"/>
      <c r="N39" s="254"/>
      <c r="P39" s="214" t="str">
        <f t="shared" si="2"/>
        <v/>
      </c>
    </row>
    <row r="40" spans="1:16" ht="12.95" customHeight="1">
      <c r="F40" s="179"/>
      <c r="G40" s="198"/>
      <c r="N40" s="254"/>
      <c r="P40" s="214" t="str">
        <f t="shared" si="2"/>
        <v/>
      </c>
    </row>
    <row r="41" spans="1:16" ht="12.95" customHeight="1">
      <c r="F41" s="179"/>
      <c r="G41" s="198"/>
      <c r="N41" s="254"/>
      <c r="P41" s="214" t="str">
        <f t="shared" si="2"/>
        <v/>
      </c>
    </row>
    <row r="42" spans="1:16" ht="12.95" customHeight="1">
      <c r="F42" s="179"/>
      <c r="G42" s="198"/>
      <c r="N42" s="254"/>
      <c r="P42" s="214" t="str">
        <f t="shared" si="2"/>
        <v/>
      </c>
    </row>
    <row r="43" spans="1:16" ht="12.95" customHeight="1">
      <c r="F43" s="179"/>
      <c r="G43" s="198"/>
      <c r="N43" s="254"/>
      <c r="P43" s="214" t="str">
        <f t="shared" si="2"/>
        <v/>
      </c>
    </row>
    <row r="44" spans="1:16" ht="12.95" customHeight="1">
      <c r="F44" s="179"/>
      <c r="G44" s="198"/>
      <c r="N44" s="254"/>
      <c r="P44" s="214" t="str">
        <f t="shared" si="2"/>
        <v/>
      </c>
    </row>
    <row r="45" spans="1:16" ht="12.95" customHeight="1">
      <c r="F45" s="179"/>
      <c r="G45" s="198"/>
      <c r="N45" s="254"/>
      <c r="P45" s="214" t="str">
        <f t="shared" si="2"/>
        <v/>
      </c>
    </row>
    <row r="46" spans="1:16" ht="12.95" customHeight="1">
      <c r="F46" s="179"/>
      <c r="G46" s="198"/>
      <c r="N46" s="254"/>
      <c r="P46" s="214" t="str">
        <f t="shared" si="2"/>
        <v/>
      </c>
    </row>
    <row r="47" spans="1:16" ht="12.95" customHeight="1">
      <c r="F47" s="179"/>
      <c r="G47" s="198"/>
      <c r="N47" s="254"/>
      <c r="P47" s="214" t="str">
        <f t="shared" si="2"/>
        <v/>
      </c>
    </row>
    <row r="48" spans="1:16" ht="12.95" customHeight="1">
      <c r="F48" s="179"/>
      <c r="G48" s="198"/>
      <c r="N48" s="254"/>
      <c r="P48" s="214" t="str">
        <f t="shared" si="2"/>
        <v/>
      </c>
    </row>
    <row r="49" spans="6:16" ht="12.95" customHeight="1">
      <c r="F49" s="179"/>
      <c r="G49" s="198"/>
      <c r="N49" s="254"/>
      <c r="P49" s="214" t="str">
        <f t="shared" si="2"/>
        <v/>
      </c>
    </row>
    <row r="50" spans="6:16" ht="12.95" customHeight="1">
      <c r="F50" s="179"/>
      <c r="G50" s="198"/>
      <c r="N50" s="254"/>
      <c r="P50" s="214" t="str">
        <f t="shared" si="2"/>
        <v/>
      </c>
    </row>
    <row r="51" spans="6:16" ht="12.95" customHeight="1">
      <c r="F51" s="179"/>
      <c r="G51" s="198"/>
      <c r="N51" s="254"/>
      <c r="P51" s="214" t="str">
        <f t="shared" si="2"/>
        <v/>
      </c>
    </row>
    <row r="52" spans="6:16" ht="12.95" customHeight="1">
      <c r="F52" s="179"/>
      <c r="G52" s="198"/>
      <c r="N52" s="254"/>
      <c r="P52" s="214" t="str">
        <f t="shared" si="2"/>
        <v/>
      </c>
    </row>
    <row r="53" spans="6:16" ht="12.95" customHeight="1">
      <c r="F53" s="179"/>
      <c r="G53" s="198"/>
      <c r="N53" s="254"/>
      <c r="P53" s="214" t="str">
        <f t="shared" si="2"/>
        <v/>
      </c>
    </row>
    <row r="54" spans="6:16" ht="12.95" customHeight="1">
      <c r="F54" s="179"/>
      <c r="G54" s="198"/>
      <c r="N54" s="254"/>
    </row>
    <row r="55" spans="6:16" ht="12.95" customHeight="1">
      <c r="F55" s="179"/>
      <c r="G55" s="198"/>
      <c r="N55" s="254"/>
    </row>
    <row r="56" spans="6:16" ht="12.95" customHeight="1">
      <c r="F56" s="179"/>
      <c r="G56" s="198"/>
      <c r="N56" s="254"/>
    </row>
    <row r="57" spans="6:16" ht="12.95" customHeight="1">
      <c r="F57" s="179"/>
      <c r="G57" s="198"/>
      <c r="N57" s="254"/>
    </row>
    <row r="58" spans="6:16" ht="12.95" customHeight="1">
      <c r="F58" s="179"/>
      <c r="G58" s="198"/>
      <c r="N58" s="254"/>
    </row>
    <row r="59" spans="6:16" ht="12.95" customHeight="1">
      <c r="F59" s="179"/>
      <c r="G59" s="198"/>
      <c r="N59" s="254"/>
    </row>
    <row r="60" spans="6:16" ht="12.95" customHeight="1">
      <c r="F60" s="179"/>
      <c r="G60" s="198"/>
      <c r="N60" s="254"/>
    </row>
    <row r="61" spans="6:16" ht="12.95" customHeight="1">
      <c r="F61" s="179"/>
      <c r="G61" s="198"/>
      <c r="N61" s="254"/>
    </row>
    <row r="62" spans="6:16" ht="17.100000000000001" customHeight="1">
      <c r="F62" s="179"/>
      <c r="G62" s="198"/>
      <c r="N62" s="254"/>
    </row>
    <row r="63" spans="6:16" ht="14.25">
      <c r="F63" s="179"/>
      <c r="G63" s="198"/>
      <c r="N63" s="254"/>
    </row>
    <row r="64" spans="6:16" ht="14.25">
      <c r="F64" s="179"/>
      <c r="G64" s="198"/>
      <c r="N64" s="254"/>
    </row>
    <row r="65" spans="6:14" ht="14.25">
      <c r="F65" s="179"/>
      <c r="G65" s="198"/>
      <c r="N65" s="254"/>
    </row>
    <row r="66" spans="6:14" ht="14.25">
      <c r="F66" s="179"/>
      <c r="G66" s="198"/>
      <c r="N66" s="254"/>
    </row>
    <row r="67" spans="6:14" ht="14.25">
      <c r="F67" s="179"/>
      <c r="G67" s="198"/>
      <c r="N67" s="254"/>
    </row>
    <row r="68" spans="6:14" ht="14.25">
      <c r="F68" s="179"/>
      <c r="G68" s="198"/>
      <c r="N68" s="254"/>
    </row>
    <row r="69" spans="6:14" ht="14.25">
      <c r="F69" s="179"/>
      <c r="G69" s="198"/>
      <c r="N69" s="254"/>
    </row>
    <row r="70" spans="6:14" ht="14.25">
      <c r="F70" s="179"/>
      <c r="G70" s="198"/>
      <c r="N70" s="254"/>
    </row>
    <row r="71" spans="6:14" ht="14.25">
      <c r="F71" s="179"/>
      <c r="G71" s="198"/>
      <c r="N71" s="254"/>
    </row>
    <row r="72" spans="6:14" ht="14.25">
      <c r="F72" s="179"/>
      <c r="G72" s="198"/>
      <c r="N72" s="254"/>
    </row>
    <row r="73" spans="6:14" ht="14.25">
      <c r="F73" s="179"/>
      <c r="G73" s="198"/>
      <c r="N73" s="254"/>
    </row>
    <row r="74" spans="6:14" ht="14.25">
      <c r="F74" s="179"/>
      <c r="G74" s="198"/>
      <c r="N74" s="254"/>
    </row>
    <row r="75" spans="6:14" ht="14.25">
      <c r="F75" s="179"/>
      <c r="G75" s="198"/>
      <c r="N75" s="254"/>
    </row>
    <row r="76" spans="6:14" ht="14.25">
      <c r="F76" s="179"/>
      <c r="G76" s="179"/>
      <c r="N76" s="254"/>
    </row>
    <row r="77" spans="6:14" ht="14.25">
      <c r="F77" s="179"/>
      <c r="G77" s="179"/>
      <c r="N77" s="254"/>
    </row>
    <row r="78" spans="6:14" ht="14.25">
      <c r="F78" s="179"/>
      <c r="G78" s="179"/>
      <c r="N78" s="254"/>
    </row>
    <row r="79" spans="6:14" ht="14.25">
      <c r="F79" s="179"/>
      <c r="G79" s="179"/>
      <c r="N79" s="254"/>
    </row>
    <row r="80" spans="6:14" ht="14.25">
      <c r="F80" s="179"/>
      <c r="G80" s="179"/>
      <c r="N80" s="254"/>
    </row>
    <row r="81" spans="6:14" ht="14.25">
      <c r="F81" s="179"/>
      <c r="G81" s="179"/>
      <c r="N81" s="254"/>
    </row>
    <row r="82" spans="6:14" ht="14.25">
      <c r="F82" s="179"/>
      <c r="G82" s="179"/>
      <c r="N82" s="254"/>
    </row>
    <row r="83" spans="6:14" ht="14.25">
      <c r="F83" s="179"/>
      <c r="G83" s="179"/>
      <c r="N83" s="254"/>
    </row>
    <row r="84" spans="6:14" ht="14.25">
      <c r="F84" s="179"/>
      <c r="G84" s="179"/>
      <c r="N84" s="254"/>
    </row>
    <row r="85" spans="6:14" ht="14.25">
      <c r="F85" s="179"/>
      <c r="G85" s="179"/>
      <c r="N85" s="254"/>
    </row>
    <row r="86" spans="6:14" ht="14.25">
      <c r="F86" s="179"/>
      <c r="G86" s="179"/>
      <c r="N86" s="254"/>
    </row>
    <row r="87" spans="6:14" ht="14.25">
      <c r="F87" s="179"/>
      <c r="G87" s="179"/>
      <c r="N87" s="254"/>
    </row>
    <row r="88" spans="6:14" ht="14.25">
      <c r="F88" s="179"/>
      <c r="G88" s="179"/>
      <c r="N88" s="254"/>
    </row>
    <row r="89" spans="6:14" ht="14.25">
      <c r="F89" s="179"/>
      <c r="G89" s="179"/>
      <c r="N89" s="254"/>
    </row>
    <row r="90" spans="6:14" ht="14.25">
      <c r="F90" s="179"/>
      <c r="G90" s="179"/>
      <c r="N90" s="254"/>
    </row>
    <row r="91" spans="6:14" ht="14.25">
      <c r="F91" s="179"/>
      <c r="G91" s="179"/>
      <c r="N91" s="254"/>
    </row>
    <row r="92" spans="6:14" ht="14.25">
      <c r="F92" s="179"/>
      <c r="G92" s="179"/>
      <c r="N92" s="254"/>
    </row>
    <row r="93" spans="6:14">
      <c r="G93" s="179"/>
    </row>
    <row r="94" spans="6:14">
      <c r="G94" s="179"/>
    </row>
    <row r="95" spans="6:14">
      <c r="G95" s="179"/>
    </row>
    <row r="96" spans="6:14">
      <c r="G96" s="179"/>
    </row>
    <row r="97" spans="7:7">
      <c r="G97" s="179"/>
    </row>
    <row r="98" spans="7:7">
      <c r="G98" s="179"/>
    </row>
  </sheetData>
  <mergeCells count="15">
    <mergeCell ref="P4:P5"/>
    <mergeCell ref="B2:P2"/>
    <mergeCell ref="K4:K5"/>
    <mergeCell ref="O4:O5"/>
    <mergeCell ref="H4:H5"/>
    <mergeCell ref="H3:I3"/>
    <mergeCell ref="L4:N4"/>
    <mergeCell ref="B4:B5"/>
    <mergeCell ref="C4:C5"/>
    <mergeCell ref="D4:D5"/>
    <mergeCell ref="G4:G5"/>
    <mergeCell ref="F4:F5"/>
    <mergeCell ref="I4:I5"/>
    <mergeCell ref="J4:J5"/>
    <mergeCell ref="E4:E5"/>
  </mergeCells>
  <phoneticPr fontId="2" type="noConversion"/>
  <pageMargins left="0.78740157480314965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4"/>
  <dimension ref="A1:T96"/>
  <sheetViews>
    <sheetView zoomScaleNormal="100" workbookViewId="0">
      <selection activeCell="N34" sqref="N34"/>
    </sheetView>
  </sheetViews>
  <sheetFormatPr defaultColWidth="9.140625" defaultRowHeight="12.75"/>
  <cols>
    <col min="1" max="1" width="4.42578125" style="161" customWidth="1"/>
    <col min="2" max="2" width="4.7109375" style="9" customWidth="1"/>
    <col min="3" max="3" width="5.140625" style="9" customWidth="1"/>
    <col min="4" max="4" width="5" style="9" customWidth="1"/>
    <col min="5" max="5" width="5" style="161" customWidth="1"/>
    <col min="6" max="6" width="8.7109375" style="18" customWidth="1"/>
    <col min="7" max="7" width="8.7109375" style="166" customWidth="1"/>
    <col min="8" max="8" width="50.7109375" style="9" customWidth="1"/>
    <col min="9" max="10" width="14.7109375" style="51" customWidth="1"/>
    <col min="11" max="11" width="12.5703125" style="51" customWidth="1"/>
    <col min="12" max="13" width="14.7109375" style="51" customWidth="1"/>
    <col min="14" max="14" width="15.7109375" style="51" customWidth="1"/>
    <col min="15" max="16" width="7.7109375" style="214" customWidth="1"/>
    <col min="17" max="16384" width="9.140625" style="9"/>
  </cols>
  <sheetData>
    <row r="1" spans="1:20" ht="13.5" thickBot="1"/>
    <row r="2" spans="1:20" s="244" customFormat="1" ht="20.100000000000001" customHeight="1" thickTop="1" thickBot="1">
      <c r="B2" s="1034" t="s">
        <v>648</v>
      </c>
      <c r="C2" s="1035"/>
      <c r="D2" s="1035"/>
      <c r="E2" s="1035"/>
      <c r="F2" s="1035"/>
      <c r="G2" s="1035"/>
      <c r="H2" s="1035"/>
      <c r="I2" s="1035"/>
      <c r="J2" s="1070"/>
      <c r="K2" s="1070"/>
      <c r="L2" s="1070"/>
      <c r="M2" s="1070"/>
      <c r="N2" s="1070"/>
      <c r="O2" s="1070"/>
      <c r="P2" s="1036"/>
    </row>
    <row r="3" spans="1:20" s="1" customFormat="1" ht="8.1" customHeight="1" thickTop="1" thickBot="1">
      <c r="A3" s="158"/>
      <c r="E3" s="158"/>
      <c r="F3" s="2"/>
      <c r="G3" s="159"/>
      <c r="H3" s="1039"/>
      <c r="I3" s="1039"/>
      <c r="J3" s="139"/>
      <c r="K3" s="721"/>
      <c r="L3" s="74"/>
      <c r="M3" s="74"/>
      <c r="N3" s="74"/>
      <c r="O3" s="208"/>
      <c r="P3" s="208"/>
    </row>
    <row r="4" spans="1:20" s="1" customFormat="1" ht="39" customHeight="1">
      <c r="A4" s="158"/>
      <c r="B4" s="1043" t="s">
        <v>76</v>
      </c>
      <c r="C4" s="1045" t="s">
        <v>77</v>
      </c>
      <c r="D4" s="1047" t="s">
        <v>102</v>
      </c>
      <c r="E4" s="1062" t="s">
        <v>692</v>
      </c>
      <c r="F4" s="1058" t="s">
        <v>466</v>
      </c>
      <c r="G4" s="1048" t="s">
        <v>493</v>
      </c>
      <c r="H4" s="1050" t="s">
        <v>78</v>
      </c>
      <c r="I4" s="1059" t="s">
        <v>901</v>
      </c>
      <c r="J4" s="1068" t="s">
        <v>813</v>
      </c>
      <c r="K4" s="1037" t="s">
        <v>906</v>
      </c>
      <c r="L4" s="1040" t="s">
        <v>905</v>
      </c>
      <c r="M4" s="1041"/>
      <c r="N4" s="1042"/>
      <c r="O4" s="1054" t="s">
        <v>945</v>
      </c>
      <c r="P4" s="1032" t="s">
        <v>946</v>
      </c>
      <c r="R4" s="61"/>
    </row>
    <row r="5" spans="1:20" s="158" customFormat="1" ht="27" customHeight="1">
      <c r="B5" s="1044"/>
      <c r="C5" s="1046"/>
      <c r="D5" s="1046"/>
      <c r="E5" s="1049"/>
      <c r="F5" s="1051"/>
      <c r="G5" s="1049"/>
      <c r="H5" s="1051"/>
      <c r="I5" s="1051"/>
      <c r="J5" s="1051"/>
      <c r="K5" s="1038"/>
      <c r="L5" s="373" t="s">
        <v>526</v>
      </c>
      <c r="M5" s="242" t="s">
        <v>527</v>
      </c>
      <c r="N5" s="764" t="s">
        <v>319</v>
      </c>
      <c r="O5" s="1055"/>
      <c r="P5" s="1033"/>
    </row>
    <row r="6" spans="1:20" s="2" customFormat="1" ht="12.95" customHeight="1">
      <c r="A6" s="159"/>
      <c r="B6" s="328">
        <v>1</v>
      </c>
      <c r="C6" s="195">
        <v>2</v>
      </c>
      <c r="D6" s="195">
        <v>3</v>
      </c>
      <c r="E6" s="195">
        <v>4</v>
      </c>
      <c r="F6" s="195">
        <v>5</v>
      </c>
      <c r="G6" s="195">
        <v>6</v>
      </c>
      <c r="H6" s="195">
        <v>7</v>
      </c>
      <c r="I6" s="195">
        <v>8</v>
      </c>
      <c r="J6" s="195">
        <v>9</v>
      </c>
      <c r="K6" s="188">
        <v>10</v>
      </c>
      <c r="L6" s="328">
        <v>11</v>
      </c>
      <c r="M6" s="195">
        <v>12</v>
      </c>
      <c r="N6" s="810" t="s">
        <v>694</v>
      </c>
      <c r="O6" s="929" t="s">
        <v>814</v>
      </c>
      <c r="P6" s="930" t="s">
        <v>944</v>
      </c>
    </row>
    <row r="7" spans="1:20" s="2" customFormat="1" ht="12.95" customHeight="1">
      <c r="A7" s="159"/>
      <c r="B7" s="6" t="s">
        <v>118</v>
      </c>
      <c r="C7" s="7" t="s">
        <v>119</v>
      </c>
      <c r="D7" s="7" t="s">
        <v>113</v>
      </c>
      <c r="E7" s="415" t="s">
        <v>698</v>
      </c>
      <c r="F7" s="5"/>
      <c r="G7" s="160"/>
      <c r="H7" s="5"/>
      <c r="I7" s="70"/>
      <c r="J7" s="70"/>
      <c r="K7" s="726"/>
      <c r="L7" s="391"/>
      <c r="M7" s="70"/>
      <c r="N7" s="832"/>
      <c r="O7" s="951"/>
      <c r="P7" s="952"/>
    </row>
    <row r="8" spans="1:20" s="1" customFormat="1" ht="12.95" customHeight="1">
      <c r="A8" s="158"/>
      <c r="B8" s="12"/>
      <c r="C8" s="8"/>
      <c r="D8" s="8"/>
      <c r="E8" s="8"/>
      <c r="F8" s="176">
        <v>611000</v>
      </c>
      <c r="G8" s="195"/>
      <c r="H8" s="25" t="s">
        <v>140</v>
      </c>
      <c r="I8" s="374">
        <f t="shared" ref="I8:N8" si="0">SUM(I9:I12)</f>
        <v>1253850</v>
      </c>
      <c r="J8" s="374">
        <f t="shared" si="0"/>
        <v>1250530</v>
      </c>
      <c r="K8" s="730">
        <f t="shared" si="0"/>
        <v>1173933</v>
      </c>
      <c r="L8" s="488">
        <f t="shared" si="0"/>
        <v>1246727</v>
      </c>
      <c r="M8" s="374">
        <f t="shared" si="0"/>
        <v>0</v>
      </c>
      <c r="N8" s="812">
        <f t="shared" si="0"/>
        <v>1246727</v>
      </c>
      <c r="O8" s="953">
        <f t="shared" ref="O8:O32" si="1">IF(J8=0,"",N8/J8*100)</f>
        <v>99.695888943088136</v>
      </c>
      <c r="P8" s="954">
        <f>IF(K8=0,"",N8/K8*100)</f>
        <v>106.20086495566612</v>
      </c>
    </row>
    <row r="9" spans="1:20" ht="12.95" customHeight="1">
      <c r="B9" s="10"/>
      <c r="C9" s="11"/>
      <c r="D9" s="11"/>
      <c r="E9" s="163"/>
      <c r="F9" s="177">
        <v>611100</v>
      </c>
      <c r="G9" s="196"/>
      <c r="H9" s="428" t="s">
        <v>161</v>
      </c>
      <c r="I9" s="237">
        <f>1024600+4000+2*500+12930</f>
        <v>1042530</v>
      </c>
      <c r="J9" s="237">
        <v>1039210</v>
      </c>
      <c r="K9" s="731">
        <v>987375</v>
      </c>
      <c r="L9" s="360">
        <v>1038192</v>
      </c>
      <c r="M9" s="229">
        <v>0</v>
      </c>
      <c r="N9" s="813">
        <f>SUM(L9:M9)</f>
        <v>1038192</v>
      </c>
      <c r="O9" s="955">
        <f t="shared" si="1"/>
        <v>99.902040973431738</v>
      </c>
      <c r="P9" s="956">
        <f t="shared" ref="P9:P53" si="2">IF(K9=0,"",N9/K9*100)</f>
        <v>105.14667679453096</v>
      </c>
    </row>
    <row r="10" spans="1:20" ht="12.95" customHeight="1">
      <c r="B10" s="10"/>
      <c r="C10" s="11"/>
      <c r="D10" s="11"/>
      <c r="E10" s="163"/>
      <c r="F10" s="177">
        <v>611200</v>
      </c>
      <c r="G10" s="196"/>
      <c r="H10" s="24" t="s">
        <v>162</v>
      </c>
      <c r="I10" s="237">
        <f>174600+3000+2*1150+3*1140+40*700</f>
        <v>211320</v>
      </c>
      <c r="J10" s="237">
        <f>174600+3000+2*1150+3*1140+40*700</f>
        <v>211320</v>
      </c>
      <c r="K10" s="731">
        <v>186558</v>
      </c>
      <c r="L10" s="360">
        <v>208535</v>
      </c>
      <c r="M10" s="229">
        <v>0</v>
      </c>
      <c r="N10" s="813">
        <f t="shared" ref="N10:N11" si="3">SUM(L10:M10)</f>
        <v>208535</v>
      </c>
      <c r="O10" s="955">
        <f t="shared" si="1"/>
        <v>98.682093507476807</v>
      </c>
      <c r="P10" s="956">
        <f t="shared" si="2"/>
        <v>111.78025064591172</v>
      </c>
    </row>
    <row r="11" spans="1:20" ht="12.95" customHeight="1">
      <c r="B11" s="10"/>
      <c r="C11" s="11"/>
      <c r="D11" s="11"/>
      <c r="E11" s="163"/>
      <c r="F11" s="177">
        <v>611200</v>
      </c>
      <c r="G11" s="196"/>
      <c r="H11" s="435" t="s">
        <v>434</v>
      </c>
      <c r="I11" s="375">
        <v>0</v>
      </c>
      <c r="J11" s="375">
        <v>0</v>
      </c>
      <c r="K11" s="732">
        <v>0</v>
      </c>
      <c r="L11" s="489">
        <v>0</v>
      </c>
      <c r="M11" s="375">
        <v>0</v>
      </c>
      <c r="N11" s="813">
        <f t="shared" si="3"/>
        <v>0</v>
      </c>
      <c r="O11" s="955" t="str">
        <f t="shared" si="1"/>
        <v/>
      </c>
      <c r="P11" s="956" t="str">
        <f t="shared" si="2"/>
        <v/>
      </c>
      <c r="R11" s="50"/>
    </row>
    <row r="12" spans="1:20" ht="12.95" customHeight="1">
      <c r="B12" s="10"/>
      <c r="C12" s="11"/>
      <c r="D12" s="11"/>
      <c r="E12" s="163"/>
      <c r="F12" s="177"/>
      <c r="G12" s="196"/>
      <c r="H12" s="428"/>
      <c r="I12" s="229"/>
      <c r="J12" s="229"/>
      <c r="K12" s="731"/>
      <c r="L12" s="362"/>
      <c r="M12" s="229"/>
      <c r="N12" s="813"/>
      <c r="O12" s="955" t="str">
        <f t="shared" si="1"/>
        <v/>
      </c>
      <c r="P12" s="956" t="str">
        <f t="shared" si="2"/>
        <v/>
      </c>
    </row>
    <row r="13" spans="1:20" s="1" customFormat="1" ht="12.95" customHeight="1">
      <c r="A13" s="158"/>
      <c r="B13" s="12"/>
      <c r="C13" s="8"/>
      <c r="D13" s="8"/>
      <c r="E13" s="8"/>
      <c r="F13" s="176">
        <v>612000</v>
      </c>
      <c r="G13" s="195"/>
      <c r="H13" s="25" t="s">
        <v>139</v>
      </c>
      <c r="I13" s="374">
        <f t="shared" ref="I13:N13" si="4">I14</f>
        <v>108850</v>
      </c>
      <c r="J13" s="374">
        <f t="shared" si="4"/>
        <v>108850</v>
      </c>
      <c r="K13" s="730">
        <f t="shared" si="4"/>
        <v>105497</v>
      </c>
      <c r="L13" s="488">
        <f t="shared" si="4"/>
        <v>108084</v>
      </c>
      <c r="M13" s="374">
        <f t="shared" si="4"/>
        <v>0</v>
      </c>
      <c r="N13" s="812">
        <f t="shared" si="4"/>
        <v>108084</v>
      </c>
      <c r="O13" s="953">
        <f t="shared" si="1"/>
        <v>99.296279283417547</v>
      </c>
      <c r="P13" s="954">
        <f t="shared" si="2"/>
        <v>102.45220243229664</v>
      </c>
    </row>
    <row r="14" spans="1:20" ht="12.95" customHeight="1">
      <c r="B14" s="10"/>
      <c r="C14" s="11"/>
      <c r="D14" s="11"/>
      <c r="E14" s="163"/>
      <c r="F14" s="177">
        <v>612100</v>
      </c>
      <c r="G14" s="196"/>
      <c r="H14" s="430" t="s">
        <v>81</v>
      </c>
      <c r="I14" s="229">
        <f>107790+700+2*180</f>
        <v>108850</v>
      </c>
      <c r="J14" s="229">
        <f>107790+700+2*180</f>
        <v>108850</v>
      </c>
      <c r="K14" s="731">
        <v>105497</v>
      </c>
      <c r="L14" s="360">
        <v>108084</v>
      </c>
      <c r="M14" s="229">
        <v>0</v>
      </c>
      <c r="N14" s="813">
        <f>SUM(L14:M14)</f>
        <v>108084</v>
      </c>
      <c r="O14" s="955">
        <f t="shared" si="1"/>
        <v>99.296279283417547</v>
      </c>
      <c r="P14" s="956">
        <f t="shared" si="2"/>
        <v>102.45220243229664</v>
      </c>
    </row>
    <row r="15" spans="1:20" ht="12.95" customHeight="1">
      <c r="B15" s="10"/>
      <c r="C15" s="11"/>
      <c r="D15" s="11"/>
      <c r="E15" s="163"/>
      <c r="F15" s="177"/>
      <c r="G15" s="196"/>
      <c r="H15" s="24"/>
      <c r="I15" s="233"/>
      <c r="J15" s="233"/>
      <c r="K15" s="222"/>
      <c r="L15" s="359"/>
      <c r="M15" s="233"/>
      <c r="N15" s="776"/>
      <c r="O15" s="955" t="str">
        <f t="shared" si="1"/>
        <v/>
      </c>
      <c r="P15" s="956" t="str">
        <f t="shared" si="2"/>
        <v/>
      </c>
      <c r="T15" s="51"/>
    </row>
    <row r="16" spans="1:20" s="1" customFormat="1" ht="12.95" customHeight="1">
      <c r="A16" s="158"/>
      <c r="B16" s="12"/>
      <c r="C16" s="8"/>
      <c r="D16" s="8"/>
      <c r="E16" s="8"/>
      <c r="F16" s="176">
        <v>613000</v>
      </c>
      <c r="G16" s="195"/>
      <c r="H16" s="25" t="s">
        <v>141</v>
      </c>
      <c r="I16" s="236">
        <f t="shared" ref="I16:N16" si="5">SUM(I17:I26)</f>
        <v>277000</v>
      </c>
      <c r="J16" s="236">
        <f t="shared" si="5"/>
        <v>277000</v>
      </c>
      <c r="K16" s="226">
        <f t="shared" si="5"/>
        <v>246874</v>
      </c>
      <c r="L16" s="483">
        <f t="shared" si="5"/>
        <v>270667</v>
      </c>
      <c r="M16" s="234">
        <f t="shared" si="5"/>
        <v>0</v>
      </c>
      <c r="N16" s="774">
        <f t="shared" si="5"/>
        <v>270667</v>
      </c>
      <c r="O16" s="953">
        <f t="shared" si="1"/>
        <v>97.713718411552335</v>
      </c>
      <c r="P16" s="954">
        <f t="shared" si="2"/>
        <v>109.63770992490096</v>
      </c>
    </row>
    <row r="17" spans="1:17" ht="12.95" customHeight="1">
      <c r="B17" s="10"/>
      <c r="C17" s="11"/>
      <c r="D17" s="11"/>
      <c r="E17" s="163"/>
      <c r="F17" s="177">
        <v>613100</v>
      </c>
      <c r="G17" s="196"/>
      <c r="H17" s="24" t="s">
        <v>82</v>
      </c>
      <c r="I17" s="237">
        <v>4000</v>
      </c>
      <c r="J17" s="237">
        <v>4000</v>
      </c>
      <c r="K17" s="224">
        <v>1714</v>
      </c>
      <c r="L17" s="359">
        <v>3703</v>
      </c>
      <c r="M17" s="233">
        <v>0</v>
      </c>
      <c r="N17" s="813">
        <f t="shared" ref="N17:N26" si="6">SUM(L17:M17)</f>
        <v>3703</v>
      </c>
      <c r="O17" s="955">
        <f t="shared" si="1"/>
        <v>92.575000000000003</v>
      </c>
      <c r="P17" s="956">
        <f t="shared" si="2"/>
        <v>216.0443407234539</v>
      </c>
    </row>
    <row r="18" spans="1:17" ht="12.95" customHeight="1">
      <c r="B18" s="10"/>
      <c r="C18" s="11"/>
      <c r="D18" s="11"/>
      <c r="E18" s="163"/>
      <c r="F18" s="177">
        <v>613200</v>
      </c>
      <c r="G18" s="196"/>
      <c r="H18" s="24" t="s">
        <v>83</v>
      </c>
      <c r="I18" s="237">
        <v>18000</v>
      </c>
      <c r="J18" s="237">
        <v>18000</v>
      </c>
      <c r="K18" s="224">
        <v>16360</v>
      </c>
      <c r="L18" s="359">
        <v>16776</v>
      </c>
      <c r="M18" s="233">
        <v>0</v>
      </c>
      <c r="N18" s="813">
        <f t="shared" si="6"/>
        <v>16776</v>
      </c>
      <c r="O18" s="955">
        <f t="shared" si="1"/>
        <v>93.2</v>
      </c>
      <c r="P18" s="956">
        <f t="shared" si="2"/>
        <v>102.54278728606356</v>
      </c>
    </row>
    <row r="19" spans="1:17" ht="12.95" customHeight="1">
      <c r="B19" s="10"/>
      <c r="C19" s="11"/>
      <c r="D19" s="11"/>
      <c r="E19" s="163"/>
      <c r="F19" s="177">
        <v>613300</v>
      </c>
      <c r="G19" s="196"/>
      <c r="H19" s="428" t="s">
        <v>163</v>
      </c>
      <c r="I19" s="237">
        <v>75000</v>
      </c>
      <c r="J19" s="237">
        <v>75000</v>
      </c>
      <c r="K19" s="224">
        <v>71986</v>
      </c>
      <c r="L19" s="359">
        <v>73354</v>
      </c>
      <c r="M19" s="233">
        <v>0</v>
      </c>
      <c r="N19" s="813">
        <f t="shared" si="6"/>
        <v>73354</v>
      </c>
      <c r="O19" s="955">
        <f t="shared" si="1"/>
        <v>97.805333333333337</v>
      </c>
      <c r="P19" s="956">
        <f t="shared" si="2"/>
        <v>101.90036951629484</v>
      </c>
    </row>
    <row r="20" spans="1:17" ht="12.95" customHeight="1">
      <c r="B20" s="10"/>
      <c r="C20" s="11"/>
      <c r="D20" s="11"/>
      <c r="E20" s="163"/>
      <c r="F20" s="177">
        <v>613400</v>
      </c>
      <c r="G20" s="196"/>
      <c r="H20" s="24" t="s">
        <v>142</v>
      </c>
      <c r="I20" s="237">
        <v>25000</v>
      </c>
      <c r="J20" s="237">
        <v>26600</v>
      </c>
      <c r="K20" s="224">
        <v>27713</v>
      </c>
      <c r="L20" s="360">
        <v>26580</v>
      </c>
      <c r="M20" s="237">
        <v>0</v>
      </c>
      <c r="N20" s="813">
        <f t="shared" si="6"/>
        <v>26580</v>
      </c>
      <c r="O20" s="955">
        <f t="shared" si="1"/>
        <v>99.924812030075188</v>
      </c>
      <c r="P20" s="956">
        <f t="shared" si="2"/>
        <v>95.911666005123948</v>
      </c>
      <c r="Q20" s="45"/>
    </row>
    <row r="21" spans="1:17" ht="12.95" customHeight="1">
      <c r="B21" s="10"/>
      <c r="C21" s="11"/>
      <c r="D21" s="11"/>
      <c r="E21" s="163"/>
      <c r="F21" s="177">
        <v>613500</v>
      </c>
      <c r="G21" s="196"/>
      <c r="H21" s="24" t="s">
        <v>84</v>
      </c>
      <c r="I21" s="237">
        <v>13000</v>
      </c>
      <c r="J21" s="237">
        <v>11400</v>
      </c>
      <c r="K21" s="224">
        <v>8494</v>
      </c>
      <c r="L21" s="359">
        <v>11017</v>
      </c>
      <c r="M21" s="233">
        <v>0</v>
      </c>
      <c r="N21" s="813">
        <f t="shared" si="6"/>
        <v>11017</v>
      </c>
      <c r="O21" s="955">
        <f t="shared" si="1"/>
        <v>96.640350877192986</v>
      </c>
      <c r="P21" s="956">
        <f t="shared" si="2"/>
        <v>129.70331999058158</v>
      </c>
    </row>
    <row r="22" spans="1:17" ht="12.95" customHeight="1">
      <c r="B22" s="10"/>
      <c r="C22" s="11"/>
      <c r="D22" s="11"/>
      <c r="E22" s="163"/>
      <c r="F22" s="177">
        <v>613600</v>
      </c>
      <c r="G22" s="196"/>
      <c r="H22" s="428" t="s">
        <v>164</v>
      </c>
      <c r="I22" s="237">
        <v>0</v>
      </c>
      <c r="J22" s="237">
        <v>0</v>
      </c>
      <c r="K22" s="224">
        <v>0</v>
      </c>
      <c r="L22" s="360">
        <v>0</v>
      </c>
      <c r="M22" s="237">
        <v>0</v>
      </c>
      <c r="N22" s="813">
        <f t="shared" si="6"/>
        <v>0</v>
      </c>
      <c r="O22" s="955" t="str">
        <f t="shared" si="1"/>
        <v/>
      </c>
      <c r="P22" s="956" t="str">
        <f t="shared" si="2"/>
        <v/>
      </c>
    </row>
    <row r="23" spans="1:17" ht="12.95" customHeight="1">
      <c r="B23" s="10"/>
      <c r="C23" s="11"/>
      <c r="D23" s="11"/>
      <c r="E23" s="163"/>
      <c r="F23" s="177">
        <v>613700</v>
      </c>
      <c r="G23" s="196"/>
      <c r="H23" s="24" t="s">
        <v>85</v>
      </c>
      <c r="I23" s="237">
        <v>7000</v>
      </c>
      <c r="J23" s="237">
        <v>7000</v>
      </c>
      <c r="K23" s="224">
        <v>6313</v>
      </c>
      <c r="L23" s="360">
        <v>6685</v>
      </c>
      <c r="M23" s="237">
        <v>0</v>
      </c>
      <c r="N23" s="813">
        <f t="shared" si="6"/>
        <v>6685</v>
      </c>
      <c r="O23" s="955">
        <f t="shared" si="1"/>
        <v>95.5</v>
      </c>
      <c r="P23" s="956">
        <f t="shared" si="2"/>
        <v>105.89260256613338</v>
      </c>
    </row>
    <row r="24" spans="1:17" ht="12.95" customHeight="1">
      <c r="B24" s="10"/>
      <c r="C24" s="11"/>
      <c r="D24" s="11"/>
      <c r="E24" s="163"/>
      <c r="F24" s="177">
        <v>613800</v>
      </c>
      <c r="G24" s="196"/>
      <c r="H24" s="24" t="s">
        <v>143</v>
      </c>
      <c r="I24" s="237">
        <v>5000</v>
      </c>
      <c r="J24" s="237">
        <v>5000</v>
      </c>
      <c r="K24" s="224">
        <v>1602</v>
      </c>
      <c r="L24" s="360">
        <v>2767</v>
      </c>
      <c r="M24" s="237">
        <v>0</v>
      </c>
      <c r="N24" s="813">
        <f t="shared" si="6"/>
        <v>2767</v>
      </c>
      <c r="O24" s="955">
        <f t="shared" si="1"/>
        <v>55.34</v>
      </c>
      <c r="P24" s="956">
        <f t="shared" si="2"/>
        <v>172.72159800249688</v>
      </c>
    </row>
    <row r="25" spans="1:17" ht="12.95" customHeight="1">
      <c r="B25" s="10"/>
      <c r="C25" s="11"/>
      <c r="D25" s="11"/>
      <c r="E25" s="163"/>
      <c r="F25" s="177">
        <v>613900</v>
      </c>
      <c r="G25" s="196"/>
      <c r="H25" s="24" t="s">
        <v>144</v>
      </c>
      <c r="I25" s="237">
        <v>130000</v>
      </c>
      <c r="J25" s="237">
        <v>130000</v>
      </c>
      <c r="K25" s="224">
        <v>112692</v>
      </c>
      <c r="L25" s="360">
        <v>129785</v>
      </c>
      <c r="M25" s="237">
        <v>0</v>
      </c>
      <c r="N25" s="813">
        <f t="shared" si="6"/>
        <v>129785</v>
      </c>
      <c r="O25" s="955">
        <f t="shared" si="1"/>
        <v>99.83461538461539</v>
      </c>
      <c r="P25" s="956">
        <f t="shared" si="2"/>
        <v>115.16789124338906</v>
      </c>
      <c r="Q25" s="58"/>
    </row>
    <row r="26" spans="1:17" ht="12.95" customHeight="1">
      <c r="B26" s="10"/>
      <c r="C26" s="11"/>
      <c r="D26" s="11"/>
      <c r="E26" s="163"/>
      <c r="F26" s="177">
        <v>613900</v>
      </c>
      <c r="G26" s="196"/>
      <c r="H26" s="435" t="s">
        <v>435</v>
      </c>
      <c r="I26" s="237">
        <v>0</v>
      </c>
      <c r="J26" s="237">
        <v>0</v>
      </c>
      <c r="K26" s="224">
        <v>0</v>
      </c>
      <c r="L26" s="360">
        <v>0</v>
      </c>
      <c r="M26" s="237">
        <v>0</v>
      </c>
      <c r="N26" s="813">
        <f t="shared" si="6"/>
        <v>0</v>
      </c>
      <c r="O26" s="955" t="str">
        <f t="shared" si="1"/>
        <v/>
      </c>
      <c r="P26" s="956" t="str">
        <f t="shared" si="2"/>
        <v/>
      </c>
    </row>
    <row r="27" spans="1:17" s="1" customFormat="1" ht="12.95" customHeight="1">
      <c r="A27" s="158"/>
      <c r="B27" s="12"/>
      <c r="C27" s="8"/>
      <c r="D27" s="8"/>
      <c r="E27" s="414"/>
      <c r="F27" s="187"/>
      <c r="G27" s="207"/>
      <c r="H27" s="25"/>
      <c r="I27" s="237"/>
      <c r="J27" s="237"/>
      <c r="K27" s="224"/>
      <c r="L27" s="360"/>
      <c r="M27" s="237"/>
      <c r="N27" s="776"/>
      <c r="O27" s="955" t="str">
        <f t="shared" si="1"/>
        <v/>
      </c>
      <c r="P27" s="956" t="str">
        <f t="shared" si="2"/>
        <v/>
      </c>
    </row>
    <row r="28" spans="1:17" ht="12.95" customHeight="1">
      <c r="B28" s="10"/>
      <c r="C28" s="11"/>
      <c r="D28" s="11"/>
      <c r="E28" s="163"/>
      <c r="F28" s="177"/>
      <c r="G28" s="196"/>
      <c r="H28" s="24"/>
      <c r="I28" s="236"/>
      <c r="J28" s="236"/>
      <c r="K28" s="226"/>
      <c r="L28" s="482"/>
      <c r="M28" s="236"/>
      <c r="N28" s="774"/>
      <c r="O28" s="955" t="str">
        <f t="shared" si="1"/>
        <v/>
      </c>
      <c r="P28" s="956" t="str">
        <f t="shared" si="2"/>
        <v/>
      </c>
    </row>
    <row r="29" spans="1:17" s="1" customFormat="1" ht="12.95" customHeight="1">
      <c r="A29" s="158"/>
      <c r="B29" s="12"/>
      <c r="C29" s="8"/>
      <c r="D29" s="8"/>
      <c r="E29" s="8"/>
      <c r="F29" s="176">
        <v>821000</v>
      </c>
      <c r="G29" s="195"/>
      <c r="H29" s="25" t="s">
        <v>88</v>
      </c>
      <c r="I29" s="236">
        <f t="shared" ref="I29:N29" si="7">I30+I31</f>
        <v>53000</v>
      </c>
      <c r="J29" s="236">
        <f t="shared" si="7"/>
        <v>53000</v>
      </c>
      <c r="K29" s="226">
        <f t="shared" si="7"/>
        <v>4337</v>
      </c>
      <c r="L29" s="482">
        <f t="shared" si="7"/>
        <v>51914</v>
      </c>
      <c r="M29" s="236">
        <f t="shared" si="7"/>
        <v>0</v>
      </c>
      <c r="N29" s="774">
        <f t="shared" si="7"/>
        <v>51914</v>
      </c>
      <c r="O29" s="953">
        <f t="shared" si="1"/>
        <v>97.950943396226421</v>
      </c>
      <c r="P29" s="954">
        <f t="shared" si="2"/>
        <v>1197.0025363154255</v>
      </c>
    </row>
    <row r="30" spans="1:17" ht="12.95" customHeight="1">
      <c r="B30" s="10"/>
      <c r="C30" s="11"/>
      <c r="D30" s="11"/>
      <c r="E30" s="163"/>
      <c r="F30" s="177">
        <v>821200</v>
      </c>
      <c r="G30" s="196"/>
      <c r="H30" s="24" t="s">
        <v>89</v>
      </c>
      <c r="I30" s="237">
        <v>5000</v>
      </c>
      <c r="J30" s="237">
        <v>5000</v>
      </c>
      <c r="K30" s="224">
        <v>0</v>
      </c>
      <c r="L30" s="360">
        <v>5000</v>
      </c>
      <c r="M30" s="237">
        <v>0</v>
      </c>
      <c r="N30" s="813">
        <f t="shared" ref="N30:N31" si="8">SUM(L30:M30)</f>
        <v>5000</v>
      </c>
      <c r="O30" s="955">
        <f t="shared" si="1"/>
        <v>100</v>
      </c>
      <c r="P30" s="956" t="str">
        <f t="shared" si="2"/>
        <v/>
      </c>
    </row>
    <row r="31" spans="1:17" ht="12.95" customHeight="1">
      <c r="B31" s="10"/>
      <c r="C31" s="11"/>
      <c r="D31" s="11"/>
      <c r="E31" s="163"/>
      <c r="F31" s="177">
        <v>821300</v>
      </c>
      <c r="G31" s="196"/>
      <c r="H31" s="24" t="s">
        <v>90</v>
      </c>
      <c r="I31" s="237">
        <v>48000</v>
      </c>
      <c r="J31" s="237">
        <v>48000</v>
      </c>
      <c r="K31" s="224">
        <v>4337</v>
      </c>
      <c r="L31" s="360">
        <v>46914</v>
      </c>
      <c r="M31" s="237">
        <v>0</v>
      </c>
      <c r="N31" s="813">
        <f t="shared" si="8"/>
        <v>46914</v>
      </c>
      <c r="O31" s="955">
        <f t="shared" si="1"/>
        <v>97.737499999999997</v>
      </c>
      <c r="P31" s="956">
        <f t="shared" si="2"/>
        <v>1081.7154715240949</v>
      </c>
    </row>
    <row r="32" spans="1:17" ht="12.95" customHeight="1">
      <c r="B32" s="10"/>
      <c r="C32" s="11"/>
      <c r="D32" s="11"/>
      <c r="E32" s="163"/>
      <c r="F32" s="177"/>
      <c r="G32" s="196"/>
      <c r="H32" s="24"/>
      <c r="I32" s="233"/>
      <c r="J32" s="233"/>
      <c r="K32" s="222"/>
      <c r="L32" s="359"/>
      <c r="M32" s="233"/>
      <c r="N32" s="776"/>
      <c r="O32" s="955" t="str">
        <f t="shared" si="1"/>
        <v/>
      </c>
      <c r="P32" s="956" t="str">
        <f t="shared" si="2"/>
        <v/>
      </c>
    </row>
    <row r="33" spans="1:16" s="1" customFormat="1" ht="12.95" customHeight="1">
      <c r="A33" s="158"/>
      <c r="B33" s="12"/>
      <c r="C33" s="8"/>
      <c r="D33" s="8"/>
      <c r="E33" s="8"/>
      <c r="F33" s="176"/>
      <c r="G33" s="195"/>
      <c r="H33" s="25" t="s">
        <v>91</v>
      </c>
      <c r="I33" s="377">
        <v>40</v>
      </c>
      <c r="J33" s="377">
        <v>40</v>
      </c>
      <c r="K33" s="486">
        <v>40</v>
      </c>
      <c r="L33" s="485">
        <v>39</v>
      </c>
      <c r="M33" s="377"/>
      <c r="N33" s="767">
        <v>39</v>
      </c>
      <c r="O33" s="955"/>
      <c r="P33" s="956"/>
    </row>
    <row r="34" spans="1:16" s="1" customFormat="1" ht="12.95" customHeight="1">
      <c r="A34" s="158"/>
      <c r="B34" s="12"/>
      <c r="C34" s="8"/>
      <c r="D34" s="8"/>
      <c r="E34" s="8"/>
      <c r="F34" s="176"/>
      <c r="G34" s="195"/>
      <c r="H34" s="8" t="s">
        <v>105</v>
      </c>
      <c r="I34" s="367">
        <f t="shared" ref="I34:N34" si="9">I8+I13+I16+I29</f>
        <v>1692700</v>
      </c>
      <c r="J34" s="165">
        <f t="shared" si="9"/>
        <v>1689380</v>
      </c>
      <c r="K34" s="153">
        <f t="shared" ref="K34" si="10">K8+K13+K16+K29</f>
        <v>1530641</v>
      </c>
      <c r="L34" s="370">
        <f t="shared" si="9"/>
        <v>1677392</v>
      </c>
      <c r="M34" s="165">
        <f t="shared" si="9"/>
        <v>0</v>
      </c>
      <c r="N34" s="774">
        <f t="shared" si="9"/>
        <v>1677392</v>
      </c>
      <c r="O34" s="953">
        <f>IF(J34=0,"",N34/J34*100)</f>
        <v>99.290390557482624</v>
      </c>
      <c r="P34" s="954">
        <f t="shared" si="2"/>
        <v>109.58755188185864</v>
      </c>
    </row>
    <row r="35" spans="1:16" s="1" customFormat="1" ht="12.95" customHeight="1">
      <c r="A35" s="158"/>
      <c r="B35" s="12"/>
      <c r="C35" s="8"/>
      <c r="D35" s="8"/>
      <c r="E35" s="8"/>
      <c r="F35" s="176"/>
      <c r="G35" s="195"/>
      <c r="H35" s="8" t="s">
        <v>92</v>
      </c>
      <c r="I35" s="367">
        <f t="shared" ref="I35:N35" si="11">I34</f>
        <v>1692700</v>
      </c>
      <c r="J35" s="165">
        <f t="shared" si="11"/>
        <v>1689380</v>
      </c>
      <c r="K35" s="153">
        <f t="shared" si="11"/>
        <v>1530641</v>
      </c>
      <c r="L35" s="370">
        <f t="shared" si="11"/>
        <v>1677392</v>
      </c>
      <c r="M35" s="165">
        <f t="shared" si="11"/>
        <v>0</v>
      </c>
      <c r="N35" s="774">
        <f t="shared" si="11"/>
        <v>1677392</v>
      </c>
      <c r="O35" s="953">
        <f>IF(J35=0,"",N35/J35*100)</f>
        <v>99.290390557482624</v>
      </c>
      <c r="P35" s="954">
        <f t="shared" si="2"/>
        <v>109.58755188185864</v>
      </c>
    </row>
    <row r="36" spans="1:16" s="1" customFormat="1" ht="12.95" customHeight="1">
      <c r="A36" s="158"/>
      <c r="B36" s="12"/>
      <c r="C36" s="8"/>
      <c r="D36" s="8"/>
      <c r="E36" s="8"/>
      <c r="F36" s="176"/>
      <c r="G36" s="195"/>
      <c r="H36" s="8" t="s">
        <v>93</v>
      </c>
      <c r="I36" s="29"/>
      <c r="J36" s="29"/>
      <c r="K36" s="148"/>
      <c r="L36" s="369"/>
      <c r="M36" s="156"/>
      <c r="N36" s="776"/>
      <c r="O36" s="959"/>
      <c r="P36" s="960" t="str">
        <f t="shared" si="2"/>
        <v/>
      </c>
    </row>
    <row r="37" spans="1:16" ht="12.95" customHeight="1" thickBot="1">
      <c r="B37" s="16"/>
      <c r="C37" s="17"/>
      <c r="D37" s="17"/>
      <c r="E37" s="17"/>
      <c r="F37" s="178"/>
      <c r="G37" s="197"/>
      <c r="H37" s="17"/>
      <c r="I37" s="31"/>
      <c r="J37" s="31"/>
      <c r="K37" s="725"/>
      <c r="L37" s="371"/>
      <c r="M37" s="31"/>
      <c r="N37" s="814"/>
      <c r="O37" s="957"/>
      <c r="P37" s="958" t="str">
        <f t="shared" si="2"/>
        <v/>
      </c>
    </row>
    <row r="38" spans="1:16" ht="12.95" customHeight="1">
      <c r="F38" s="179"/>
      <c r="G38" s="198"/>
      <c r="N38" s="254"/>
      <c r="P38" s="214" t="str">
        <f t="shared" si="2"/>
        <v/>
      </c>
    </row>
    <row r="39" spans="1:16" ht="12.95" customHeight="1">
      <c r="B39" s="45"/>
      <c r="F39" s="179"/>
      <c r="G39" s="198"/>
      <c r="N39" s="254"/>
      <c r="P39" s="214" t="str">
        <f t="shared" si="2"/>
        <v/>
      </c>
    </row>
    <row r="40" spans="1:16" ht="12.95" customHeight="1">
      <c r="B40" s="45"/>
      <c r="F40" s="179"/>
      <c r="G40" s="198"/>
      <c r="N40" s="254"/>
      <c r="P40" s="214" t="str">
        <f t="shared" si="2"/>
        <v/>
      </c>
    </row>
    <row r="41" spans="1:16" ht="12.95" customHeight="1">
      <c r="B41" s="45"/>
      <c r="F41" s="179"/>
      <c r="G41" s="198"/>
      <c r="N41" s="254"/>
      <c r="P41" s="214" t="str">
        <f t="shared" si="2"/>
        <v/>
      </c>
    </row>
    <row r="42" spans="1:16" ht="12.95" customHeight="1">
      <c r="B42" s="45"/>
      <c r="F42" s="179"/>
      <c r="G42" s="198"/>
      <c r="N42" s="254"/>
      <c r="P42" s="214" t="str">
        <f t="shared" si="2"/>
        <v/>
      </c>
    </row>
    <row r="43" spans="1:16" ht="12.95" customHeight="1">
      <c r="B43" s="45"/>
      <c r="F43" s="179"/>
      <c r="G43" s="198"/>
      <c r="N43" s="254"/>
      <c r="P43" s="214" t="str">
        <f t="shared" si="2"/>
        <v/>
      </c>
    </row>
    <row r="44" spans="1:16" ht="12.95" customHeight="1">
      <c r="B44" s="45"/>
      <c r="F44" s="179"/>
      <c r="G44" s="198"/>
      <c r="N44" s="254"/>
      <c r="P44" s="214" t="str">
        <f t="shared" si="2"/>
        <v/>
      </c>
    </row>
    <row r="45" spans="1:16" ht="12.95" customHeight="1">
      <c r="B45" s="45"/>
      <c r="F45" s="179"/>
      <c r="G45" s="198"/>
      <c r="N45" s="254"/>
      <c r="P45" s="214" t="str">
        <f t="shared" si="2"/>
        <v/>
      </c>
    </row>
    <row r="46" spans="1:16" ht="12.95" customHeight="1">
      <c r="F46" s="179"/>
      <c r="G46" s="198"/>
      <c r="N46" s="254"/>
      <c r="P46" s="214" t="str">
        <f t="shared" si="2"/>
        <v/>
      </c>
    </row>
    <row r="47" spans="1:16" ht="12.95" customHeight="1">
      <c r="F47" s="179"/>
      <c r="G47" s="198"/>
      <c r="N47" s="254"/>
      <c r="P47" s="214" t="str">
        <f t="shared" si="2"/>
        <v/>
      </c>
    </row>
    <row r="48" spans="1:16" ht="12.95" customHeight="1">
      <c r="F48" s="179"/>
      <c r="G48" s="198"/>
      <c r="N48" s="254"/>
      <c r="P48" s="214" t="str">
        <f t="shared" si="2"/>
        <v/>
      </c>
    </row>
    <row r="49" spans="6:16" ht="12.95" customHeight="1">
      <c r="F49" s="179"/>
      <c r="G49" s="198"/>
      <c r="N49" s="254"/>
      <c r="P49" s="214" t="str">
        <f t="shared" si="2"/>
        <v/>
      </c>
    </row>
    <row r="50" spans="6:16" ht="12.95" customHeight="1">
      <c r="F50" s="179"/>
      <c r="G50" s="198"/>
      <c r="N50" s="254"/>
      <c r="P50" s="214" t="str">
        <f t="shared" si="2"/>
        <v/>
      </c>
    </row>
    <row r="51" spans="6:16" ht="12.95" customHeight="1">
      <c r="F51" s="179"/>
      <c r="G51" s="198"/>
      <c r="N51" s="254"/>
      <c r="P51" s="214" t="str">
        <f t="shared" si="2"/>
        <v/>
      </c>
    </row>
    <row r="52" spans="6:16" ht="12.95" customHeight="1">
      <c r="F52" s="179"/>
      <c r="G52" s="198"/>
      <c r="N52" s="254"/>
      <c r="P52" s="214" t="str">
        <f t="shared" si="2"/>
        <v/>
      </c>
    </row>
    <row r="53" spans="6:16" ht="12.95" customHeight="1">
      <c r="F53" s="179"/>
      <c r="G53" s="198"/>
      <c r="N53" s="254"/>
      <c r="P53" s="214" t="str">
        <f t="shared" si="2"/>
        <v/>
      </c>
    </row>
    <row r="54" spans="6:16" ht="12.95" customHeight="1">
      <c r="F54" s="179"/>
      <c r="G54" s="198"/>
      <c r="N54" s="254"/>
    </row>
    <row r="55" spans="6:16" ht="12.95" customHeight="1">
      <c r="F55" s="179"/>
      <c r="G55" s="198"/>
      <c r="N55" s="254"/>
    </row>
    <row r="56" spans="6:16" ht="12.95" customHeight="1">
      <c r="F56" s="179"/>
      <c r="G56" s="198"/>
      <c r="N56" s="254"/>
    </row>
    <row r="57" spans="6:16" ht="12.95" customHeight="1">
      <c r="F57" s="179"/>
      <c r="G57" s="198"/>
      <c r="N57" s="254"/>
    </row>
    <row r="58" spans="6:16" ht="12.95" customHeight="1">
      <c r="F58" s="179"/>
      <c r="G58" s="198"/>
      <c r="N58" s="254"/>
    </row>
    <row r="59" spans="6:16" ht="12.95" customHeight="1">
      <c r="F59" s="179"/>
      <c r="G59" s="198"/>
      <c r="N59" s="254"/>
    </row>
    <row r="60" spans="6:16" ht="17.100000000000001" customHeight="1">
      <c r="F60" s="179"/>
      <c r="G60" s="198"/>
      <c r="N60" s="254"/>
    </row>
    <row r="61" spans="6:16" ht="14.25">
      <c r="F61" s="179"/>
      <c r="G61" s="198"/>
      <c r="N61" s="254"/>
    </row>
    <row r="62" spans="6:16" ht="14.25">
      <c r="F62" s="179"/>
      <c r="G62" s="198"/>
      <c r="N62" s="254"/>
    </row>
    <row r="63" spans="6:16" ht="14.25">
      <c r="F63" s="179"/>
      <c r="G63" s="198"/>
      <c r="N63" s="254"/>
    </row>
    <row r="64" spans="6:16" ht="14.25">
      <c r="F64" s="179"/>
      <c r="G64" s="198"/>
      <c r="N64" s="254"/>
    </row>
    <row r="65" spans="6:14" ht="14.25">
      <c r="F65" s="179"/>
      <c r="G65" s="198"/>
      <c r="N65" s="254"/>
    </row>
    <row r="66" spans="6:14" ht="14.25">
      <c r="F66" s="179"/>
      <c r="G66" s="198"/>
      <c r="N66" s="254"/>
    </row>
    <row r="67" spans="6:14" ht="14.25">
      <c r="F67" s="179"/>
      <c r="G67" s="198"/>
      <c r="N67" s="254"/>
    </row>
    <row r="68" spans="6:14" ht="14.25">
      <c r="F68" s="179"/>
      <c r="G68" s="198"/>
      <c r="N68" s="254"/>
    </row>
    <row r="69" spans="6:14" ht="14.25">
      <c r="F69" s="179"/>
      <c r="G69" s="198"/>
      <c r="N69" s="254"/>
    </row>
    <row r="70" spans="6:14" ht="14.25">
      <c r="F70" s="179"/>
      <c r="G70" s="198"/>
      <c r="N70" s="254"/>
    </row>
    <row r="71" spans="6:14" ht="14.25">
      <c r="F71" s="179"/>
      <c r="G71" s="198"/>
      <c r="N71" s="254"/>
    </row>
    <row r="72" spans="6:14" ht="14.25">
      <c r="F72" s="179"/>
      <c r="G72" s="198"/>
      <c r="N72" s="254"/>
    </row>
    <row r="73" spans="6:14" ht="14.25">
      <c r="F73" s="179"/>
      <c r="G73" s="198"/>
      <c r="N73" s="254"/>
    </row>
    <row r="74" spans="6:14" ht="14.25">
      <c r="F74" s="179"/>
      <c r="G74" s="179"/>
      <c r="N74" s="254"/>
    </row>
    <row r="75" spans="6:14" ht="14.25">
      <c r="F75" s="179"/>
      <c r="G75" s="179"/>
      <c r="N75" s="254"/>
    </row>
    <row r="76" spans="6:14" ht="14.25">
      <c r="F76" s="179"/>
      <c r="G76" s="179"/>
      <c r="N76" s="254"/>
    </row>
    <row r="77" spans="6:14" ht="14.25">
      <c r="F77" s="179"/>
      <c r="G77" s="179"/>
      <c r="N77" s="254"/>
    </row>
    <row r="78" spans="6:14" ht="14.25">
      <c r="F78" s="179"/>
      <c r="G78" s="179"/>
      <c r="N78" s="254"/>
    </row>
    <row r="79" spans="6:14" ht="14.25">
      <c r="F79" s="179"/>
      <c r="G79" s="179"/>
      <c r="N79" s="254"/>
    </row>
    <row r="80" spans="6:14" ht="14.25">
      <c r="F80" s="179"/>
      <c r="G80" s="179"/>
      <c r="N80" s="254"/>
    </row>
    <row r="81" spans="6:14" ht="14.25">
      <c r="F81" s="179"/>
      <c r="G81" s="179"/>
      <c r="N81" s="254"/>
    </row>
    <row r="82" spans="6:14" ht="14.25">
      <c r="F82" s="179"/>
      <c r="G82" s="179"/>
      <c r="N82" s="254"/>
    </row>
    <row r="83" spans="6:14" ht="14.25">
      <c r="F83" s="179"/>
      <c r="G83" s="179"/>
      <c r="N83" s="254"/>
    </row>
    <row r="84" spans="6:14" ht="14.25">
      <c r="F84" s="179"/>
      <c r="G84" s="179"/>
      <c r="N84" s="254"/>
    </row>
    <row r="85" spans="6:14" ht="14.25">
      <c r="F85" s="179"/>
      <c r="G85" s="179"/>
      <c r="N85" s="254"/>
    </row>
    <row r="86" spans="6:14" ht="14.25">
      <c r="F86" s="179"/>
      <c r="G86" s="179"/>
      <c r="N86" s="254"/>
    </row>
    <row r="87" spans="6:14" ht="14.25">
      <c r="F87" s="179"/>
      <c r="G87" s="179"/>
      <c r="N87" s="254"/>
    </row>
    <row r="88" spans="6:14" ht="14.25">
      <c r="F88" s="179"/>
      <c r="G88" s="179"/>
      <c r="N88" s="254"/>
    </row>
    <row r="89" spans="6:14" ht="14.25">
      <c r="F89" s="179"/>
      <c r="G89" s="179"/>
      <c r="N89" s="254"/>
    </row>
    <row r="90" spans="6:14" ht="14.25">
      <c r="F90" s="179"/>
      <c r="G90" s="179"/>
      <c r="N90" s="254"/>
    </row>
    <row r="91" spans="6:14">
      <c r="G91" s="179"/>
    </row>
    <row r="92" spans="6:14">
      <c r="G92" s="179"/>
    </row>
    <row r="93" spans="6:14">
      <c r="G93" s="179"/>
    </row>
    <row r="94" spans="6:14">
      <c r="G94" s="179"/>
    </row>
    <row r="95" spans="6:14">
      <c r="G95" s="179"/>
    </row>
    <row r="96" spans="6:14">
      <c r="G96" s="179"/>
    </row>
  </sheetData>
  <mergeCells count="15">
    <mergeCell ref="P4:P5"/>
    <mergeCell ref="B2:P2"/>
    <mergeCell ref="K4:K5"/>
    <mergeCell ref="O4:O5"/>
    <mergeCell ref="H4:H5"/>
    <mergeCell ref="H3:I3"/>
    <mergeCell ref="L4:N4"/>
    <mergeCell ref="B4:B5"/>
    <mergeCell ref="C4:C5"/>
    <mergeCell ref="D4:D5"/>
    <mergeCell ref="G4:G5"/>
    <mergeCell ref="F4:F5"/>
    <mergeCell ref="I4:I5"/>
    <mergeCell ref="J4:J5"/>
    <mergeCell ref="E4:E5"/>
  </mergeCells>
  <phoneticPr fontId="2" type="noConversion"/>
  <pageMargins left="0.78740157480314965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7"/>
  <dimension ref="A1:R96"/>
  <sheetViews>
    <sheetView zoomScaleNormal="100" workbookViewId="0">
      <selection activeCell="L32" sqref="L32"/>
    </sheetView>
  </sheetViews>
  <sheetFormatPr defaultColWidth="9.140625" defaultRowHeight="12.75"/>
  <cols>
    <col min="1" max="1" width="4.42578125" style="161" customWidth="1"/>
    <col min="2" max="2" width="4.7109375" style="9" customWidth="1"/>
    <col min="3" max="3" width="5.140625" style="9" customWidth="1"/>
    <col min="4" max="4" width="5" style="9" customWidth="1"/>
    <col min="5" max="5" width="5" style="161" customWidth="1"/>
    <col min="6" max="6" width="8.7109375" style="18" customWidth="1"/>
    <col min="7" max="7" width="8.7109375" style="166" customWidth="1"/>
    <col min="8" max="8" width="50.7109375" style="9" customWidth="1"/>
    <col min="9" max="10" width="14.7109375" style="51" customWidth="1"/>
    <col min="11" max="11" width="12.5703125" style="51" customWidth="1"/>
    <col min="12" max="13" width="14.7109375" style="51" customWidth="1"/>
    <col min="14" max="14" width="15.7109375" style="51" customWidth="1"/>
    <col min="15" max="16" width="7.7109375" style="214" customWidth="1"/>
    <col min="17" max="16384" width="9.140625" style="9"/>
  </cols>
  <sheetData>
    <row r="1" spans="1:18" ht="13.5" thickBot="1"/>
    <row r="2" spans="1:18" s="244" customFormat="1" ht="20.100000000000001" customHeight="1" thickTop="1" thickBot="1">
      <c r="B2" s="1034" t="s">
        <v>629</v>
      </c>
      <c r="C2" s="1035"/>
      <c r="D2" s="1035"/>
      <c r="E2" s="1035"/>
      <c r="F2" s="1035"/>
      <c r="G2" s="1035"/>
      <c r="H2" s="1035"/>
      <c r="I2" s="1035"/>
      <c r="J2" s="1070"/>
      <c r="K2" s="1070"/>
      <c r="L2" s="1070"/>
      <c r="M2" s="1070"/>
      <c r="N2" s="1070"/>
      <c r="O2" s="1070"/>
      <c r="P2" s="1036"/>
    </row>
    <row r="3" spans="1:18" s="1" customFormat="1" ht="8.1" customHeight="1" thickTop="1" thickBot="1">
      <c r="A3" s="158"/>
      <c r="E3" s="158"/>
      <c r="F3" s="2"/>
      <c r="G3" s="159"/>
      <c r="H3" s="1039"/>
      <c r="I3" s="1039"/>
      <c r="J3" s="139"/>
      <c r="K3" s="721"/>
      <c r="L3" s="74"/>
      <c r="M3" s="74"/>
      <c r="N3" s="74"/>
      <c r="O3" s="208"/>
      <c r="P3" s="208"/>
    </row>
    <row r="4" spans="1:18" s="1" customFormat="1" ht="39" customHeight="1">
      <c r="A4" s="158"/>
      <c r="B4" s="1043" t="s">
        <v>76</v>
      </c>
      <c r="C4" s="1045" t="s">
        <v>77</v>
      </c>
      <c r="D4" s="1047" t="s">
        <v>102</v>
      </c>
      <c r="E4" s="1062" t="s">
        <v>692</v>
      </c>
      <c r="F4" s="1058" t="s">
        <v>466</v>
      </c>
      <c r="G4" s="1048" t="s">
        <v>493</v>
      </c>
      <c r="H4" s="1050" t="s">
        <v>78</v>
      </c>
      <c r="I4" s="1059" t="s">
        <v>901</v>
      </c>
      <c r="J4" s="1068" t="s">
        <v>813</v>
      </c>
      <c r="K4" s="1037" t="s">
        <v>906</v>
      </c>
      <c r="L4" s="1040" t="s">
        <v>905</v>
      </c>
      <c r="M4" s="1041"/>
      <c r="N4" s="1042"/>
      <c r="O4" s="1073" t="s">
        <v>945</v>
      </c>
      <c r="P4" s="1071" t="s">
        <v>946</v>
      </c>
      <c r="R4" s="61"/>
    </row>
    <row r="5" spans="1:18" s="158" customFormat="1" ht="27" customHeight="1">
      <c r="B5" s="1044"/>
      <c r="C5" s="1046"/>
      <c r="D5" s="1046"/>
      <c r="E5" s="1049"/>
      <c r="F5" s="1051"/>
      <c r="G5" s="1049"/>
      <c r="H5" s="1051"/>
      <c r="I5" s="1051"/>
      <c r="J5" s="1051"/>
      <c r="K5" s="1038"/>
      <c r="L5" s="392" t="s">
        <v>526</v>
      </c>
      <c r="M5" s="393" t="s">
        <v>527</v>
      </c>
      <c r="N5" s="833" t="s">
        <v>319</v>
      </c>
      <c r="O5" s="1074"/>
      <c r="P5" s="1072"/>
    </row>
    <row r="6" spans="1:18" s="2" customFormat="1" ht="12.95" customHeight="1">
      <c r="A6" s="159"/>
      <c r="B6" s="328">
        <v>1</v>
      </c>
      <c r="C6" s="195">
        <v>2</v>
      </c>
      <c r="D6" s="195">
        <v>3</v>
      </c>
      <c r="E6" s="195">
        <v>4</v>
      </c>
      <c r="F6" s="195">
        <v>5</v>
      </c>
      <c r="G6" s="195">
        <v>6</v>
      </c>
      <c r="H6" s="195">
        <v>7</v>
      </c>
      <c r="I6" s="195">
        <v>8</v>
      </c>
      <c r="J6" s="195">
        <v>9</v>
      </c>
      <c r="K6" s="188">
        <v>10</v>
      </c>
      <c r="L6" s="328">
        <v>11</v>
      </c>
      <c r="M6" s="195">
        <v>12</v>
      </c>
      <c r="N6" s="810" t="s">
        <v>694</v>
      </c>
      <c r="O6" s="963" t="s">
        <v>814</v>
      </c>
      <c r="P6" s="964" t="s">
        <v>944</v>
      </c>
    </row>
    <row r="7" spans="1:18" s="2" customFormat="1" ht="12.95" customHeight="1">
      <c r="A7" s="159"/>
      <c r="B7" s="6" t="s">
        <v>118</v>
      </c>
      <c r="C7" s="7" t="s">
        <v>120</v>
      </c>
      <c r="D7" s="7" t="s">
        <v>80</v>
      </c>
      <c r="E7" s="415" t="s">
        <v>698</v>
      </c>
      <c r="F7" s="5"/>
      <c r="G7" s="160"/>
      <c r="H7" s="5"/>
      <c r="I7" s="70"/>
      <c r="J7" s="70"/>
      <c r="K7" s="726"/>
      <c r="L7" s="391"/>
      <c r="M7" s="70"/>
      <c r="N7" s="832"/>
      <c r="O7" s="965"/>
      <c r="P7" s="966"/>
    </row>
    <row r="8" spans="1:18" s="1" customFormat="1" ht="12.95" customHeight="1">
      <c r="A8" s="158"/>
      <c r="B8" s="12"/>
      <c r="C8" s="8"/>
      <c r="D8" s="8"/>
      <c r="E8" s="8"/>
      <c r="F8" s="176">
        <v>611000</v>
      </c>
      <c r="G8" s="195"/>
      <c r="H8" s="25" t="s">
        <v>140</v>
      </c>
      <c r="I8" s="236">
        <f t="shared" ref="I8:N8" si="0">SUM(I9:I12)</f>
        <v>39580</v>
      </c>
      <c r="J8" s="236">
        <f t="shared" si="0"/>
        <v>39580</v>
      </c>
      <c r="K8" s="226">
        <f t="shared" si="0"/>
        <v>34705</v>
      </c>
      <c r="L8" s="482">
        <f t="shared" si="0"/>
        <v>39446</v>
      </c>
      <c r="M8" s="236">
        <f t="shared" si="0"/>
        <v>0</v>
      </c>
      <c r="N8" s="812">
        <f t="shared" si="0"/>
        <v>39446</v>
      </c>
      <c r="O8" s="967">
        <f t="shared" ref="O8:O31" si="1">IF(J8=0,"",N8/J8*100)</f>
        <v>99.661445174330467</v>
      </c>
      <c r="P8" s="968">
        <f>IF(K8=0,"",N8/K8*100)</f>
        <v>113.66085578446909</v>
      </c>
    </row>
    <row r="9" spans="1:18" ht="12.95" customHeight="1">
      <c r="B9" s="10"/>
      <c r="C9" s="11"/>
      <c r="D9" s="11"/>
      <c r="E9" s="163"/>
      <c r="F9" s="177">
        <v>611100</v>
      </c>
      <c r="G9" s="196"/>
      <c r="H9" s="428" t="s">
        <v>161</v>
      </c>
      <c r="I9" s="237">
        <f>34810</f>
        <v>34810</v>
      </c>
      <c r="J9" s="237">
        <f>34810</f>
        <v>34810</v>
      </c>
      <c r="K9" s="224">
        <v>31236</v>
      </c>
      <c r="L9" s="360">
        <v>34781</v>
      </c>
      <c r="M9" s="237">
        <v>0</v>
      </c>
      <c r="N9" s="813">
        <f>SUM(L9:M9)</f>
        <v>34781</v>
      </c>
      <c r="O9" s="969">
        <f t="shared" si="1"/>
        <v>99.916690606147668</v>
      </c>
      <c r="P9" s="970">
        <f t="shared" ref="P9:P53" si="2">IF(K9=0,"",N9/K9*100)</f>
        <v>111.34908438980663</v>
      </c>
    </row>
    <row r="10" spans="1:18" ht="12.95" customHeight="1">
      <c r="B10" s="10"/>
      <c r="C10" s="11"/>
      <c r="D10" s="11"/>
      <c r="E10" s="163"/>
      <c r="F10" s="177">
        <v>611200</v>
      </c>
      <c r="G10" s="196"/>
      <c r="H10" s="24" t="s">
        <v>162</v>
      </c>
      <c r="I10" s="237">
        <f>4020+50+700</f>
        <v>4770</v>
      </c>
      <c r="J10" s="237">
        <f>4020+50+700</f>
        <v>4770</v>
      </c>
      <c r="K10" s="224">
        <v>3469</v>
      </c>
      <c r="L10" s="360">
        <v>4665</v>
      </c>
      <c r="M10" s="237">
        <v>0</v>
      </c>
      <c r="N10" s="813">
        <f t="shared" ref="N10:N11" si="3">SUM(L10:M10)</f>
        <v>4665</v>
      </c>
      <c r="O10" s="969">
        <f t="shared" si="1"/>
        <v>97.798742138364787</v>
      </c>
      <c r="P10" s="970">
        <f t="shared" si="2"/>
        <v>134.47679446526377</v>
      </c>
    </row>
    <row r="11" spans="1:18" ht="12.95" customHeight="1">
      <c r="B11" s="10"/>
      <c r="C11" s="11"/>
      <c r="D11" s="11"/>
      <c r="E11" s="163"/>
      <c r="F11" s="177">
        <v>611200</v>
      </c>
      <c r="G11" s="196"/>
      <c r="H11" s="435" t="s">
        <v>434</v>
      </c>
      <c r="I11" s="235">
        <v>0</v>
      </c>
      <c r="J11" s="235">
        <v>0</v>
      </c>
      <c r="K11" s="225">
        <v>0</v>
      </c>
      <c r="L11" s="357">
        <v>0</v>
      </c>
      <c r="M11" s="235">
        <v>0</v>
      </c>
      <c r="N11" s="813">
        <f t="shared" si="3"/>
        <v>0</v>
      </c>
      <c r="O11" s="969" t="str">
        <f t="shared" si="1"/>
        <v/>
      </c>
      <c r="P11" s="970" t="str">
        <f t="shared" si="2"/>
        <v/>
      </c>
      <c r="R11" s="50"/>
    </row>
    <row r="12" spans="1:18" ht="12.95" customHeight="1">
      <c r="B12" s="10"/>
      <c r="C12" s="11"/>
      <c r="D12" s="11"/>
      <c r="E12" s="163"/>
      <c r="F12" s="177"/>
      <c r="G12" s="196"/>
      <c r="H12" s="428"/>
      <c r="I12" s="237"/>
      <c r="J12" s="237"/>
      <c r="K12" s="224"/>
      <c r="L12" s="360"/>
      <c r="M12" s="237"/>
      <c r="N12" s="813"/>
      <c r="O12" s="969" t="str">
        <f t="shared" si="1"/>
        <v/>
      </c>
      <c r="P12" s="970" t="str">
        <f t="shared" si="2"/>
        <v/>
      </c>
    </row>
    <row r="13" spans="1:18" s="1" customFormat="1" ht="12.95" customHeight="1">
      <c r="A13" s="158"/>
      <c r="B13" s="12"/>
      <c r="C13" s="8"/>
      <c r="D13" s="8"/>
      <c r="E13" s="8"/>
      <c r="F13" s="176">
        <v>612000</v>
      </c>
      <c r="G13" s="195"/>
      <c r="H13" s="25" t="s">
        <v>139</v>
      </c>
      <c r="I13" s="236">
        <f t="shared" ref="I13:N13" si="4">I14</f>
        <v>3670</v>
      </c>
      <c r="J13" s="236">
        <f t="shared" si="4"/>
        <v>3670</v>
      </c>
      <c r="K13" s="226">
        <f t="shared" si="4"/>
        <v>3280</v>
      </c>
      <c r="L13" s="482">
        <f t="shared" si="4"/>
        <v>3652</v>
      </c>
      <c r="M13" s="236">
        <f t="shared" si="4"/>
        <v>0</v>
      </c>
      <c r="N13" s="812">
        <f t="shared" si="4"/>
        <v>3652</v>
      </c>
      <c r="O13" s="967">
        <f t="shared" si="1"/>
        <v>99.509536784741144</v>
      </c>
      <c r="P13" s="968">
        <f t="shared" si="2"/>
        <v>111.34146341463416</v>
      </c>
    </row>
    <row r="14" spans="1:18" ht="12.95" customHeight="1">
      <c r="B14" s="10"/>
      <c r="C14" s="11"/>
      <c r="D14" s="11"/>
      <c r="E14" s="163"/>
      <c r="F14" s="177">
        <v>612100</v>
      </c>
      <c r="G14" s="196"/>
      <c r="H14" s="430" t="s">
        <v>81</v>
      </c>
      <c r="I14" s="237">
        <f>3670</f>
        <v>3670</v>
      </c>
      <c r="J14" s="237">
        <f>3670</f>
        <v>3670</v>
      </c>
      <c r="K14" s="224">
        <v>3280</v>
      </c>
      <c r="L14" s="360">
        <v>3652</v>
      </c>
      <c r="M14" s="237">
        <v>0</v>
      </c>
      <c r="N14" s="813">
        <f>SUM(L14:M14)</f>
        <v>3652</v>
      </c>
      <c r="O14" s="969">
        <f t="shared" si="1"/>
        <v>99.509536784741144</v>
      </c>
      <c r="P14" s="970">
        <f t="shared" si="2"/>
        <v>111.34146341463416</v>
      </c>
    </row>
    <row r="15" spans="1:18" ht="12.95" customHeight="1">
      <c r="B15" s="10"/>
      <c r="C15" s="11"/>
      <c r="D15" s="11"/>
      <c r="E15" s="163"/>
      <c r="F15" s="177"/>
      <c r="G15" s="196"/>
      <c r="H15" s="24"/>
      <c r="I15" s="237"/>
      <c r="J15" s="237"/>
      <c r="K15" s="224"/>
      <c r="L15" s="359"/>
      <c r="M15" s="233"/>
      <c r="N15" s="776"/>
      <c r="O15" s="969" t="str">
        <f t="shared" si="1"/>
        <v/>
      </c>
      <c r="P15" s="970" t="str">
        <f t="shared" si="2"/>
        <v/>
      </c>
    </row>
    <row r="16" spans="1:18" s="1" customFormat="1" ht="12.95" customHeight="1">
      <c r="A16" s="158"/>
      <c r="B16" s="12"/>
      <c r="C16" s="8"/>
      <c r="D16" s="8"/>
      <c r="E16" s="8"/>
      <c r="F16" s="176">
        <v>613000</v>
      </c>
      <c r="G16" s="195"/>
      <c r="H16" s="25" t="s">
        <v>141</v>
      </c>
      <c r="I16" s="236">
        <f t="shared" ref="I16:N16" si="5">SUM(I17:I26)</f>
        <v>2900</v>
      </c>
      <c r="J16" s="236">
        <f t="shared" si="5"/>
        <v>2900</v>
      </c>
      <c r="K16" s="226">
        <f t="shared" si="5"/>
        <v>1109</v>
      </c>
      <c r="L16" s="483">
        <f t="shared" si="5"/>
        <v>1301</v>
      </c>
      <c r="M16" s="234">
        <f t="shared" si="5"/>
        <v>0</v>
      </c>
      <c r="N16" s="774">
        <f t="shared" si="5"/>
        <v>1301</v>
      </c>
      <c r="O16" s="967">
        <f t="shared" si="1"/>
        <v>44.862068965517246</v>
      </c>
      <c r="P16" s="968">
        <f t="shared" si="2"/>
        <v>117.31289449954913</v>
      </c>
    </row>
    <row r="17" spans="1:16" ht="12.95" customHeight="1">
      <c r="B17" s="10"/>
      <c r="C17" s="11"/>
      <c r="D17" s="11"/>
      <c r="E17" s="163"/>
      <c r="F17" s="177">
        <v>613100</v>
      </c>
      <c r="G17" s="196"/>
      <c r="H17" s="24" t="s">
        <v>82</v>
      </c>
      <c r="I17" s="237">
        <v>300</v>
      </c>
      <c r="J17" s="237">
        <v>300</v>
      </c>
      <c r="K17" s="224">
        <v>0</v>
      </c>
      <c r="L17" s="359">
        <v>0</v>
      </c>
      <c r="M17" s="233">
        <v>0</v>
      </c>
      <c r="N17" s="813">
        <f t="shared" ref="N17:N26" si="6">SUM(L17:M17)</f>
        <v>0</v>
      </c>
      <c r="O17" s="969">
        <f t="shared" si="1"/>
        <v>0</v>
      </c>
      <c r="P17" s="970" t="str">
        <f t="shared" si="2"/>
        <v/>
      </c>
    </row>
    <row r="18" spans="1:16" ht="12.95" customHeight="1">
      <c r="B18" s="10"/>
      <c r="C18" s="11"/>
      <c r="D18" s="11"/>
      <c r="E18" s="163"/>
      <c r="F18" s="177">
        <v>613200</v>
      </c>
      <c r="G18" s="196"/>
      <c r="H18" s="24" t="s">
        <v>83</v>
      </c>
      <c r="I18" s="237">
        <v>0</v>
      </c>
      <c r="J18" s="237">
        <v>0</v>
      </c>
      <c r="K18" s="224">
        <v>0</v>
      </c>
      <c r="L18" s="359">
        <v>0</v>
      </c>
      <c r="M18" s="233">
        <v>0</v>
      </c>
      <c r="N18" s="813">
        <f t="shared" si="6"/>
        <v>0</v>
      </c>
      <c r="O18" s="969" t="str">
        <f t="shared" si="1"/>
        <v/>
      </c>
      <c r="P18" s="970" t="str">
        <f t="shared" si="2"/>
        <v/>
      </c>
    </row>
    <row r="19" spans="1:16" ht="12.95" customHeight="1">
      <c r="B19" s="10"/>
      <c r="C19" s="11"/>
      <c r="D19" s="11"/>
      <c r="E19" s="163"/>
      <c r="F19" s="177">
        <v>613300</v>
      </c>
      <c r="G19" s="196"/>
      <c r="H19" s="428" t="s">
        <v>163</v>
      </c>
      <c r="I19" s="237">
        <v>1000</v>
      </c>
      <c r="J19" s="237">
        <v>1000</v>
      </c>
      <c r="K19" s="224">
        <v>668</v>
      </c>
      <c r="L19" s="359">
        <v>618</v>
      </c>
      <c r="M19" s="233">
        <v>0</v>
      </c>
      <c r="N19" s="813">
        <f t="shared" si="6"/>
        <v>618</v>
      </c>
      <c r="O19" s="969">
        <f t="shared" si="1"/>
        <v>61.8</v>
      </c>
      <c r="P19" s="970">
        <f t="shared" si="2"/>
        <v>92.514970059880241</v>
      </c>
    </row>
    <row r="20" spans="1:16" ht="12.95" customHeight="1">
      <c r="B20" s="10"/>
      <c r="C20" s="11"/>
      <c r="D20" s="11"/>
      <c r="E20" s="163"/>
      <c r="F20" s="177">
        <v>613400</v>
      </c>
      <c r="G20" s="196"/>
      <c r="H20" s="24" t="s">
        <v>142</v>
      </c>
      <c r="I20" s="237">
        <v>800</v>
      </c>
      <c r="J20" s="237">
        <v>800</v>
      </c>
      <c r="K20" s="224">
        <v>342</v>
      </c>
      <c r="L20" s="359">
        <v>503</v>
      </c>
      <c r="M20" s="233">
        <v>0</v>
      </c>
      <c r="N20" s="813">
        <f t="shared" si="6"/>
        <v>503</v>
      </c>
      <c r="O20" s="969">
        <f t="shared" si="1"/>
        <v>62.875</v>
      </c>
      <c r="P20" s="970">
        <f t="shared" si="2"/>
        <v>147.07602339181287</v>
      </c>
    </row>
    <row r="21" spans="1:16" ht="12.95" customHeight="1">
      <c r="B21" s="10"/>
      <c r="C21" s="11"/>
      <c r="D21" s="11"/>
      <c r="E21" s="163"/>
      <c r="F21" s="177">
        <v>613500</v>
      </c>
      <c r="G21" s="196"/>
      <c r="H21" s="24" t="s">
        <v>84</v>
      </c>
      <c r="I21" s="237">
        <v>0</v>
      </c>
      <c r="J21" s="237">
        <v>0</v>
      </c>
      <c r="K21" s="224">
        <v>0</v>
      </c>
      <c r="L21" s="359">
        <v>0</v>
      </c>
      <c r="M21" s="233">
        <v>0</v>
      </c>
      <c r="N21" s="813">
        <f t="shared" si="6"/>
        <v>0</v>
      </c>
      <c r="O21" s="969" t="str">
        <f t="shared" si="1"/>
        <v/>
      </c>
      <c r="P21" s="970" t="str">
        <f t="shared" si="2"/>
        <v/>
      </c>
    </row>
    <row r="22" spans="1:16" ht="12.95" customHeight="1">
      <c r="B22" s="10"/>
      <c r="C22" s="11"/>
      <c r="D22" s="11"/>
      <c r="E22" s="163"/>
      <c r="F22" s="177">
        <v>613600</v>
      </c>
      <c r="G22" s="196"/>
      <c r="H22" s="428" t="s">
        <v>164</v>
      </c>
      <c r="I22" s="237">
        <v>0</v>
      </c>
      <c r="J22" s="237">
        <v>0</v>
      </c>
      <c r="K22" s="224">
        <v>0</v>
      </c>
      <c r="L22" s="359">
        <v>0</v>
      </c>
      <c r="M22" s="233">
        <v>0</v>
      </c>
      <c r="N22" s="813">
        <f t="shared" si="6"/>
        <v>0</v>
      </c>
      <c r="O22" s="969" t="str">
        <f t="shared" si="1"/>
        <v/>
      </c>
      <c r="P22" s="970" t="str">
        <f t="shared" si="2"/>
        <v/>
      </c>
    </row>
    <row r="23" spans="1:16" ht="12.95" customHeight="1">
      <c r="B23" s="10"/>
      <c r="C23" s="11"/>
      <c r="D23" s="11"/>
      <c r="E23" s="163"/>
      <c r="F23" s="177">
        <v>613700</v>
      </c>
      <c r="G23" s="196"/>
      <c r="H23" s="24" t="s">
        <v>85</v>
      </c>
      <c r="I23" s="237">
        <v>0</v>
      </c>
      <c r="J23" s="237">
        <v>0</v>
      </c>
      <c r="K23" s="224">
        <v>0</v>
      </c>
      <c r="L23" s="359">
        <v>0</v>
      </c>
      <c r="M23" s="233">
        <v>0</v>
      </c>
      <c r="N23" s="813">
        <f t="shared" si="6"/>
        <v>0</v>
      </c>
      <c r="O23" s="969" t="str">
        <f t="shared" si="1"/>
        <v/>
      </c>
      <c r="P23" s="970" t="str">
        <f t="shared" si="2"/>
        <v/>
      </c>
    </row>
    <row r="24" spans="1:16" ht="12.95" customHeight="1">
      <c r="B24" s="10"/>
      <c r="C24" s="11"/>
      <c r="D24" s="11"/>
      <c r="E24" s="163"/>
      <c r="F24" s="177">
        <v>613800</v>
      </c>
      <c r="G24" s="196"/>
      <c r="H24" s="24" t="s">
        <v>143</v>
      </c>
      <c r="I24" s="237">
        <v>0</v>
      </c>
      <c r="J24" s="237">
        <v>0</v>
      </c>
      <c r="K24" s="224">
        <v>0</v>
      </c>
      <c r="L24" s="359">
        <v>0</v>
      </c>
      <c r="M24" s="233">
        <v>0</v>
      </c>
      <c r="N24" s="813">
        <f t="shared" si="6"/>
        <v>0</v>
      </c>
      <c r="O24" s="969" t="str">
        <f t="shared" si="1"/>
        <v/>
      </c>
      <c r="P24" s="970" t="str">
        <f t="shared" si="2"/>
        <v/>
      </c>
    </row>
    <row r="25" spans="1:16" ht="12.95" customHeight="1">
      <c r="B25" s="10"/>
      <c r="C25" s="11"/>
      <c r="D25" s="11"/>
      <c r="E25" s="163"/>
      <c r="F25" s="177">
        <v>613900</v>
      </c>
      <c r="G25" s="196"/>
      <c r="H25" s="24" t="s">
        <v>144</v>
      </c>
      <c r="I25" s="237">
        <v>800</v>
      </c>
      <c r="J25" s="237">
        <v>800</v>
      </c>
      <c r="K25" s="224">
        <v>99</v>
      </c>
      <c r="L25" s="360">
        <v>180</v>
      </c>
      <c r="M25" s="233">
        <v>0</v>
      </c>
      <c r="N25" s="813">
        <f t="shared" si="6"/>
        <v>180</v>
      </c>
      <c r="O25" s="969">
        <f t="shared" si="1"/>
        <v>22.5</v>
      </c>
      <c r="P25" s="970">
        <f t="shared" si="2"/>
        <v>181.81818181818181</v>
      </c>
    </row>
    <row r="26" spans="1:16" ht="12.95" customHeight="1">
      <c r="B26" s="10"/>
      <c r="C26" s="11"/>
      <c r="D26" s="11"/>
      <c r="E26" s="163"/>
      <c r="F26" s="177">
        <v>613900</v>
      </c>
      <c r="G26" s="196"/>
      <c r="H26" s="435" t="s">
        <v>435</v>
      </c>
      <c r="I26" s="233">
        <v>0</v>
      </c>
      <c r="J26" s="233">
        <v>0</v>
      </c>
      <c r="K26" s="222">
        <v>0</v>
      </c>
      <c r="L26" s="359">
        <v>0</v>
      </c>
      <c r="M26" s="233">
        <v>0</v>
      </c>
      <c r="N26" s="813">
        <f t="shared" si="6"/>
        <v>0</v>
      </c>
      <c r="O26" s="969" t="str">
        <f t="shared" si="1"/>
        <v/>
      </c>
      <c r="P26" s="970" t="str">
        <f t="shared" si="2"/>
        <v/>
      </c>
    </row>
    <row r="27" spans="1:16" s="1" customFormat="1" ht="12.95" customHeight="1">
      <c r="A27" s="158"/>
      <c r="B27" s="12"/>
      <c r="C27" s="8"/>
      <c r="D27" s="8"/>
      <c r="E27" s="414"/>
      <c r="F27" s="187"/>
      <c r="G27" s="207"/>
      <c r="H27" s="25"/>
      <c r="I27" s="233"/>
      <c r="J27" s="233"/>
      <c r="K27" s="222"/>
      <c r="L27" s="359"/>
      <c r="M27" s="233"/>
      <c r="N27" s="834"/>
      <c r="O27" s="969" t="str">
        <f t="shared" si="1"/>
        <v/>
      </c>
      <c r="P27" s="970" t="str">
        <f t="shared" si="2"/>
        <v/>
      </c>
    </row>
    <row r="28" spans="1:16" s="1" customFormat="1" ht="12.95" customHeight="1">
      <c r="A28" s="158"/>
      <c r="B28" s="12"/>
      <c r="C28" s="8"/>
      <c r="D28" s="8"/>
      <c r="E28" s="8"/>
      <c r="F28" s="176">
        <v>821000</v>
      </c>
      <c r="G28" s="195"/>
      <c r="H28" s="25" t="s">
        <v>88</v>
      </c>
      <c r="I28" s="232">
        <f t="shared" ref="I28:J28" si="7">SUM(I29:I30)</f>
        <v>0</v>
      </c>
      <c r="J28" s="232">
        <f t="shared" si="7"/>
        <v>0</v>
      </c>
      <c r="K28" s="223">
        <f t="shared" ref="K28" si="8">SUM(K29:K30)</f>
        <v>0</v>
      </c>
      <c r="L28" s="484">
        <f t="shared" ref="L28:M28" si="9">SUM(L29:L30)</f>
        <v>0</v>
      </c>
      <c r="M28" s="232">
        <f t="shared" si="9"/>
        <v>0</v>
      </c>
      <c r="N28" s="835">
        <f>SUM(N29:N30)</f>
        <v>0</v>
      </c>
      <c r="O28" s="967" t="str">
        <f t="shared" si="1"/>
        <v/>
      </c>
      <c r="P28" s="968" t="str">
        <f t="shared" si="2"/>
        <v/>
      </c>
    </row>
    <row r="29" spans="1:16" ht="12.95" customHeight="1">
      <c r="B29" s="10"/>
      <c r="C29" s="11"/>
      <c r="D29" s="11"/>
      <c r="E29" s="163"/>
      <c r="F29" s="177">
        <v>821200</v>
      </c>
      <c r="G29" s="196"/>
      <c r="H29" s="24" t="s">
        <v>89</v>
      </c>
      <c r="I29" s="233">
        <v>0</v>
      </c>
      <c r="J29" s="233">
        <v>0</v>
      </c>
      <c r="K29" s="222">
        <v>0</v>
      </c>
      <c r="L29" s="359">
        <v>0</v>
      </c>
      <c r="M29" s="233">
        <v>0</v>
      </c>
      <c r="N29" s="813">
        <f t="shared" ref="N29:N30" si="10">SUM(L29:M29)</f>
        <v>0</v>
      </c>
      <c r="O29" s="969" t="str">
        <f t="shared" si="1"/>
        <v/>
      </c>
      <c r="P29" s="970" t="str">
        <f t="shared" si="2"/>
        <v/>
      </c>
    </row>
    <row r="30" spans="1:16" ht="12.95" customHeight="1">
      <c r="B30" s="10"/>
      <c r="C30" s="11"/>
      <c r="D30" s="11"/>
      <c r="E30" s="163"/>
      <c r="F30" s="177">
        <v>821300</v>
      </c>
      <c r="G30" s="196"/>
      <c r="H30" s="24" t="s">
        <v>90</v>
      </c>
      <c r="I30" s="237">
        <v>0</v>
      </c>
      <c r="J30" s="237">
        <v>0</v>
      </c>
      <c r="K30" s="224">
        <v>0</v>
      </c>
      <c r="L30" s="360">
        <v>0</v>
      </c>
      <c r="M30" s="237">
        <v>0</v>
      </c>
      <c r="N30" s="813">
        <f t="shared" si="10"/>
        <v>0</v>
      </c>
      <c r="O30" s="969" t="str">
        <f t="shared" si="1"/>
        <v/>
      </c>
      <c r="P30" s="970" t="str">
        <f t="shared" si="2"/>
        <v/>
      </c>
    </row>
    <row r="31" spans="1:16" ht="12.95" customHeight="1">
      <c r="B31" s="10"/>
      <c r="C31" s="11"/>
      <c r="D31" s="11"/>
      <c r="E31" s="163"/>
      <c r="F31" s="177"/>
      <c r="G31" s="196"/>
      <c r="H31" s="24"/>
      <c r="I31" s="233"/>
      <c r="J31" s="233"/>
      <c r="K31" s="222"/>
      <c r="L31" s="359"/>
      <c r="M31" s="233"/>
      <c r="N31" s="776"/>
      <c r="O31" s="969" t="str">
        <f t="shared" si="1"/>
        <v/>
      </c>
      <c r="P31" s="970" t="str">
        <f t="shared" si="2"/>
        <v/>
      </c>
    </row>
    <row r="32" spans="1:16" s="1" customFormat="1" ht="12.95" customHeight="1">
      <c r="A32" s="158"/>
      <c r="B32" s="12"/>
      <c r="C32" s="8"/>
      <c r="D32" s="8"/>
      <c r="E32" s="8"/>
      <c r="F32" s="176"/>
      <c r="G32" s="195"/>
      <c r="H32" s="25" t="s">
        <v>91</v>
      </c>
      <c r="I32" s="236">
        <v>1</v>
      </c>
      <c r="J32" s="236">
        <v>1</v>
      </c>
      <c r="K32" s="226">
        <v>1</v>
      </c>
      <c r="L32" s="482">
        <v>1</v>
      </c>
      <c r="M32" s="236"/>
      <c r="N32" s="774">
        <v>1</v>
      </c>
      <c r="O32" s="969"/>
      <c r="P32" s="970"/>
    </row>
    <row r="33" spans="1:16" s="1" customFormat="1" ht="12.95" customHeight="1">
      <c r="A33" s="158"/>
      <c r="B33" s="12"/>
      <c r="C33" s="8"/>
      <c r="D33" s="8"/>
      <c r="E33" s="8"/>
      <c r="F33" s="176"/>
      <c r="G33" s="195"/>
      <c r="H33" s="8" t="s">
        <v>105</v>
      </c>
      <c r="I33" s="367">
        <f t="shared" ref="I33:J33" si="11">I8+I13+I16+I28</f>
        <v>46150</v>
      </c>
      <c r="J33" s="165">
        <f t="shared" si="11"/>
        <v>46150</v>
      </c>
      <c r="K33" s="153">
        <f t="shared" ref="K33" si="12">K8+K13+K16+K28</f>
        <v>39094</v>
      </c>
      <c r="L33" s="370">
        <f>L8+L13+L16+L28</f>
        <v>44399</v>
      </c>
      <c r="M33" s="165">
        <f>M8+M13+M16+M28</f>
        <v>0</v>
      </c>
      <c r="N33" s="774">
        <f>N8+N13+N16+N28</f>
        <v>44399</v>
      </c>
      <c r="O33" s="967">
        <f>IF(J33=0,"",N33/J33*100)</f>
        <v>96.20585048754063</v>
      </c>
      <c r="P33" s="968">
        <f t="shared" si="2"/>
        <v>113.56985726709981</v>
      </c>
    </row>
    <row r="34" spans="1:16" s="1" customFormat="1" ht="12.95" customHeight="1">
      <c r="A34" s="158"/>
      <c r="B34" s="12"/>
      <c r="C34" s="8"/>
      <c r="D34" s="8"/>
      <c r="E34" s="8"/>
      <c r="F34" s="176"/>
      <c r="G34" s="195"/>
      <c r="H34" s="8" t="s">
        <v>92</v>
      </c>
      <c r="I34" s="367"/>
      <c r="J34" s="165"/>
      <c r="K34" s="153"/>
      <c r="L34" s="370"/>
      <c r="M34" s="165"/>
      <c r="N34" s="774"/>
      <c r="O34" s="967"/>
      <c r="P34" s="968" t="str">
        <f t="shared" si="2"/>
        <v/>
      </c>
    </row>
    <row r="35" spans="1:16" s="1" customFormat="1" ht="12.95" customHeight="1">
      <c r="A35" s="158"/>
      <c r="B35" s="12"/>
      <c r="C35" s="8"/>
      <c r="D35" s="8"/>
      <c r="E35" s="8"/>
      <c r="F35" s="176"/>
      <c r="G35" s="195"/>
      <c r="H35" s="8" t="s">
        <v>93</v>
      </c>
      <c r="I35" s="29"/>
      <c r="J35" s="29"/>
      <c r="K35" s="148"/>
      <c r="L35" s="369"/>
      <c r="M35" s="156"/>
      <c r="N35" s="776"/>
      <c r="O35" s="969" t="str">
        <f>IF(J35=0,"",N35/J35*100)</f>
        <v/>
      </c>
      <c r="P35" s="970" t="str">
        <f t="shared" si="2"/>
        <v/>
      </c>
    </row>
    <row r="36" spans="1:16" ht="12.95" customHeight="1" thickBot="1">
      <c r="B36" s="16"/>
      <c r="C36" s="17"/>
      <c r="D36" s="17"/>
      <c r="E36" s="17"/>
      <c r="F36" s="178"/>
      <c r="G36" s="197"/>
      <c r="H36" s="17"/>
      <c r="I36" s="31"/>
      <c r="J36" s="31"/>
      <c r="K36" s="725"/>
      <c r="L36" s="371"/>
      <c r="M36" s="31"/>
      <c r="N36" s="814"/>
      <c r="O36" s="971"/>
      <c r="P36" s="972" t="str">
        <f t="shared" si="2"/>
        <v/>
      </c>
    </row>
    <row r="37" spans="1:16" ht="12.95" customHeight="1">
      <c r="F37" s="179"/>
      <c r="G37" s="198"/>
      <c r="N37" s="254"/>
      <c r="P37" s="214" t="str">
        <f t="shared" si="2"/>
        <v/>
      </c>
    </row>
    <row r="38" spans="1:16" ht="12.95" customHeight="1">
      <c r="B38" s="45"/>
      <c r="F38" s="179"/>
      <c r="G38" s="198"/>
      <c r="N38" s="254"/>
      <c r="P38" s="214" t="str">
        <f t="shared" si="2"/>
        <v/>
      </c>
    </row>
    <row r="39" spans="1:16" ht="12.95" customHeight="1">
      <c r="B39" s="45"/>
      <c r="F39" s="179"/>
      <c r="G39" s="198"/>
      <c r="N39" s="254"/>
      <c r="P39" s="214" t="str">
        <f t="shared" si="2"/>
        <v/>
      </c>
    </row>
    <row r="40" spans="1:16" ht="12.95" customHeight="1">
      <c r="F40" s="179"/>
      <c r="G40" s="198"/>
      <c r="N40" s="254"/>
      <c r="P40" s="214" t="str">
        <f t="shared" si="2"/>
        <v/>
      </c>
    </row>
    <row r="41" spans="1:16" ht="12.95" customHeight="1">
      <c r="F41" s="179"/>
      <c r="G41" s="198"/>
      <c r="N41" s="254"/>
      <c r="P41" s="214" t="str">
        <f t="shared" si="2"/>
        <v/>
      </c>
    </row>
    <row r="42" spans="1:16" ht="12.95" customHeight="1">
      <c r="F42" s="179"/>
      <c r="G42" s="198"/>
      <c r="N42" s="254"/>
      <c r="P42" s="214" t="str">
        <f t="shared" si="2"/>
        <v/>
      </c>
    </row>
    <row r="43" spans="1:16" ht="12.95" customHeight="1">
      <c r="F43" s="179"/>
      <c r="G43" s="198"/>
      <c r="N43" s="254"/>
      <c r="P43" s="214" t="str">
        <f t="shared" si="2"/>
        <v/>
      </c>
    </row>
    <row r="44" spans="1:16" ht="12.95" customHeight="1">
      <c r="F44" s="179"/>
      <c r="G44" s="198"/>
      <c r="N44" s="254"/>
      <c r="P44" s="214" t="str">
        <f t="shared" si="2"/>
        <v/>
      </c>
    </row>
    <row r="45" spans="1:16" ht="12.95" customHeight="1">
      <c r="F45" s="179"/>
      <c r="G45" s="198"/>
      <c r="N45" s="254"/>
      <c r="P45" s="214" t="str">
        <f t="shared" si="2"/>
        <v/>
      </c>
    </row>
    <row r="46" spans="1:16" ht="12.95" customHeight="1">
      <c r="F46" s="179"/>
      <c r="G46" s="198"/>
      <c r="N46" s="254"/>
      <c r="P46" s="214" t="str">
        <f t="shared" si="2"/>
        <v/>
      </c>
    </row>
    <row r="47" spans="1:16" ht="12.95" customHeight="1">
      <c r="F47" s="179"/>
      <c r="G47" s="198"/>
      <c r="N47" s="254"/>
      <c r="P47" s="214" t="str">
        <f t="shared" si="2"/>
        <v/>
      </c>
    </row>
    <row r="48" spans="1:16" ht="12.95" customHeight="1">
      <c r="F48" s="179"/>
      <c r="G48" s="198"/>
      <c r="N48" s="254"/>
      <c r="P48" s="214" t="str">
        <f t="shared" si="2"/>
        <v/>
      </c>
    </row>
    <row r="49" spans="6:16" ht="12.95" customHeight="1">
      <c r="F49" s="179"/>
      <c r="G49" s="198"/>
      <c r="N49" s="254"/>
      <c r="P49" s="214" t="str">
        <f t="shared" si="2"/>
        <v/>
      </c>
    </row>
    <row r="50" spans="6:16" ht="12.95" customHeight="1">
      <c r="F50" s="179"/>
      <c r="G50" s="198"/>
      <c r="N50" s="254"/>
      <c r="P50" s="214" t="str">
        <f t="shared" si="2"/>
        <v/>
      </c>
    </row>
    <row r="51" spans="6:16" ht="12.95" customHeight="1">
      <c r="F51" s="179"/>
      <c r="G51" s="198"/>
      <c r="N51" s="254"/>
      <c r="P51" s="214" t="str">
        <f t="shared" si="2"/>
        <v/>
      </c>
    </row>
    <row r="52" spans="6:16" ht="12.95" customHeight="1">
      <c r="F52" s="179"/>
      <c r="G52" s="198"/>
      <c r="N52" s="254"/>
      <c r="P52" s="214" t="str">
        <f t="shared" si="2"/>
        <v/>
      </c>
    </row>
    <row r="53" spans="6:16" ht="12.95" customHeight="1">
      <c r="F53" s="179"/>
      <c r="G53" s="198"/>
      <c r="N53" s="254"/>
      <c r="P53" s="214" t="str">
        <f t="shared" si="2"/>
        <v/>
      </c>
    </row>
    <row r="54" spans="6:16" ht="12.95" customHeight="1">
      <c r="F54" s="179"/>
      <c r="G54" s="198"/>
      <c r="N54" s="254"/>
    </row>
    <row r="55" spans="6:16" ht="12.95" customHeight="1">
      <c r="F55" s="179"/>
      <c r="G55" s="198"/>
      <c r="N55" s="254"/>
    </row>
    <row r="56" spans="6:16" ht="12.95" customHeight="1">
      <c r="F56" s="179"/>
      <c r="G56" s="198"/>
      <c r="N56" s="254"/>
    </row>
    <row r="57" spans="6:16" ht="12.95" customHeight="1">
      <c r="F57" s="179"/>
      <c r="G57" s="198"/>
      <c r="N57" s="254"/>
    </row>
    <row r="58" spans="6:16" ht="12.95" customHeight="1">
      <c r="F58" s="179"/>
      <c r="G58" s="198"/>
      <c r="N58" s="254"/>
    </row>
    <row r="59" spans="6:16" ht="12.95" customHeight="1">
      <c r="F59" s="179"/>
      <c r="G59" s="198"/>
      <c r="N59" s="254"/>
    </row>
    <row r="60" spans="6:16" ht="17.100000000000001" customHeight="1">
      <c r="F60" s="179"/>
      <c r="G60" s="198"/>
      <c r="N60" s="254"/>
    </row>
    <row r="61" spans="6:16" ht="14.25">
      <c r="F61" s="179"/>
      <c r="G61" s="198"/>
      <c r="N61" s="254"/>
    </row>
    <row r="62" spans="6:16" ht="14.25">
      <c r="F62" s="179"/>
      <c r="G62" s="198"/>
      <c r="N62" s="254"/>
    </row>
    <row r="63" spans="6:16" ht="14.25">
      <c r="F63" s="179"/>
      <c r="G63" s="198"/>
      <c r="N63" s="254"/>
    </row>
    <row r="64" spans="6:16" ht="14.25">
      <c r="F64" s="179"/>
      <c r="G64" s="198"/>
      <c r="N64" s="254"/>
    </row>
    <row r="65" spans="6:14" ht="14.25">
      <c r="F65" s="179"/>
      <c r="G65" s="198"/>
      <c r="N65" s="254"/>
    </row>
    <row r="66" spans="6:14" ht="14.25">
      <c r="F66" s="179"/>
      <c r="G66" s="198"/>
      <c r="N66" s="254"/>
    </row>
    <row r="67" spans="6:14" ht="14.25">
      <c r="F67" s="179"/>
      <c r="G67" s="198"/>
      <c r="N67" s="254"/>
    </row>
    <row r="68" spans="6:14" ht="14.25">
      <c r="F68" s="179"/>
      <c r="G68" s="198"/>
      <c r="N68" s="254"/>
    </row>
    <row r="69" spans="6:14" ht="14.25">
      <c r="F69" s="179"/>
      <c r="G69" s="198"/>
      <c r="N69" s="254"/>
    </row>
    <row r="70" spans="6:14" ht="14.25">
      <c r="F70" s="179"/>
      <c r="G70" s="198"/>
      <c r="N70" s="254"/>
    </row>
    <row r="71" spans="6:14" ht="14.25">
      <c r="F71" s="179"/>
      <c r="G71" s="198"/>
      <c r="N71" s="254"/>
    </row>
    <row r="72" spans="6:14" ht="14.25">
      <c r="F72" s="179"/>
      <c r="G72" s="198"/>
      <c r="N72" s="254"/>
    </row>
    <row r="73" spans="6:14" ht="14.25">
      <c r="F73" s="179"/>
      <c r="G73" s="198"/>
      <c r="N73" s="254"/>
    </row>
    <row r="74" spans="6:14" ht="14.25">
      <c r="F74" s="179"/>
      <c r="G74" s="179"/>
      <c r="N74" s="254"/>
    </row>
    <row r="75" spans="6:14" ht="14.25">
      <c r="F75" s="179"/>
      <c r="G75" s="179"/>
      <c r="N75" s="254"/>
    </row>
    <row r="76" spans="6:14" ht="14.25">
      <c r="F76" s="179"/>
      <c r="G76" s="179"/>
      <c r="N76" s="254"/>
    </row>
    <row r="77" spans="6:14" ht="14.25">
      <c r="F77" s="179"/>
      <c r="G77" s="179"/>
      <c r="N77" s="254"/>
    </row>
    <row r="78" spans="6:14" ht="14.25">
      <c r="F78" s="179"/>
      <c r="G78" s="179"/>
      <c r="N78" s="254"/>
    </row>
    <row r="79" spans="6:14" ht="14.25">
      <c r="F79" s="179"/>
      <c r="G79" s="179"/>
      <c r="N79" s="254"/>
    </row>
    <row r="80" spans="6:14" ht="14.25">
      <c r="F80" s="179"/>
      <c r="G80" s="179"/>
      <c r="N80" s="254"/>
    </row>
    <row r="81" spans="6:14" ht="14.25">
      <c r="F81" s="179"/>
      <c r="G81" s="179"/>
      <c r="N81" s="254"/>
    </row>
    <row r="82" spans="6:14" ht="14.25">
      <c r="F82" s="179"/>
      <c r="G82" s="179"/>
      <c r="N82" s="254"/>
    </row>
    <row r="83" spans="6:14" ht="14.25">
      <c r="F83" s="179"/>
      <c r="G83" s="179"/>
      <c r="N83" s="254"/>
    </row>
    <row r="84" spans="6:14" ht="14.25">
      <c r="F84" s="179"/>
      <c r="G84" s="179"/>
      <c r="N84" s="254"/>
    </row>
    <row r="85" spans="6:14" ht="14.25">
      <c r="F85" s="179"/>
      <c r="G85" s="179"/>
      <c r="N85" s="254"/>
    </row>
    <row r="86" spans="6:14" ht="14.25">
      <c r="F86" s="179"/>
      <c r="G86" s="179"/>
      <c r="N86" s="254"/>
    </row>
    <row r="87" spans="6:14" ht="14.25">
      <c r="F87" s="179"/>
      <c r="G87" s="179"/>
      <c r="N87" s="254"/>
    </row>
    <row r="88" spans="6:14" ht="14.25">
      <c r="F88" s="179"/>
      <c r="G88" s="179"/>
      <c r="N88" s="254"/>
    </row>
    <row r="89" spans="6:14" ht="14.25">
      <c r="F89" s="179"/>
      <c r="G89" s="179"/>
      <c r="N89" s="254"/>
    </row>
    <row r="90" spans="6:14" ht="14.25">
      <c r="F90" s="179"/>
      <c r="G90" s="179"/>
      <c r="N90" s="254"/>
    </row>
    <row r="91" spans="6:14">
      <c r="G91" s="179"/>
    </row>
    <row r="92" spans="6:14">
      <c r="G92" s="179"/>
    </row>
    <row r="93" spans="6:14">
      <c r="G93" s="179"/>
    </row>
    <row r="94" spans="6:14">
      <c r="G94" s="179"/>
    </row>
    <row r="95" spans="6:14">
      <c r="G95" s="179"/>
    </row>
    <row r="96" spans="6:14">
      <c r="G96" s="179"/>
    </row>
  </sheetData>
  <mergeCells count="15">
    <mergeCell ref="P4:P5"/>
    <mergeCell ref="B2:P2"/>
    <mergeCell ref="K4:K5"/>
    <mergeCell ref="O4:O5"/>
    <mergeCell ref="H4:H5"/>
    <mergeCell ref="H3:I3"/>
    <mergeCell ref="L4:N4"/>
    <mergeCell ref="B4:B5"/>
    <mergeCell ref="C4:C5"/>
    <mergeCell ref="D4:D5"/>
    <mergeCell ref="G4:G5"/>
    <mergeCell ref="F4:F5"/>
    <mergeCell ref="I4:I5"/>
    <mergeCell ref="J4:J5"/>
    <mergeCell ref="E4:E5"/>
  </mergeCells>
  <phoneticPr fontId="2" type="noConversion"/>
  <pageMargins left="0.78740157480314965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43"/>
  <dimension ref="A1:R96"/>
  <sheetViews>
    <sheetView zoomScaleNormal="100" workbookViewId="0">
      <selection activeCell="O32" sqref="O32"/>
    </sheetView>
  </sheetViews>
  <sheetFormatPr defaultColWidth="9.140625" defaultRowHeight="12.75"/>
  <cols>
    <col min="1" max="1" width="4.42578125" style="161" customWidth="1"/>
    <col min="2" max="2" width="4.7109375" style="9" customWidth="1"/>
    <col min="3" max="3" width="5.140625" style="9" customWidth="1"/>
    <col min="4" max="4" width="5" style="9" customWidth="1"/>
    <col min="5" max="5" width="5" style="161" customWidth="1"/>
    <col min="6" max="6" width="8.7109375" style="18" customWidth="1"/>
    <col min="7" max="7" width="8.7109375" style="166" customWidth="1"/>
    <col min="8" max="8" width="50.7109375" style="9" customWidth="1"/>
    <col min="9" max="10" width="14.7109375" style="51" customWidth="1"/>
    <col min="11" max="11" width="12.5703125" style="51" customWidth="1"/>
    <col min="12" max="13" width="14.7109375" style="51" customWidth="1"/>
    <col min="14" max="14" width="15.7109375" style="51" customWidth="1"/>
    <col min="15" max="16" width="7.7109375" style="214" customWidth="1"/>
    <col min="17" max="16384" width="9.140625" style="9"/>
  </cols>
  <sheetData>
    <row r="1" spans="1:18" ht="13.5" thickBot="1"/>
    <row r="2" spans="1:18" s="79" customFormat="1" ht="20.100000000000001" customHeight="1" thickTop="1" thickBot="1">
      <c r="A2" s="244"/>
      <c r="B2" s="1034" t="s">
        <v>630</v>
      </c>
      <c r="C2" s="1035"/>
      <c r="D2" s="1035"/>
      <c r="E2" s="1035"/>
      <c r="F2" s="1035"/>
      <c r="G2" s="1035"/>
      <c r="H2" s="1035"/>
      <c r="I2" s="1035"/>
      <c r="J2" s="1070"/>
      <c r="K2" s="1070"/>
      <c r="L2" s="1070"/>
      <c r="M2" s="1070"/>
      <c r="N2" s="1070"/>
      <c r="O2" s="1070"/>
      <c r="P2" s="1036"/>
      <c r="R2" s="244"/>
    </row>
    <row r="3" spans="1:18" s="1" customFormat="1" ht="8.1" customHeight="1" thickTop="1" thickBot="1">
      <c r="A3" s="158"/>
      <c r="E3" s="158"/>
      <c r="F3" s="2"/>
      <c r="G3" s="159"/>
      <c r="H3" s="1039"/>
      <c r="I3" s="1039"/>
      <c r="J3" s="139"/>
      <c r="K3" s="721"/>
      <c r="L3" s="74"/>
      <c r="M3" s="74"/>
      <c r="N3" s="74"/>
      <c r="O3" s="208"/>
      <c r="P3" s="208"/>
    </row>
    <row r="4" spans="1:18" s="1" customFormat="1" ht="39" customHeight="1">
      <c r="A4" s="158"/>
      <c r="B4" s="1043" t="s">
        <v>76</v>
      </c>
      <c r="C4" s="1045" t="s">
        <v>77</v>
      </c>
      <c r="D4" s="1047" t="s">
        <v>102</v>
      </c>
      <c r="E4" s="1062" t="s">
        <v>692</v>
      </c>
      <c r="F4" s="1058" t="s">
        <v>466</v>
      </c>
      <c r="G4" s="1048" t="s">
        <v>493</v>
      </c>
      <c r="H4" s="1050" t="s">
        <v>78</v>
      </c>
      <c r="I4" s="1059" t="s">
        <v>901</v>
      </c>
      <c r="J4" s="1068" t="s">
        <v>813</v>
      </c>
      <c r="K4" s="1037" t="s">
        <v>906</v>
      </c>
      <c r="L4" s="1040" t="s">
        <v>905</v>
      </c>
      <c r="M4" s="1041"/>
      <c r="N4" s="1042"/>
      <c r="O4" s="1054" t="s">
        <v>945</v>
      </c>
      <c r="P4" s="1032" t="s">
        <v>946</v>
      </c>
      <c r="R4" s="61"/>
    </row>
    <row r="5" spans="1:18" s="158" customFormat="1" ht="27" customHeight="1">
      <c r="B5" s="1044"/>
      <c r="C5" s="1046"/>
      <c r="D5" s="1046"/>
      <c r="E5" s="1049"/>
      <c r="F5" s="1051"/>
      <c r="G5" s="1049"/>
      <c r="H5" s="1051"/>
      <c r="I5" s="1051"/>
      <c r="J5" s="1051"/>
      <c r="K5" s="1038"/>
      <c r="L5" s="373" t="s">
        <v>526</v>
      </c>
      <c r="M5" s="242" t="s">
        <v>527</v>
      </c>
      <c r="N5" s="764" t="s">
        <v>319</v>
      </c>
      <c r="O5" s="1055"/>
      <c r="P5" s="1033"/>
    </row>
    <row r="6" spans="1:18" s="2" customFormat="1" ht="12.95" customHeight="1">
      <c r="A6" s="159"/>
      <c r="B6" s="328">
        <v>1</v>
      </c>
      <c r="C6" s="195">
        <v>2</v>
      </c>
      <c r="D6" s="195">
        <v>3</v>
      </c>
      <c r="E6" s="195">
        <v>4</v>
      </c>
      <c r="F6" s="195">
        <v>5</v>
      </c>
      <c r="G6" s="195">
        <v>6</v>
      </c>
      <c r="H6" s="195">
        <v>7</v>
      </c>
      <c r="I6" s="195">
        <v>8</v>
      </c>
      <c r="J6" s="195">
        <v>9</v>
      </c>
      <c r="K6" s="188">
        <v>10</v>
      </c>
      <c r="L6" s="328">
        <v>11</v>
      </c>
      <c r="M6" s="195">
        <v>12</v>
      </c>
      <c r="N6" s="810" t="s">
        <v>694</v>
      </c>
      <c r="O6" s="929" t="s">
        <v>814</v>
      </c>
      <c r="P6" s="930" t="s">
        <v>944</v>
      </c>
    </row>
    <row r="7" spans="1:18" s="2" customFormat="1" ht="12.95" customHeight="1">
      <c r="A7" s="159"/>
      <c r="B7" s="6" t="s">
        <v>118</v>
      </c>
      <c r="C7" s="7" t="s">
        <v>120</v>
      </c>
      <c r="D7" s="7" t="s">
        <v>108</v>
      </c>
      <c r="E7" s="415" t="s">
        <v>698</v>
      </c>
      <c r="F7" s="5"/>
      <c r="G7" s="160"/>
      <c r="H7" s="5"/>
      <c r="I7" s="378"/>
      <c r="J7" s="70"/>
      <c r="K7" s="726"/>
      <c r="L7" s="391"/>
      <c r="M7" s="70"/>
      <c r="N7" s="832"/>
      <c r="O7" s="951"/>
      <c r="P7" s="952"/>
    </row>
    <row r="8" spans="1:18" s="1" customFormat="1" ht="12.95" customHeight="1">
      <c r="A8" s="158"/>
      <c r="B8" s="12"/>
      <c r="C8" s="8"/>
      <c r="D8" s="8"/>
      <c r="E8" s="8"/>
      <c r="F8" s="176">
        <v>611000</v>
      </c>
      <c r="G8" s="195"/>
      <c r="H8" s="25" t="s">
        <v>140</v>
      </c>
      <c r="I8" s="236">
        <f t="shared" ref="I8:N8" si="0">SUM(I9:I12)</f>
        <v>87860</v>
      </c>
      <c r="J8" s="236">
        <f t="shared" si="0"/>
        <v>87860</v>
      </c>
      <c r="K8" s="226">
        <f t="shared" si="0"/>
        <v>51634</v>
      </c>
      <c r="L8" s="482">
        <f t="shared" si="0"/>
        <v>87535</v>
      </c>
      <c r="M8" s="236">
        <f t="shared" si="0"/>
        <v>0</v>
      </c>
      <c r="N8" s="812">
        <f t="shared" si="0"/>
        <v>87535</v>
      </c>
      <c r="O8" s="953">
        <f t="shared" ref="O8:O31" si="1">IF(J8=0,"",N8/J8*100)</f>
        <v>99.630093330298195</v>
      </c>
      <c r="P8" s="954">
        <f>IF(K8=0,"",N8/K8*100)</f>
        <v>169.52976720765386</v>
      </c>
    </row>
    <row r="9" spans="1:18" ht="12.95" customHeight="1">
      <c r="B9" s="10"/>
      <c r="C9" s="11"/>
      <c r="D9" s="11"/>
      <c r="E9" s="163"/>
      <c r="F9" s="177">
        <v>611100</v>
      </c>
      <c r="G9" s="196"/>
      <c r="H9" s="428" t="s">
        <v>161</v>
      </c>
      <c r="I9" s="237">
        <v>73270</v>
      </c>
      <c r="J9" s="237">
        <v>73270</v>
      </c>
      <c r="K9" s="224">
        <v>43304</v>
      </c>
      <c r="L9" s="360">
        <v>73136</v>
      </c>
      <c r="M9" s="237">
        <v>0</v>
      </c>
      <c r="N9" s="813">
        <f>SUM(L9:M9)</f>
        <v>73136</v>
      </c>
      <c r="O9" s="955">
        <f t="shared" si="1"/>
        <v>99.817114780947179</v>
      </c>
      <c r="P9" s="956">
        <f t="shared" ref="P9:P53" si="2">IF(K9=0,"",N9/K9*100)</f>
        <v>168.88970995750969</v>
      </c>
    </row>
    <row r="10" spans="1:18" ht="12.95" customHeight="1">
      <c r="B10" s="10"/>
      <c r="C10" s="11"/>
      <c r="D10" s="11"/>
      <c r="E10" s="163"/>
      <c r="F10" s="177">
        <v>611200</v>
      </c>
      <c r="G10" s="196"/>
      <c r="H10" s="24" t="s">
        <v>162</v>
      </c>
      <c r="I10" s="237">
        <f>12390+100+3*700</f>
        <v>14590</v>
      </c>
      <c r="J10" s="237">
        <f>12390+100+3*700</f>
        <v>14590</v>
      </c>
      <c r="K10" s="224">
        <v>8330</v>
      </c>
      <c r="L10" s="360">
        <v>14399</v>
      </c>
      <c r="M10" s="237">
        <v>0</v>
      </c>
      <c r="N10" s="813">
        <f t="shared" ref="N10:N11" si="3">SUM(L10:M10)</f>
        <v>14399</v>
      </c>
      <c r="O10" s="955">
        <f t="shared" si="1"/>
        <v>98.69088416723784</v>
      </c>
      <c r="P10" s="956">
        <f t="shared" si="2"/>
        <v>172.85714285714286</v>
      </c>
    </row>
    <row r="11" spans="1:18" ht="12.95" customHeight="1">
      <c r="B11" s="10"/>
      <c r="C11" s="11"/>
      <c r="D11" s="11"/>
      <c r="E11" s="163"/>
      <c r="F11" s="177">
        <v>611200</v>
      </c>
      <c r="G11" s="196"/>
      <c r="H11" s="429" t="s">
        <v>434</v>
      </c>
      <c r="I11" s="235">
        <v>0</v>
      </c>
      <c r="J11" s="235">
        <v>0</v>
      </c>
      <c r="K11" s="225">
        <v>0</v>
      </c>
      <c r="L11" s="357">
        <v>0</v>
      </c>
      <c r="M11" s="235">
        <v>0</v>
      </c>
      <c r="N11" s="813">
        <f t="shared" si="3"/>
        <v>0</v>
      </c>
      <c r="O11" s="955" t="str">
        <f t="shared" si="1"/>
        <v/>
      </c>
      <c r="P11" s="956" t="str">
        <f t="shared" si="2"/>
        <v/>
      </c>
      <c r="R11" s="50"/>
    </row>
    <row r="12" spans="1:18" ht="12.95" customHeight="1">
      <c r="B12" s="10"/>
      <c r="C12" s="11"/>
      <c r="D12" s="11"/>
      <c r="E12" s="163"/>
      <c r="F12" s="177"/>
      <c r="G12" s="196"/>
      <c r="H12" s="428"/>
      <c r="I12" s="237"/>
      <c r="J12" s="237"/>
      <c r="K12" s="224"/>
      <c r="L12" s="360"/>
      <c r="M12" s="237"/>
      <c r="N12" s="813"/>
      <c r="O12" s="955" t="str">
        <f t="shared" si="1"/>
        <v/>
      </c>
      <c r="P12" s="956" t="str">
        <f t="shared" si="2"/>
        <v/>
      </c>
    </row>
    <row r="13" spans="1:18" s="1" customFormat="1" ht="12.95" customHeight="1">
      <c r="A13" s="158"/>
      <c r="B13" s="12"/>
      <c r="C13" s="8"/>
      <c r="D13" s="8"/>
      <c r="E13" s="8"/>
      <c r="F13" s="176">
        <v>612000</v>
      </c>
      <c r="G13" s="195"/>
      <c r="H13" s="25" t="s">
        <v>139</v>
      </c>
      <c r="I13" s="236">
        <f t="shared" ref="I13:N13" si="4">I14</f>
        <v>7710</v>
      </c>
      <c r="J13" s="236">
        <f t="shared" si="4"/>
        <v>7710</v>
      </c>
      <c r="K13" s="226">
        <f t="shared" si="4"/>
        <v>4547</v>
      </c>
      <c r="L13" s="482">
        <f t="shared" si="4"/>
        <v>7679</v>
      </c>
      <c r="M13" s="236">
        <f t="shared" si="4"/>
        <v>0</v>
      </c>
      <c r="N13" s="812">
        <f t="shared" si="4"/>
        <v>7679</v>
      </c>
      <c r="O13" s="953">
        <f t="shared" si="1"/>
        <v>99.597924773022044</v>
      </c>
      <c r="P13" s="954">
        <f t="shared" si="2"/>
        <v>168.88058060259513</v>
      </c>
    </row>
    <row r="14" spans="1:18" ht="12.95" customHeight="1">
      <c r="B14" s="10"/>
      <c r="C14" s="11"/>
      <c r="D14" s="11"/>
      <c r="E14" s="163"/>
      <c r="F14" s="177">
        <v>612100</v>
      </c>
      <c r="G14" s="196"/>
      <c r="H14" s="430" t="s">
        <v>81</v>
      </c>
      <c r="I14" s="237">
        <f>7710</f>
        <v>7710</v>
      </c>
      <c r="J14" s="237">
        <f>7710</f>
        <v>7710</v>
      </c>
      <c r="K14" s="224">
        <v>4547</v>
      </c>
      <c r="L14" s="360">
        <v>7679</v>
      </c>
      <c r="M14" s="237">
        <v>0</v>
      </c>
      <c r="N14" s="813">
        <f>SUM(L14:M14)</f>
        <v>7679</v>
      </c>
      <c r="O14" s="955">
        <f t="shared" si="1"/>
        <v>99.597924773022044</v>
      </c>
      <c r="P14" s="956">
        <f t="shared" si="2"/>
        <v>168.88058060259513</v>
      </c>
    </row>
    <row r="15" spans="1:18" ht="12.95" customHeight="1">
      <c r="B15" s="10"/>
      <c r="C15" s="11"/>
      <c r="D15" s="11"/>
      <c r="E15" s="163"/>
      <c r="F15" s="177"/>
      <c r="G15" s="196"/>
      <c r="H15" s="24"/>
      <c r="I15" s="233"/>
      <c r="J15" s="233"/>
      <c r="K15" s="222"/>
      <c r="L15" s="359"/>
      <c r="M15" s="233"/>
      <c r="N15" s="776"/>
      <c r="O15" s="955" t="str">
        <f t="shared" si="1"/>
        <v/>
      </c>
      <c r="P15" s="956" t="str">
        <f t="shared" si="2"/>
        <v/>
      </c>
    </row>
    <row r="16" spans="1:18" s="1" customFormat="1" ht="12.95" customHeight="1">
      <c r="A16" s="158"/>
      <c r="B16" s="12"/>
      <c r="C16" s="8"/>
      <c r="D16" s="8"/>
      <c r="E16" s="8"/>
      <c r="F16" s="176">
        <v>613000</v>
      </c>
      <c r="G16" s="195"/>
      <c r="H16" s="25" t="s">
        <v>141</v>
      </c>
      <c r="I16" s="234">
        <f t="shared" ref="I16:N16" si="5">SUM(I17:I26)</f>
        <v>3100</v>
      </c>
      <c r="J16" s="234">
        <f t="shared" si="5"/>
        <v>3100</v>
      </c>
      <c r="K16" s="221">
        <f t="shared" si="5"/>
        <v>1465</v>
      </c>
      <c r="L16" s="483">
        <f t="shared" si="5"/>
        <v>2169</v>
      </c>
      <c r="M16" s="234">
        <f t="shared" si="5"/>
        <v>0</v>
      </c>
      <c r="N16" s="774">
        <f t="shared" si="5"/>
        <v>2169</v>
      </c>
      <c r="O16" s="953">
        <f t="shared" si="1"/>
        <v>69.967741935483872</v>
      </c>
      <c r="P16" s="954">
        <f t="shared" si="2"/>
        <v>148.05460750853243</v>
      </c>
    </row>
    <row r="17" spans="1:16" ht="12.95" customHeight="1">
      <c r="B17" s="10"/>
      <c r="C17" s="11"/>
      <c r="D17" s="11"/>
      <c r="E17" s="163"/>
      <c r="F17" s="177">
        <v>613100</v>
      </c>
      <c r="G17" s="196"/>
      <c r="H17" s="24" t="s">
        <v>82</v>
      </c>
      <c r="I17" s="237">
        <v>300</v>
      </c>
      <c r="J17" s="237">
        <v>160</v>
      </c>
      <c r="K17" s="224">
        <v>0</v>
      </c>
      <c r="L17" s="359">
        <v>0</v>
      </c>
      <c r="M17" s="233">
        <v>0</v>
      </c>
      <c r="N17" s="813">
        <f t="shared" ref="N17:N26" si="6">SUM(L17:M17)</f>
        <v>0</v>
      </c>
      <c r="O17" s="955">
        <f t="shared" si="1"/>
        <v>0</v>
      </c>
      <c r="P17" s="956" t="str">
        <f t="shared" si="2"/>
        <v/>
      </c>
    </row>
    <row r="18" spans="1:16" ht="12.95" customHeight="1">
      <c r="B18" s="10"/>
      <c r="C18" s="11"/>
      <c r="D18" s="11"/>
      <c r="E18" s="163"/>
      <c r="F18" s="177">
        <v>613200</v>
      </c>
      <c r="G18" s="196"/>
      <c r="H18" s="24" t="s">
        <v>83</v>
      </c>
      <c r="I18" s="237">
        <v>0</v>
      </c>
      <c r="J18" s="237">
        <v>0</v>
      </c>
      <c r="K18" s="224">
        <v>0</v>
      </c>
      <c r="L18" s="359">
        <v>0</v>
      </c>
      <c r="M18" s="233">
        <v>0</v>
      </c>
      <c r="N18" s="813">
        <f t="shared" si="6"/>
        <v>0</v>
      </c>
      <c r="O18" s="955" t="str">
        <f t="shared" si="1"/>
        <v/>
      </c>
      <c r="P18" s="956" t="str">
        <f t="shared" si="2"/>
        <v/>
      </c>
    </row>
    <row r="19" spans="1:16" ht="12.95" customHeight="1">
      <c r="B19" s="10"/>
      <c r="C19" s="11"/>
      <c r="D19" s="11"/>
      <c r="E19" s="163"/>
      <c r="F19" s="177">
        <v>613300</v>
      </c>
      <c r="G19" s="196"/>
      <c r="H19" s="428" t="s">
        <v>163</v>
      </c>
      <c r="I19" s="237">
        <v>800</v>
      </c>
      <c r="J19" s="237">
        <v>800</v>
      </c>
      <c r="K19" s="224">
        <v>553</v>
      </c>
      <c r="L19" s="359">
        <v>611</v>
      </c>
      <c r="M19" s="233">
        <v>0</v>
      </c>
      <c r="N19" s="813">
        <f t="shared" si="6"/>
        <v>611</v>
      </c>
      <c r="O19" s="955">
        <f t="shared" si="1"/>
        <v>76.375</v>
      </c>
      <c r="P19" s="956">
        <f t="shared" si="2"/>
        <v>110.4882459312839</v>
      </c>
    </row>
    <row r="20" spans="1:16" ht="12.95" customHeight="1">
      <c r="B20" s="10"/>
      <c r="C20" s="11"/>
      <c r="D20" s="11"/>
      <c r="E20" s="163"/>
      <c r="F20" s="177">
        <v>613400</v>
      </c>
      <c r="G20" s="196"/>
      <c r="H20" s="24" t="s">
        <v>142</v>
      </c>
      <c r="I20" s="237">
        <v>1000</v>
      </c>
      <c r="J20" s="237">
        <v>1000</v>
      </c>
      <c r="K20" s="224">
        <v>572</v>
      </c>
      <c r="L20" s="359">
        <v>970</v>
      </c>
      <c r="M20" s="233">
        <v>0</v>
      </c>
      <c r="N20" s="813">
        <f t="shared" si="6"/>
        <v>970</v>
      </c>
      <c r="O20" s="955">
        <f t="shared" si="1"/>
        <v>97</v>
      </c>
      <c r="P20" s="956">
        <f t="shared" si="2"/>
        <v>169.58041958041957</v>
      </c>
    </row>
    <row r="21" spans="1:16" ht="12.95" customHeight="1">
      <c r="B21" s="10"/>
      <c r="C21" s="11"/>
      <c r="D21" s="11"/>
      <c r="E21" s="163"/>
      <c r="F21" s="177">
        <v>613500</v>
      </c>
      <c r="G21" s="196"/>
      <c r="H21" s="24" t="s">
        <v>84</v>
      </c>
      <c r="I21" s="237">
        <v>0</v>
      </c>
      <c r="J21" s="237">
        <v>0</v>
      </c>
      <c r="K21" s="224">
        <v>0</v>
      </c>
      <c r="L21" s="359">
        <v>0</v>
      </c>
      <c r="M21" s="233">
        <v>0</v>
      </c>
      <c r="N21" s="813">
        <f t="shared" si="6"/>
        <v>0</v>
      </c>
      <c r="O21" s="955" t="str">
        <f t="shared" si="1"/>
        <v/>
      </c>
      <c r="P21" s="956" t="str">
        <f t="shared" si="2"/>
        <v/>
      </c>
    </row>
    <row r="22" spans="1:16" ht="12.95" customHeight="1">
      <c r="B22" s="10"/>
      <c r="C22" s="11"/>
      <c r="D22" s="11"/>
      <c r="E22" s="163"/>
      <c r="F22" s="177">
        <v>613600</v>
      </c>
      <c r="G22" s="196"/>
      <c r="H22" s="428" t="s">
        <v>164</v>
      </c>
      <c r="I22" s="237">
        <v>0</v>
      </c>
      <c r="J22" s="237">
        <v>0</v>
      </c>
      <c r="K22" s="224">
        <v>0</v>
      </c>
      <c r="L22" s="359">
        <v>0</v>
      </c>
      <c r="M22" s="233">
        <v>0</v>
      </c>
      <c r="N22" s="813">
        <f t="shared" si="6"/>
        <v>0</v>
      </c>
      <c r="O22" s="955" t="str">
        <f t="shared" si="1"/>
        <v/>
      </c>
      <c r="P22" s="956" t="str">
        <f t="shared" si="2"/>
        <v/>
      </c>
    </row>
    <row r="23" spans="1:16" ht="12.95" customHeight="1">
      <c r="B23" s="10"/>
      <c r="C23" s="11"/>
      <c r="D23" s="11"/>
      <c r="E23" s="163"/>
      <c r="F23" s="177">
        <v>613700</v>
      </c>
      <c r="G23" s="196"/>
      <c r="H23" s="24" t="s">
        <v>85</v>
      </c>
      <c r="I23" s="237">
        <v>0</v>
      </c>
      <c r="J23" s="237">
        <v>140</v>
      </c>
      <c r="K23" s="224">
        <v>55</v>
      </c>
      <c r="L23" s="360">
        <v>136</v>
      </c>
      <c r="M23" s="233">
        <v>0</v>
      </c>
      <c r="N23" s="813">
        <f t="shared" si="6"/>
        <v>136</v>
      </c>
      <c r="O23" s="955">
        <f t="shared" si="1"/>
        <v>97.142857142857139</v>
      </c>
      <c r="P23" s="956">
        <f t="shared" si="2"/>
        <v>247.27272727272725</v>
      </c>
    </row>
    <row r="24" spans="1:16" ht="12.95" customHeight="1">
      <c r="B24" s="10"/>
      <c r="C24" s="11"/>
      <c r="D24" s="11"/>
      <c r="E24" s="163"/>
      <c r="F24" s="177">
        <v>613800</v>
      </c>
      <c r="G24" s="196"/>
      <c r="H24" s="24" t="s">
        <v>143</v>
      </c>
      <c r="I24" s="237">
        <v>0</v>
      </c>
      <c r="J24" s="237">
        <v>0</v>
      </c>
      <c r="K24" s="224">
        <v>0</v>
      </c>
      <c r="L24" s="359">
        <v>0</v>
      </c>
      <c r="M24" s="233">
        <v>0</v>
      </c>
      <c r="N24" s="813">
        <f t="shared" si="6"/>
        <v>0</v>
      </c>
      <c r="O24" s="955" t="str">
        <f t="shared" si="1"/>
        <v/>
      </c>
      <c r="P24" s="956" t="str">
        <f t="shared" si="2"/>
        <v/>
      </c>
    </row>
    <row r="25" spans="1:16" ht="12.95" customHeight="1">
      <c r="B25" s="10"/>
      <c r="C25" s="11"/>
      <c r="D25" s="11"/>
      <c r="E25" s="163"/>
      <c r="F25" s="177">
        <v>613900</v>
      </c>
      <c r="G25" s="196"/>
      <c r="H25" s="24" t="s">
        <v>144</v>
      </c>
      <c r="I25" s="237">
        <v>1000</v>
      </c>
      <c r="J25" s="237">
        <v>1000</v>
      </c>
      <c r="K25" s="224">
        <v>285</v>
      </c>
      <c r="L25" s="359">
        <v>452</v>
      </c>
      <c r="M25" s="237">
        <v>0</v>
      </c>
      <c r="N25" s="813">
        <f t="shared" si="6"/>
        <v>452</v>
      </c>
      <c r="O25" s="955">
        <f t="shared" si="1"/>
        <v>45.2</v>
      </c>
      <c r="P25" s="956">
        <f t="shared" si="2"/>
        <v>158.59649122807019</v>
      </c>
    </row>
    <row r="26" spans="1:16" ht="12.95" customHeight="1">
      <c r="B26" s="10"/>
      <c r="C26" s="11"/>
      <c r="D26" s="11"/>
      <c r="E26" s="163"/>
      <c r="F26" s="177">
        <v>613900</v>
      </c>
      <c r="G26" s="196"/>
      <c r="H26" s="429" t="s">
        <v>435</v>
      </c>
      <c r="I26" s="233">
        <v>0</v>
      </c>
      <c r="J26" s="233">
        <v>0</v>
      </c>
      <c r="K26" s="222">
        <v>0</v>
      </c>
      <c r="L26" s="359">
        <v>0</v>
      </c>
      <c r="M26" s="233">
        <v>0</v>
      </c>
      <c r="N26" s="813">
        <f t="shared" si="6"/>
        <v>0</v>
      </c>
      <c r="O26" s="955" t="str">
        <f t="shared" si="1"/>
        <v/>
      </c>
      <c r="P26" s="956" t="str">
        <f t="shared" si="2"/>
        <v/>
      </c>
    </row>
    <row r="27" spans="1:16" s="1" customFormat="1" ht="12.95" customHeight="1">
      <c r="A27" s="158"/>
      <c r="B27" s="12"/>
      <c r="C27" s="8"/>
      <c r="D27" s="8"/>
      <c r="E27" s="414"/>
      <c r="F27" s="187"/>
      <c r="G27" s="207"/>
      <c r="H27" s="25"/>
      <c r="I27" s="233"/>
      <c r="J27" s="233"/>
      <c r="K27" s="222"/>
      <c r="L27" s="359"/>
      <c r="M27" s="233"/>
      <c r="N27" s="776"/>
      <c r="O27" s="955" t="str">
        <f t="shared" si="1"/>
        <v/>
      </c>
      <c r="P27" s="956" t="str">
        <f t="shared" si="2"/>
        <v/>
      </c>
    </row>
    <row r="28" spans="1:16" s="1" customFormat="1" ht="12.95" customHeight="1">
      <c r="A28" s="158"/>
      <c r="B28" s="12"/>
      <c r="C28" s="8"/>
      <c r="D28" s="8"/>
      <c r="E28" s="8"/>
      <c r="F28" s="176">
        <v>821000</v>
      </c>
      <c r="G28" s="195"/>
      <c r="H28" s="25" t="s">
        <v>88</v>
      </c>
      <c r="I28" s="232">
        <f t="shared" ref="I28:N28" si="7">SUM(I29:I30)</f>
        <v>3000</v>
      </c>
      <c r="J28" s="232">
        <f t="shared" si="7"/>
        <v>3000</v>
      </c>
      <c r="K28" s="223">
        <f t="shared" si="7"/>
        <v>1372</v>
      </c>
      <c r="L28" s="484">
        <f t="shared" si="7"/>
        <v>2971</v>
      </c>
      <c r="M28" s="232">
        <f t="shared" si="7"/>
        <v>0</v>
      </c>
      <c r="N28" s="774">
        <f t="shared" si="7"/>
        <v>2971</v>
      </c>
      <c r="O28" s="953">
        <f t="shared" si="1"/>
        <v>99.033333333333331</v>
      </c>
      <c r="P28" s="954">
        <f t="shared" si="2"/>
        <v>216.54518950437316</v>
      </c>
    </row>
    <row r="29" spans="1:16" ht="12.95" customHeight="1">
      <c r="B29" s="10"/>
      <c r="C29" s="11"/>
      <c r="D29" s="11"/>
      <c r="E29" s="163"/>
      <c r="F29" s="177">
        <v>821200</v>
      </c>
      <c r="G29" s="196"/>
      <c r="H29" s="24" t="s">
        <v>89</v>
      </c>
      <c r="I29" s="233">
        <v>0</v>
      </c>
      <c r="J29" s="233">
        <v>0</v>
      </c>
      <c r="K29" s="222">
        <v>0</v>
      </c>
      <c r="L29" s="359">
        <v>0</v>
      </c>
      <c r="M29" s="233">
        <v>0</v>
      </c>
      <c r="N29" s="813">
        <f t="shared" ref="N29:N30" si="8">SUM(L29:M29)</f>
        <v>0</v>
      </c>
      <c r="O29" s="955" t="str">
        <f t="shared" si="1"/>
        <v/>
      </c>
      <c r="P29" s="956" t="str">
        <f t="shared" si="2"/>
        <v/>
      </c>
    </row>
    <row r="30" spans="1:16" ht="12.95" customHeight="1">
      <c r="B30" s="10"/>
      <c r="C30" s="11"/>
      <c r="D30" s="11"/>
      <c r="E30" s="163"/>
      <c r="F30" s="177">
        <v>821300</v>
      </c>
      <c r="G30" s="196"/>
      <c r="H30" s="24" t="s">
        <v>90</v>
      </c>
      <c r="I30" s="233">
        <v>3000</v>
      </c>
      <c r="J30" s="233">
        <v>3000</v>
      </c>
      <c r="K30" s="222">
        <v>1372</v>
      </c>
      <c r="L30" s="359">
        <v>2971</v>
      </c>
      <c r="M30" s="233">
        <v>0</v>
      </c>
      <c r="N30" s="813">
        <f t="shared" si="8"/>
        <v>2971</v>
      </c>
      <c r="O30" s="955">
        <f t="shared" si="1"/>
        <v>99.033333333333331</v>
      </c>
      <c r="P30" s="956">
        <f t="shared" si="2"/>
        <v>216.54518950437316</v>
      </c>
    </row>
    <row r="31" spans="1:16" ht="12.95" customHeight="1">
      <c r="B31" s="10"/>
      <c r="C31" s="11"/>
      <c r="D31" s="11"/>
      <c r="E31" s="163"/>
      <c r="F31" s="177"/>
      <c r="G31" s="196"/>
      <c r="H31" s="24"/>
      <c r="I31" s="233"/>
      <c r="J31" s="233"/>
      <c r="K31" s="222"/>
      <c r="L31" s="359"/>
      <c r="M31" s="233"/>
      <c r="N31" s="776"/>
      <c r="O31" s="955" t="str">
        <f t="shared" si="1"/>
        <v/>
      </c>
      <c r="P31" s="956" t="str">
        <f t="shared" si="2"/>
        <v/>
      </c>
    </row>
    <row r="32" spans="1:16" s="1" customFormat="1" ht="12.95" customHeight="1">
      <c r="A32" s="158"/>
      <c r="B32" s="12"/>
      <c r="C32" s="8"/>
      <c r="D32" s="8"/>
      <c r="E32" s="8"/>
      <c r="F32" s="176"/>
      <c r="G32" s="195"/>
      <c r="H32" s="25" t="s">
        <v>91</v>
      </c>
      <c r="I32" s="236">
        <v>3</v>
      </c>
      <c r="J32" s="236">
        <v>3</v>
      </c>
      <c r="K32" s="226">
        <v>3</v>
      </c>
      <c r="L32" s="482">
        <v>3</v>
      </c>
      <c r="M32" s="236"/>
      <c r="N32" s="774">
        <v>3</v>
      </c>
      <c r="O32" s="955"/>
      <c r="P32" s="956"/>
    </row>
    <row r="33" spans="1:16" s="1" customFormat="1" ht="12.95" customHeight="1">
      <c r="A33" s="158"/>
      <c r="B33" s="12"/>
      <c r="C33" s="8"/>
      <c r="D33" s="8"/>
      <c r="E33" s="8"/>
      <c r="F33" s="176"/>
      <c r="G33" s="195"/>
      <c r="H33" s="8" t="s">
        <v>105</v>
      </c>
      <c r="I33" s="367">
        <f t="shared" ref="I33:J33" si="9">I8+I13+I16+I28</f>
        <v>101670</v>
      </c>
      <c r="J33" s="165">
        <f t="shared" si="9"/>
        <v>101670</v>
      </c>
      <c r="K33" s="153">
        <f t="shared" ref="K33" si="10">K8+K13+K16+K28</f>
        <v>59018</v>
      </c>
      <c r="L33" s="370">
        <f>L8+L13+L16+L28</f>
        <v>100354</v>
      </c>
      <c r="M33" s="165">
        <f>M8+M13+M16+M28</f>
        <v>0</v>
      </c>
      <c r="N33" s="774">
        <f>N8+N13+N16+N28</f>
        <v>100354</v>
      </c>
      <c r="O33" s="953">
        <f>IF(J33=0,"",N33/J33*100)</f>
        <v>98.705616209304608</v>
      </c>
      <c r="P33" s="954">
        <f t="shared" si="2"/>
        <v>170.03964892066827</v>
      </c>
    </row>
    <row r="34" spans="1:16" s="1" customFormat="1" ht="12.95" customHeight="1">
      <c r="A34" s="158"/>
      <c r="B34" s="12"/>
      <c r="C34" s="8"/>
      <c r="D34" s="8"/>
      <c r="E34" s="8"/>
      <c r="F34" s="176"/>
      <c r="G34" s="195"/>
      <c r="H34" s="8" t="s">
        <v>92</v>
      </c>
      <c r="I34" s="367">
        <f>I33+'11'!I33</f>
        <v>147820</v>
      </c>
      <c r="J34" s="165">
        <f>J33+'11'!J33</f>
        <v>147820</v>
      </c>
      <c r="K34" s="153">
        <f>K33+'11'!K33</f>
        <v>98112</v>
      </c>
      <c r="L34" s="370">
        <f>L33+'11'!L33</f>
        <v>144753</v>
      </c>
      <c r="M34" s="165">
        <f>M33+'11'!M33</f>
        <v>0</v>
      </c>
      <c r="N34" s="774">
        <f>N33+'11'!N33</f>
        <v>144753</v>
      </c>
      <c r="O34" s="953">
        <f>IF(J34=0,"",N34/J34*100)</f>
        <v>97.925179272087675</v>
      </c>
      <c r="P34" s="954">
        <f t="shared" si="2"/>
        <v>147.53852739726028</v>
      </c>
    </row>
    <row r="35" spans="1:16" s="1" customFormat="1" ht="12.95" customHeight="1">
      <c r="A35" s="158"/>
      <c r="B35" s="12"/>
      <c r="C35" s="8"/>
      <c r="D35" s="8"/>
      <c r="E35" s="8"/>
      <c r="F35" s="176"/>
      <c r="G35" s="195"/>
      <c r="H35" s="8" t="s">
        <v>93</v>
      </c>
      <c r="I35" s="15"/>
      <c r="J35" s="15"/>
      <c r="K35" s="153"/>
      <c r="L35" s="370"/>
      <c r="M35" s="165"/>
      <c r="N35" s="774"/>
      <c r="O35" s="953"/>
      <c r="P35" s="954" t="str">
        <f t="shared" si="2"/>
        <v/>
      </c>
    </row>
    <row r="36" spans="1:16" ht="12.95" customHeight="1" thickBot="1">
      <c r="B36" s="16"/>
      <c r="C36" s="17"/>
      <c r="D36" s="17"/>
      <c r="E36" s="17"/>
      <c r="F36" s="178"/>
      <c r="G36" s="197"/>
      <c r="H36" s="17"/>
      <c r="I36" s="31"/>
      <c r="J36" s="31"/>
      <c r="K36" s="725"/>
      <c r="L36" s="371"/>
      <c r="M36" s="31"/>
      <c r="N36" s="814"/>
      <c r="O36" s="957"/>
      <c r="P36" s="958" t="str">
        <f t="shared" si="2"/>
        <v/>
      </c>
    </row>
    <row r="37" spans="1:16" ht="12.95" customHeight="1">
      <c r="F37" s="179"/>
      <c r="G37" s="198"/>
      <c r="N37" s="254"/>
      <c r="P37" s="214" t="str">
        <f t="shared" si="2"/>
        <v/>
      </c>
    </row>
    <row r="38" spans="1:16" ht="12.95" customHeight="1">
      <c r="B38" s="45"/>
      <c r="F38" s="179"/>
      <c r="G38" s="198"/>
      <c r="N38" s="254"/>
      <c r="P38" s="214" t="str">
        <f t="shared" si="2"/>
        <v/>
      </c>
    </row>
    <row r="39" spans="1:16" ht="12.95" customHeight="1">
      <c r="F39" s="179"/>
      <c r="G39" s="198"/>
      <c r="N39" s="254"/>
      <c r="P39" s="214" t="str">
        <f t="shared" si="2"/>
        <v/>
      </c>
    </row>
    <row r="40" spans="1:16" ht="12.95" customHeight="1">
      <c r="F40" s="179"/>
      <c r="G40" s="198"/>
      <c r="N40" s="254"/>
      <c r="P40" s="214" t="str">
        <f t="shared" si="2"/>
        <v/>
      </c>
    </row>
    <row r="41" spans="1:16" ht="12.95" customHeight="1">
      <c r="F41" s="179"/>
      <c r="G41" s="198"/>
      <c r="N41" s="254"/>
      <c r="P41" s="214" t="str">
        <f t="shared" si="2"/>
        <v/>
      </c>
    </row>
    <row r="42" spans="1:16" ht="12.95" customHeight="1">
      <c r="F42" s="179"/>
      <c r="G42" s="198"/>
      <c r="N42" s="254"/>
      <c r="P42" s="214" t="str">
        <f t="shared" si="2"/>
        <v/>
      </c>
    </row>
    <row r="43" spans="1:16" ht="12.95" customHeight="1">
      <c r="F43" s="179"/>
      <c r="G43" s="198"/>
      <c r="N43" s="254"/>
      <c r="P43" s="214" t="str">
        <f t="shared" si="2"/>
        <v/>
      </c>
    </row>
    <row r="44" spans="1:16" ht="12.95" customHeight="1">
      <c r="F44" s="179"/>
      <c r="G44" s="198"/>
      <c r="N44" s="254"/>
      <c r="P44" s="214" t="str">
        <f t="shared" si="2"/>
        <v/>
      </c>
    </row>
    <row r="45" spans="1:16" ht="12.95" customHeight="1">
      <c r="F45" s="179"/>
      <c r="G45" s="198"/>
      <c r="N45" s="254"/>
      <c r="P45" s="214" t="str">
        <f t="shared" si="2"/>
        <v/>
      </c>
    </row>
    <row r="46" spans="1:16" ht="12.95" customHeight="1">
      <c r="F46" s="179"/>
      <c r="G46" s="198"/>
      <c r="N46" s="254"/>
      <c r="P46" s="214" t="str">
        <f t="shared" si="2"/>
        <v/>
      </c>
    </row>
    <row r="47" spans="1:16" ht="12.95" customHeight="1">
      <c r="F47" s="179"/>
      <c r="G47" s="198"/>
      <c r="N47" s="254"/>
      <c r="P47" s="214" t="str">
        <f t="shared" si="2"/>
        <v/>
      </c>
    </row>
    <row r="48" spans="1:16" ht="12.95" customHeight="1">
      <c r="F48" s="179"/>
      <c r="G48" s="198"/>
      <c r="N48" s="254"/>
      <c r="P48" s="214" t="str">
        <f t="shared" si="2"/>
        <v/>
      </c>
    </row>
    <row r="49" spans="6:16" ht="12.95" customHeight="1">
      <c r="F49" s="179"/>
      <c r="G49" s="198"/>
      <c r="N49" s="254"/>
      <c r="P49" s="214" t="str">
        <f t="shared" si="2"/>
        <v/>
      </c>
    </row>
    <row r="50" spans="6:16" ht="12.95" customHeight="1">
      <c r="F50" s="179"/>
      <c r="G50" s="198"/>
      <c r="N50" s="254"/>
      <c r="P50" s="214" t="str">
        <f t="shared" si="2"/>
        <v/>
      </c>
    </row>
    <row r="51" spans="6:16" ht="12.95" customHeight="1">
      <c r="F51" s="179"/>
      <c r="G51" s="198"/>
      <c r="N51" s="254"/>
      <c r="P51" s="214" t="str">
        <f t="shared" si="2"/>
        <v/>
      </c>
    </row>
    <row r="52" spans="6:16" ht="12.95" customHeight="1">
      <c r="F52" s="179"/>
      <c r="G52" s="198"/>
      <c r="N52" s="254"/>
      <c r="P52" s="214" t="str">
        <f t="shared" si="2"/>
        <v/>
      </c>
    </row>
    <row r="53" spans="6:16" ht="12.95" customHeight="1">
      <c r="F53" s="179"/>
      <c r="G53" s="198"/>
      <c r="N53" s="254"/>
      <c r="P53" s="214" t="str">
        <f t="shared" si="2"/>
        <v/>
      </c>
    </row>
    <row r="54" spans="6:16" ht="12.95" customHeight="1">
      <c r="F54" s="179"/>
      <c r="G54" s="198"/>
      <c r="N54" s="254"/>
    </row>
    <row r="55" spans="6:16" ht="12.95" customHeight="1">
      <c r="F55" s="179"/>
      <c r="G55" s="198"/>
      <c r="N55" s="254"/>
    </row>
    <row r="56" spans="6:16" ht="12.95" customHeight="1">
      <c r="F56" s="179"/>
      <c r="G56" s="198"/>
      <c r="N56" s="254"/>
    </row>
    <row r="57" spans="6:16" ht="12.95" customHeight="1">
      <c r="F57" s="179"/>
      <c r="G57" s="198"/>
      <c r="N57" s="254"/>
    </row>
    <row r="58" spans="6:16" ht="12.95" customHeight="1">
      <c r="F58" s="179"/>
      <c r="G58" s="198"/>
      <c r="N58" s="254"/>
    </row>
    <row r="59" spans="6:16" ht="12.95" customHeight="1">
      <c r="F59" s="179"/>
      <c r="G59" s="198"/>
      <c r="N59" s="254"/>
    </row>
    <row r="60" spans="6:16" ht="17.100000000000001" customHeight="1">
      <c r="F60" s="179"/>
      <c r="G60" s="198"/>
      <c r="N60" s="254"/>
    </row>
    <row r="61" spans="6:16" ht="14.25">
      <c r="F61" s="179"/>
      <c r="G61" s="198"/>
      <c r="N61" s="254"/>
    </row>
    <row r="62" spans="6:16" ht="14.25">
      <c r="F62" s="179"/>
      <c r="G62" s="198"/>
      <c r="N62" s="254"/>
    </row>
    <row r="63" spans="6:16" ht="14.25">
      <c r="F63" s="179"/>
      <c r="G63" s="198"/>
      <c r="N63" s="254"/>
    </row>
    <row r="64" spans="6:16" ht="14.25">
      <c r="F64" s="179"/>
      <c r="G64" s="198"/>
      <c r="N64" s="254"/>
    </row>
    <row r="65" spans="6:14" ht="14.25">
      <c r="F65" s="179"/>
      <c r="G65" s="198"/>
      <c r="N65" s="254"/>
    </row>
    <row r="66" spans="6:14" ht="14.25">
      <c r="F66" s="179"/>
      <c r="G66" s="198"/>
      <c r="N66" s="254"/>
    </row>
    <row r="67" spans="6:14" ht="14.25">
      <c r="F67" s="179"/>
      <c r="G67" s="198"/>
      <c r="N67" s="254"/>
    </row>
    <row r="68" spans="6:14" ht="14.25">
      <c r="F68" s="179"/>
      <c r="G68" s="198"/>
      <c r="N68" s="254"/>
    </row>
    <row r="69" spans="6:14" ht="14.25">
      <c r="F69" s="179"/>
      <c r="G69" s="198"/>
      <c r="N69" s="254"/>
    </row>
    <row r="70" spans="6:14" ht="14.25">
      <c r="F70" s="179"/>
      <c r="G70" s="198"/>
      <c r="N70" s="254"/>
    </row>
    <row r="71" spans="6:14" ht="14.25">
      <c r="F71" s="179"/>
      <c r="G71" s="198"/>
      <c r="N71" s="254"/>
    </row>
    <row r="72" spans="6:14" ht="14.25">
      <c r="F72" s="179"/>
      <c r="G72" s="198"/>
      <c r="N72" s="254"/>
    </row>
    <row r="73" spans="6:14" ht="14.25">
      <c r="F73" s="179"/>
      <c r="G73" s="198"/>
      <c r="N73" s="254"/>
    </row>
    <row r="74" spans="6:14" ht="14.25">
      <c r="F74" s="179"/>
      <c r="G74" s="179"/>
      <c r="N74" s="254"/>
    </row>
    <row r="75" spans="6:14" ht="14.25">
      <c r="F75" s="179"/>
      <c r="G75" s="179"/>
      <c r="N75" s="254"/>
    </row>
    <row r="76" spans="6:14" ht="14.25">
      <c r="F76" s="179"/>
      <c r="G76" s="179"/>
      <c r="N76" s="254"/>
    </row>
    <row r="77" spans="6:14" ht="14.25">
      <c r="F77" s="179"/>
      <c r="G77" s="179"/>
      <c r="N77" s="254"/>
    </row>
    <row r="78" spans="6:14" ht="14.25">
      <c r="F78" s="179"/>
      <c r="G78" s="179"/>
      <c r="N78" s="254"/>
    </row>
    <row r="79" spans="6:14" ht="14.25">
      <c r="F79" s="179"/>
      <c r="G79" s="179"/>
      <c r="N79" s="254"/>
    </row>
    <row r="80" spans="6:14" ht="14.25">
      <c r="F80" s="179"/>
      <c r="G80" s="179"/>
      <c r="N80" s="254"/>
    </row>
    <row r="81" spans="6:14" ht="14.25">
      <c r="F81" s="179"/>
      <c r="G81" s="179"/>
      <c r="N81" s="254"/>
    </row>
    <row r="82" spans="6:14" ht="14.25">
      <c r="F82" s="179"/>
      <c r="G82" s="179"/>
      <c r="N82" s="254"/>
    </row>
    <row r="83" spans="6:14" ht="14.25">
      <c r="F83" s="179"/>
      <c r="G83" s="179"/>
      <c r="N83" s="254"/>
    </row>
    <row r="84" spans="6:14" ht="14.25">
      <c r="F84" s="179"/>
      <c r="G84" s="179"/>
      <c r="N84" s="254"/>
    </row>
    <row r="85" spans="6:14" ht="14.25">
      <c r="F85" s="179"/>
      <c r="G85" s="179"/>
      <c r="N85" s="254"/>
    </row>
    <row r="86" spans="6:14" ht="14.25">
      <c r="F86" s="179"/>
      <c r="G86" s="179"/>
      <c r="N86" s="254"/>
    </row>
    <row r="87" spans="6:14" ht="14.25">
      <c r="F87" s="179"/>
      <c r="G87" s="179"/>
      <c r="N87" s="254"/>
    </row>
    <row r="88" spans="6:14" ht="14.25">
      <c r="F88" s="179"/>
      <c r="G88" s="179"/>
      <c r="N88" s="254"/>
    </row>
    <row r="89" spans="6:14" ht="14.25">
      <c r="F89" s="179"/>
      <c r="G89" s="179"/>
      <c r="N89" s="254"/>
    </row>
    <row r="90" spans="6:14" ht="14.25">
      <c r="F90" s="179"/>
      <c r="G90" s="179"/>
      <c r="N90" s="254"/>
    </row>
    <row r="91" spans="6:14">
      <c r="G91" s="179"/>
    </row>
    <row r="92" spans="6:14">
      <c r="G92" s="179"/>
    </row>
    <row r="93" spans="6:14">
      <c r="G93" s="179"/>
    </row>
    <row r="94" spans="6:14">
      <c r="G94" s="179"/>
    </row>
    <row r="95" spans="6:14">
      <c r="G95" s="179"/>
    </row>
    <row r="96" spans="6:14">
      <c r="G96" s="179"/>
    </row>
  </sheetData>
  <mergeCells count="15">
    <mergeCell ref="P4:P5"/>
    <mergeCell ref="B2:P2"/>
    <mergeCell ref="K4:K5"/>
    <mergeCell ref="O4:O5"/>
    <mergeCell ref="H4:H5"/>
    <mergeCell ref="H3:I3"/>
    <mergeCell ref="L4:N4"/>
    <mergeCell ref="B4:B5"/>
    <mergeCell ref="C4:C5"/>
    <mergeCell ref="D4:D5"/>
    <mergeCell ref="G4:G5"/>
    <mergeCell ref="F4:F5"/>
    <mergeCell ref="I4:I5"/>
    <mergeCell ref="J4:J5"/>
    <mergeCell ref="E4:E5"/>
  </mergeCells>
  <phoneticPr fontId="2" type="noConversion"/>
  <pageMargins left="0.78740157480314965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33"/>
  <sheetViews>
    <sheetView zoomScaleNormal="100" workbookViewId="0">
      <selection activeCell="P11" sqref="P11"/>
    </sheetView>
  </sheetViews>
  <sheetFormatPr defaultRowHeight="12.75"/>
  <cols>
    <col min="1" max="1" width="3.28515625" style="36" customWidth="1"/>
    <col min="7" max="7" width="10.7109375" customWidth="1"/>
    <col min="8" max="8" width="0.140625" hidden="1" customWidth="1"/>
    <col min="9" max="9" width="2.7109375" hidden="1" customWidth="1"/>
    <col min="10" max="10" width="8.28515625" style="36" customWidth="1"/>
    <col min="11" max="11" width="2.42578125" customWidth="1"/>
    <col min="12" max="12" width="4.140625" customWidth="1"/>
    <col min="19" max="19" width="3.85546875" customWidth="1"/>
    <col min="20" max="20" width="2.5703125" customWidth="1"/>
    <col min="21" max="21" width="8.5703125" customWidth="1"/>
  </cols>
  <sheetData>
    <row r="1" spans="1:21" ht="15.75">
      <c r="A1" s="990" t="s">
        <v>177</v>
      </c>
      <c r="B1" s="990"/>
      <c r="C1" s="990"/>
      <c r="D1" s="990"/>
      <c r="E1" s="990"/>
      <c r="F1" s="990"/>
      <c r="G1" s="990"/>
      <c r="H1" s="990"/>
      <c r="I1" s="990"/>
    </row>
    <row r="3" spans="1:21" s="41" customFormat="1">
      <c r="A3" s="345" t="s">
        <v>193</v>
      </c>
      <c r="B3" s="987" t="s">
        <v>195</v>
      </c>
      <c r="C3" s="988"/>
      <c r="D3" s="988"/>
      <c r="E3" s="988"/>
      <c r="F3" s="988"/>
      <c r="G3" s="988"/>
      <c r="H3" s="988"/>
      <c r="I3" s="989"/>
      <c r="J3" s="345" t="s">
        <v>188</v>
      </c>
      <c r="L3" s="345" t="s">
        <v>193</v>
      </c>
      <c r="M3" s="987" t="s">
        <v>195</v>
      </c>
      <c r="N3" s="988"/>
      <c r="O3" s="988"/>
      <c r="P3" s="988"/>
      <c r="Q3" s="988"/>
      <c r="R3" s="988"/>
      <c r="S3" s="988"/>
      <c r="T3" s="989"/>
      <c r="U3" s="345" t="s">
        <v>188</v>
      </c>
    </row>
    <row r="4" spans="1:21" s="33" customFormat="1" ht="17.100000000000001" customHeight="1">
      <c r="A4" s="332" t="s">
        <v>178</v>
      </c>
      <c r="B4" s="993" t="s">
        <v>179</v>
      </c>
      <c r="C4" s="994"/>
      <c r="D4" s="994"/>
      <c r="E4" s="994"/>
      <c r="F4" s="994"/>
      <c r="G4" s="994"/>
      <c r="H4" s="994"/>
      <c r="I4" s="995"/>
      <c r="J4" s="332">
        <v>3</v>
      </c>
      <c r="K4" s="333"/>
      <c r="L4" s="405" t="s">
        <v>581</v>
      </c>
      <c r="M4" s="537" t="s">
        <v>687</v>
      </c>
      <c r="N4" s="538"/>
      <c r="O4" s="538"/>
      <c r="P4" s="538"/>
      <c r="Q4" s="538"/>
      <c r="R4" s="538"/>
      <c r="S4" s="538"/>
      <c r="T4" s="539"/>
      <c r="U4" s="405">
        <v>42</v>
      </c>
    </row>
    <row r="5" spans="1:21" s="33" customFormat="1" ht="17.100000000000001" customHeight="1">
      <c r="A5" s="334" t="s">
        <v>180</v>
      </c>
      <c r="B5" s="984" t="s">
        <v>181</v>
      </c>
      <c r="C5" s="991"/>
      <c r="D5" s="991"/>
      <c r="E5" s="991"/>
      <c r="F5" s="991"/>
      <c r="G5" s="991"/>
      <c r="H5" s="991"/>
      <c r="I5" s="992"/>
      <c r="J5" s="334">
        <v>4</v>
      </c>
      <c r="K5" s="333"/>
      <c r="L5" s="334" t="s">
        <v>582</v>
      </c>
      <c r="M5" s="984" t="s">
        <v>688</v>
      </c>
      <c r="N5" s="991"/>
      <c r="O5" s="991"/>
      <c r="P5" s="991"/>
      <c r="Q5" s="991"/>
      <c r="R5" s="991"/>
      <c r="S5" s="991"/>
      <c r="T5" s="992"/>
      <c r="U5" s="334">
        <v>43</v>
      </c>
    </row>
    <row r="6" spans="1:21" s="33" customFormat="1" ht="17.100000000000001" customHeight="1">
      <c r="A6" s="334" t="s">
        <v>182</v>
      </c>
      <c r="B6" s="984" t="s">
        <v>344</v>
      </c>
      <c r="C6" s="991"/>
      <c r="D6" s="991"/>
      <c r="E6" s="991"/>
      <c r="F6" s="991"/>
      <c r="G6" s="991"/>
      <c r="H6" s="991"/>
      <c r="I6" s="992"/>
      <c r="J6" s="515">
        <v>13</v>
      </c>
      <c r="K6" s="333"/>
      <c r="L6" s="334" t="s">
        <v>583</v>
      </c>
      <c r="M6" s="534" t="s">
        <v>689</v>
      </c>
      <c r="N6" s="535"/>
      <c r="O6" s="535"/>
      <c r="P6" s="535"/>
      <c r="Q6" s="535"/>
      <c r="R6" s="535"/>
      <c r="S6" s="535"/>
      <c r="T6" s="536"/>
      <c r="U6" s="334">
        <v>44</v>
      </c>
    </row>
    <row r="7" spans="1:21" s="33" customFormat="1" ht="17.100000000000001" customHeight="1">
      <c r="A7" s="334" t="s">
        <v>183</v>
      </c>
      <c r="B7" s="984" t="s">
        <v>184</v>
      </c>
      <c r="C7" s="991"/>
      <c r="D7" s="991"/>
      <c r="E7" s="991"/>
      <c r="F7" s="991"/>
      <c r="G7" s="991"/>
      <c r="H7" s="991"/>
      <c r="I7" s="992"/>
      <c r="J7" s="334">
        <v>16</v>
      </c>
      <c r="K7" s="333"/>
      <c r="L7" s="334" t="s">
        <v>584</v>
      </c>
      <c r="M7" s="534" t="s">
        <v>690</v>
      </c>
      <c r="N7" s="535"/>
      <c r="O7" s="535"/>
      <c r="P7" s="535"/>
      <c r="Q7" s="535"/>
      <c r="R7" s="535"/>
      <c r="S7" s="535"/>
      <c r="T7" s="536"/>
      <c r="U7" s="334">
        <v>45</v>
      </c>
    </row>
    <row r="8" spans="1:21" s="33" customFormat="1" ht="17.100000000000001" customHeight="1">
      <c r="A8" s="334" t="s">
        <v>194</v>
      </c>
      <c r="B8" s="984" t="s">
        <v>185</v>
      </c>
      <c r="C8" s="991"/>
      <c r="D8" s="991"/>
      <c r="E8" s="991"/>
      <c r="F8" s="991"/>
      <c r="G8" s="991"/>
      <c r="H8" s="991"/>
      <c r="I8" s="992"/>
      <c r="J8" s="334">
        <v>17</v>
      </c>
      <c r="K8" s="333"/>
      <c r="L8" s="334" t="s">
        <v>585</v>
      </c>
      <c r="M8" s="534" t="s">
        <v>691</v>
      </c>
      <c r="N8" s="535"/>
      <c r="O8" s="535"/>
      <c r="P8" s="535"/>
      <c r="Q8" s="535"/>
      <c r="R8" s="535"/>
      <c r="S8" s="535"/>
      <c r="T8" s="536"/>
      <c r="U8" s="334">
        <v>46</v>
      </c>
    </row>
    <row r="9" spans="1:21" s="33" customFormat="1" ht="17.100000000000001" customHeight="1">
      <c r="A9" s="334" t="s">
        <v>557</v>
      </c>
      <c r="B9" s="984" t="s">
        <v>186</v>
      </c>
      <c r="C9" s="991"/>
      <c r="D9" s="991"/>
      <c r="E9" s="991"/>
      <c r="F9" s="991"/>
      <c r="G9" s="991"/>
      <c r="H9" s="991"/>
      <c r="I9" s="992"/>
      <c r="J9" s="334">
        <v>18</v>
      </c>
      <c r="K9" s="333"/>
      <c r="L9" s="334" t="s">
        <v>586</v>
      </c>
      <c r="M9" s="534" t="s">
        <v>627</v>
      </c>
      <c r="N9" s="535"/>
      <c r="O9" s="535"/>
      <c r="P9" s="535"/>
      <c r="Q9" s="535"/>
      <c r="R9" s="535"/>
      <c r="S9" s="535"/>
      <c r="T9" s="536"/>
      <c r="U9" s="334">
        <v>47</v>
      </c>
    </row>
    <row r="10" spans="1:21" s="33" customFormat="1" ht="17.100000000000001" customHeight="1">
      <c r="A10" s="334" t="s">
        <v>558</v>
      </c>
      <c r="B10" s="879" t="s">
        <v>863</v>
      </c>
      <c r="C10" s="424"/>
      <c r="D10" s="424"/>
      <c r="E10" s="424"/>
      <c r="F10" s="424"/>
      <c r="G10" s="424"/>
      <c r="H10" s="424"/>
      <c r="I10" s="425"/>
      <c r="J10" s="334">
        <v>19</v>
      </c>
      <c r="K10" s="333"/>
      <c r="L10" s="334" t="s">
        <v>587</v>
      </c>
      <c r="M10" s="534" t="s">
        <v>640</v>
      </c>
      <c r="N10" s="535"/>
      <c r="O10" s="535"/>
      <c r="P10" s="535"/>
      <c r="Q10" s="535"/>
      <c r="R10" s="535"/>
      <c r="S10" s="535"/>
      <c r="T10" s="536"/>
      <c r="U10" s="334">
        <v>48</v>
      </c>
    </row>
    <row r="11" spans="1:21" s="33" customFormat="1" ht="17.100000000000001" customHeight="1">
      <c r="A11" s="334" t="s">
        <v>559</v>
      </c>
      <c r="B11" s="879" t="s">
        <v>864</v>
      </c>
      <c r="C11" s="424"/>
      <c r="D11" s="424"/>
      <c r="E11" s="424"/>
      <c r="F11" s="424"/>
      <c r="G11" s="424"/>
      <c r="H11" s="424"/>
      <c r="I11" s="425"/>
      <c r="J11" s="334">
        <v>20</v>
      </c>
      <c r="K11" s="333"/>
      <c r="L11" s="334" t="s">
        <v>588</v>
      </c>
      <c r="M11" s="534" t="s">
        <v>639</v>
      </c>
      <c r="N11" s="535"/>
      <c r="O11" s="535"/>
      <c r="P11" s="535"/>
      <c r="Q11" s="535"/>
      <c r="R11" s="535"/>
      <c r="S11" s="535"/>
      <c r="T11" s="536"/>
      <c r="U11" s="334">
        <v>49</v>
      </c>
    </row>
    <row r="12" spans="1:21" s="33" customFormat="1" ht="17.100000000000001" customHeight="1">
      <c r="A12" s="334" t="s">
        <v>560</v>
      </c>
      <c r="B12" s="879" t="s">
        <v>865</v>
      </c>
      <c r="C12" s="424"/>
      <c r="D12" s="424"/>
      <c r="E12" s="424"/>
      <c r="F12" s="424"/>
      <c r="G12" s="424"/>
      <c r="H12" s="424"/>
      <c r="I12" s="425"/>
      <c r="J12" s="334">
        <v>21</v>
      </c>
      <c r="K12" s="333"/>
      <c r="L12" s="334" t="s">
        <v>589</v>
      </c>
      <c r="M12" s="534" t="s">
        <v>189</v>
      </c>
      <c r="N12" s="535"/>
      <c r="O12" s="535"/>
      <c r="P12" s="535"/>
      <c r="Q12" s="535"/>
      <c r="R12" s="535"/>
      <c r="S12" s="535"/>
      <c r="T12" s="536"/>
      <c r="U12" s="334">
        <v>50</v>
      </c>
    </row>
    <row r="13" spans="1:21" s="33" customFormat="1" ht="17.100000000000001" customHeight="1">
      <c r="A13" s="334" t="s">
        <v>561</v>
      </c>
      <c r="B13" s="879" t="s">
        <v>866</v>
      </c>
      <c r="C13" s="424"/>
      <c r="D13" s="424"/>
      <c r="E13" s="424"/>
      <c r="F13" s="424"/>
      <c r="G13" s="424"/>
      <c r="H13" s="424"/>
      <c r="I13" s="425"/>
      <c r="J13" s="334">
        <v>22</v>
      </c>
      <c r="K13" s="333"/>
      <c r="L13" s="334" t="s">
        <v>590</v>
      </c>
      <c r="M13" s="534" t="s">
        <v>190</v>
      </c>
      <c r="N13" s="535"/>
      <c r="O13" s="535"/>
      <c r="P13" s="535"/>
      <c r="Q13" s="535"/>
      <c r="R13" s="535"/>
      <c r="S13" s="535"/>
      <c r="T13" s="536"/>
      <c r="U13" s="334">
        <v>51</v>
      </c>
    </row>
    <row r="14" spans="1:21" s="33" customFormat="1" ht="17.100000000000001" customHeight="1">
      <c r="A14" s="334" t="s">
        <v>562</v>
      </c>
      <c r="B14" s="423" t="s">
        <v>618</v>
      </c>
      <c r="C14" s="424"/>
      <c r="D14" s="424"/>
      <c r="E14" s="424"/>
      <c r="F14" s="424"/>
      <c r="G14" s="424"/>
      <c r="H14" s="424"/>
      <c r="I14" s="425"/>
      <c r="J14" s="334">
        <v>23</v>
      </c>
      <c r="K14" s="333"/>
      <c r="L14" s="334" t="s">
        <v>591</v>
      </c>
      <c r="M14" s="534" t="s">
        <v>646</v>
      </c>
      <c r="N14" s="535"/>
      <c r="O14" s="535"/>
      <c r="P14" s="535"/>
      <c r="Q14" s="535"/>
      <c r="R14" s="535"/>
      <c r="S14" s="535"/>
      <c r="T14" s="536"/>
      <c r="U14" s="334">
        <v>52</v>
      </c>
    </row>
    <row r="15" spans="1:21" s="33" customFormat="1" ht="17.100000000000001" customHeight="1">
      <c r="A15" s="334" t="s">
        <v>563</v>
      </c>
      <c r="B15" s="423" t="s">
        <v>187</v>
      </c>
      <c r="C15" s="424"/>
      <c r="D15" s="424"/>
      <c r="E15" s="424"/>
      <c r="F15" s="424"/>
      <c r="G15" s="424"/>
      <c r="H15" s="424"/>
      <c r="I15" s="425"/>
      <c r="J15" s="334">
        <v>24</v>
      </c>
      <c r="K15" s="333"/>
      <c r="L15" s="334" t="s">
        <v>592</v>
      </c>
      <c r="M15" s="534" t="s">
        <v>191</v>
      </c>
      <c r="N15" s="535"/>
      <c r="O15" s="535"/>
      <c r="P15" s="535"/>
      <c r="Q15" s="535"/>
      <c r="R15" s="535"/>
      <c r="S15" s="535"/>
      <c r="T15" s="536"/>
      <c r="U15" s="334">
        <v>53</v>
      </c>
    </row>
    <row r="16" spans="1:21" s="33" customFormat="1" ht="17.100000000000001" customHeight="1">
      <c r="A16" s="334" t="s">
        <v>564</v>
      </c>
      <c r="B16" s="423" t="s">
        <v>620</v>
      </c>
      <c r="C16" s="424"/>
      <c r="D16" s="424"/>
      <c r="E16" s="424"/>
      <c r="F16" s="424"/>
      <c r="G16" s="424"/>
      <c r="H16" s="424"/>
      <c r="I16" s="425"/>
      <c r="J16" s="334">
        <v>25</v>
      </c>
      <c r="K16" s="333"/>
      <c r="L16" s="334" t="s">
        <v>593</v>
      </c>
      <c r="M16" s="984" t="s">
        <v>911</v>
      </c>
      <c r="N16" s="985"/>
      <c r="O16" s="985"/>
      <c r="P16" s="985"/>
      <c r="Q16" s="985"/>
      <c r="R16" s="985"/>
      <c r="S16" s="985"/>
      <c r="T16" s="986"/>
      <c r="U16" s="334">
        <v>54</v>
      </c>
    </row>
    <row r="17" spans="1:21" s="33" customFormat="1" ht="17.100000000000001" customHeight="1">
      <c r="A17" s="334" t="s">
        <v>565</v>
      </c>
      <c r="B17" s="423" t="s">
        <v>654</v>
      </c>
      <c r="C17" s="424"/>
      <c r="D17" s="424"/>
      <c r="E17" s="424"/>
      <c r="F17" s="424"/>
      <c r="G17" s="424"/>
      <c r="H17" s="424"/>
      <c r="I17" s="425"/>
      <c r="J17" s="334">
        <v>26</v>
      </c>
      <c r="K17" s="333"/>
      <c r="L17" s="334" t="s">
        <v>594</v>
      </c>
      <c r="M17" s="873" t="s">
        <v>833</v>
      </c>
      <c r="N17" s="841"/>
      <c r="O17" s="841"/>
      <c r="P17" s="841"/>
      <c r="Q17" s="841"/>
      <c r="R17" s="841"/>
      <c r="S17" s="841"/>
      <c r="T17" s="842"/>
      <c r="U17" s="334">
        <v>56</v>
      </c>
    </row>
    <row r="18" spans="1:21" s="33" customFormat="1" ht="17.100000000000001" customHeight="1">
      <c r="A18" s="334" t="s">
        <v>566</v>
      </c>
      <c r="B18" s="423" t="s">
        <v>642</v>
      </c>
      <c r="C18" s="424"/>
      <c r="D18" s="424"/>
      <c r="E18" s="424"/>
      <c r="F18" s="424"/>
      <c r="G18" s="424"/>
      <c r="H18" s="424"/>
      <c r="I18" s="425"/>
      <c r="J18" s="334">
        <v>27</v>
      </c>
      <c r="K18" s="333"/>
      <c r="L18" s="334" t="s">
        <v>595</v>
      </c>
      <c r="M18" s="840" t="s">
        <v>822</v>
      </c>
      <c r="N18" s="716"/>
      <c r="O18" s="716"/>
      <c r="P18" s="716"/>
      <c r="Q18" s="716"/>
      <c r="R18" s="716"/>
      <c r="S18" s="716"/>
      <c r="T18" s="717"/>
      <c r="U18" s="334">
        <v>59</v>
      </c>
    </row>
    <row r="19" spans="1:21" s="33" customFormat="1" ht="17.100000000000001" customHeight="1">
      <c r="A19" s="334" t="s">
        <v>567</v>
      </c>
      <c r="B19" s="423" t="s">
        <v>641</v>
      </c>
      <c r="C19" s="424"/>
      <c r="D19" s="424"/>
      <c r="E19" s="424"/>
      <c r="F19" s="424"/>
      <c r="G19" s="424"/>
      <c r="H19" s="424"/>
      <c r="I19" s="425"/>
      <c r="J19" s="334">
        <v>28</v>
      </c>
      <c r="K19" s="333"/>
      <c r="L19" s="335" t="s">
        <v>797</v>
      </c>
      <c r="M19" s="531" t="s">
        <v>192</v>
      </c>
      <c r="N19" s="532"/>
      <c r="O19" s="532"/>
      <c r="P19" s="532"/>
      <c r="Q19" s="532"/>
      <c r="R19" s="532"/>
      <c r="S19" s="532"/>
      <c r="T19" s="533"/>
      <c r="U19" s="335">
        <v>61</v>
      </c>
    </row>
    <row r="20" spans="1:21" s="33" customFormat="1" ht="17.100000000000001" customHeight="1">
      <c r="A20" s="334" t="s">
        <v>568</v>
      </c>
      <c r="B20" s="423" t="s">
        <v>655</v>
      </c>
      <c r="C20" s="424"/>
      <c r="D20" s="424"/>
      <c r="E20" s="424"/>
      <c r="F20" s="424"/>
      <c r="G20" s="424"/>
      <c r="H20" s="424"/>
      <c r="I20" s="425"/>
      <c r="J20" s="334">
        <v>29</v>
      </c>
      <c r="K20" s="333"/>
      <c r="L20" s="333"/>
      <c r="M20" s="333"/>
      <c r="N20" s="333"/>
      <c r="O20" s="333"/>
      <c r="P20" s="333"/>
      <c r="Q20" s="333"/>
      <c r="R20" s="333"/>
      <c r="S20" s="333"/>
      <c r="T20" s="333"/>
      <c r="U20" s="333"/>
    </row>
    <row r="21" spans="1:21" s="33" customFormat="1" ht="17.100000000000001" customHeight="1">
      <c r="A21" s="334" t="s">
        <v>569</v>
      </c>
      <c r="B21" s="559" t="s">
        <v>804</v>
      </c>
      <c r="C21" s="424"/>
      <c r="D21" s="424"/>
      <c r="E21" s="424"/>
      <c r="F21" s="424"/>
      <c r="G21" s="424"/>
      <c r="H21" s="424"/>
      <c r="I21" s="425"/>
      <c r="J21" s="334">
        <v>30</v>
      </c>
      <c r="K21" s="333"/>
      <c r="L21" s="333"/>
      <c r="M21" s="407"/>
      <c r="N21" s="407"/>
      <c r="O21" s="407"/>
      <c r="P21" s="333"/>
      <c r="Q21" s="333"/>
      <c r="R21" s="333"/>
      <c r="S21" s="333"/>
      <c r="T21" s="333"/>
      <c r="U21" s="333"/>
    </row>
    <row r="22" spans="1:21" s="33" customFormat="1" ht="17.100000000000001" customHeight="1">
      <c r="A22" s="334" t="s">
        <v>570</v>
      </c>
      <c r="B22" s="534" t="s">
        <v>656</v>
      </c>
      <c r="C22" s="535"/>
      <c r="D22" s="535"/>
      <c r="E22" s="535"/>
      <c r="F22" s="535"/>
      <c r="G22" s="535"/>
      <c r="H22" s="535"/>
      <c r="I22" s="536"/>
      <c r="J22" s="334">
        <v>31</v>
      </c>
      <c r="K22" s="333"/>
      <c r="L22" s="333"/>
      <c r="M22" s="408"/>
      <c r="N22" s="407"/>
      <c r="O22" s="407"/>
      <c r="P22" s="333"/>
      <c r="Q22" s="333"/>
      <c r="R22" s="333"/>
      <c r="S22" s="333"/>
      <c r="T22" s="333"/>
      <c r="U22" s="333"/>
    </row>
    <row r="23" spans="1:21" s="33" customFormat="1" ht="17.100000000000001" customHeight="1">
      <c r="A23" s="334" t="s">
        <v>571</v>
      </c>
      <c r="B23" s="534" t="s">
        <v>622</v>
      </c>
      <c r="C23" s="535"/>
      <c r="D23" s="535"/>
      <c r="E23" s="535"/>
      <c r="F23" s="535"/>
      <c r="G23" s="535"/>
      <c r="H23" s="535"/>
      <c r="I23" s="536"/>
      <c r="J23" s="334">
        <v>32</v>
      </c>
      <c r="K23" s="333"/>
      <c r="L23" s="333"/>
      <c r="M23" s="407"/>
      <c r="N23" s="407"/>
      <c r="O23" s="407"/>
      <c r="P23" s="333"/>
      <c r="Q23" s="333"/>
      <c r="R23" s="333"/>
      <c r="S23" s="333"/>
      <c r="T23" s="333"/>
      <c r="U23" s="333"/>
    </row>
    <row r="24" spans="1:21" s="33" customFormat="1" ht="17.100000000000001" customHeight="1">
      <c r="A24" s="334" t="s">
        <v>572</v>
      </c>
      <c r="B24" s="534" t="s">
        <v>623</v>
      </c>
      <c r="C24" s="535"/>
      <c r="D24" s="535"/>
      <c r="E24" s="535"/>
      <c r="F24" s="535"/>
      <c r="G24" s="535"/>
      <c r="H24" s="535"/>
      <c r="I24" s="536"/>
      <c r="J24" s="334">
        <v>33</v>
      </c>
      <c r="K24" s="333"/>
      <c r="L24" s="333"/>
      <c r="M24" s="407"/>
      <c r="N24" s="407"/>
      <c r="O24" s="407"/>
      <c r="P24" s="333"/>
      <c r="Q24" s="333"/>
      <c r="R24" s="333"/>
      <c r="S24" s="333"/>
      <c r="T24" s="333"/>
      <c r="U24" s="333"/>
    </row>
    <row r="25" spans="1:21" s="33" customFormat="1" ht="17.100000000000001" customHeight="1">
      <c r="A25" s="334" t="s">
        <v>573</v>
      </c>
      <c r="B25" s="534" t="s">
        <v>624</v>
      </c>
      <c r="C25" s="535"/>
      <c r="D25" s="535"/>
      <c r="E25" s="535"/>
      <c r="F25" s="535"/>
      <c r="G25" s="535"/>
      <c r="H25" s="535"/>
      <c r="I25" s="536"/>
      <c r="J25" s="334">
        <v>34</v>
      </c>
      <c r="K25" s="333"/>
      <c r="L25" s="333"/>
      <c r="M25" s="333"/>
      <c r="N25" s="333"/>
      <c r="O25" s="333"/>
      <c r="P25" s="333"/>
      <c r="Q25" s="333"/>
      <c r="R25" s="333"/>
      <c r="S25" s="333"/>
      <c r="T25" s="333"/>
      <c r="U25" s="333"/>
    </row>
    <row r="26" spans="1:21" s="33" customFormat="1" ht="17.100000000000001" customHeight="1">
      <c r="A26" s="334" t="s">
        <v>574</v>
      </c>
      <c r="B26" s="534" t="s">
        <v>657</v>
      </c>
      <c r="C26" s="535"/>
      <c r="D26" s="535"/>
      <c r="E26" s="535"/>
      <c r="F26" s="535"/>
      <c r="G26" s="535"/>
      <c r="H26" s="535"/>
      <c r="I26" s="536"/>
      <c r="J26" s="334">
        <v>35</v>
      </c>
      <c r="K26" s="333"/>
      <c r="L26" s="333"/>
      <c r="M26" s="333"/>
      <c r="N26" s="333"/>
      <c r="O26" s="333"/>
      <c r="P26" s="333"/>
      <c r="Q26" s="333"/>
      <c r="R26" s="333"/>
      <c r="S26" s="333"/>
      <c r="T26" s="333"/>
      <c r="U26" s="333"/>
    </row>
    <row r="27" spans="1:21" s="33" customFormat="1" ht="17.100000000000001" customHeight="1">
      <c r="A27" s="334" t="s">
        <v>575</v>
      </c>
      <c r="B27" s="534" t="s">
        <v>626</v>
      </c>
      <c r="C27" s="535"/>
      <c r="D27" s="535"/>
      <c r="E27" s="535"/>
      <c r="F27" s="535"/>
      <c r="G27" s="535"/>
      <c r="H27" s="535"/>
      <c r="I27" s="536"/>
      <c r="J27" s="334">
        <v>36</v>
      </c>
      <c r="K27" s="333"/>
      <c r="L27" s="333"/>
      <c r="M27" s="333"/>
      <c r="N27" s="333"/>
      <c r="O27" s="333"/>
      <c r="P27" s="333"/>
      <c r="Q27" s="333"/>
      <c r="R27" s="333"/>
      <c r="S27" s="333"/>
      <c r="T27" s="333"/>
      <c r="U27" s="333"/>
    </row>
    <row r="28" spans="1:21" s="33" customFormat="1" ht="17.100000000000001" customHeight="1">
      <c r="A28" s="334" t="s">
        <v>576</v>
      </c>
      <c r="B28" s="534" t="s">
        <v>683</v>
      </c>
      <c r="C28" s="535"/>
      <c r="D28" s="535"/>
      <c r="E28" s="535"/>
      <c r="F28" s="535"/>
      <c r="G28" s="535"/>
      <c r="H28" s="535"/>
      <c r="I28" s="536"/>
      <c r="J28" s="334">
        <v>37</v>
      </c>
      <c r="K28" s="333"/>
      <c r="L28" s="333"/>
      <c r="M28" s="333"/>
      <c r="N28" s="333"/>
      <c r="O28" s="333"/>
      <c r="P28" s="333"/>
      <c r="Q28" s="333"/>
      <c r="R28" s="333"/>
      <c r="S28" s="333"/>
      <c r="T28" s="333"/>
      <c r="U28" s="333"/>
    </row>
    <row r="29" spans="1:21" s="33" customFormat="1" ht="17.100000000000001" customHeight="1">
      <c r="A29" s="334" t="s">
        <v>577</v>
      </c>
      <c r="B29" s="534" t="s">
        <v>684</v>
      </c>
      <c r="C29" s="535"/>
      <c r="D29" s="535"/>
      <c r="E29" s="535"/>
      <c r="F29" s="535"/>
      <c r="G29" s="535"/>
      <c r="H29" s="535"/>
      <c r="I29" s="536"/>
      <c r="J29" s="334">
        <v>38</v>
      </c>
      <c r="K29" s="333"/>
      <c r="L29" s="333"/>
      <c r="M29" s="333"/>
      <c r="N29" s="333"/>
      <c r="O29" s="333"/>
      <c r="P29" s="333"/>
      <c r="Q29" s="333"/>
      <c r="R29" s="333"/>
      <c r="S29" s="333"/>
      <c r="T29" s="333"/>
      <c r="U29" s="333"/>
    </row>
    <row r="30" spans="1:21" ht="17.100000000000001" customHeight="1">
      <c r="A30" s="334" t="s">
        <v>578</v>
      </c>
      <c r="B30" s="534" t="s">
        <v>685</v>
      </c>
      <c r="C30" s="535"/>
      <c r="D30" s="535"/>
      <c r="E30" s="535"/>
      <c r="F30" s="535"/>
      <c r="G30" s="535"/>
      <c r="H30" s="535"/>
      <c r="I30" s="536"/>
      <c r="J30" s="334">
        <v>39</v>
      </c>
      <c r="K30" s="333"/>
      <c r="L30" s="333"/>
      <c r="M30" s="333"/>
      <c r="N30" s="333"/>
      <c r="O30" s="333"/>
      <c r="P30" s="333"/>
      <c r="Q30" s="333"/>
      <c r="R30" s="333"/>
      <c r="S30" s="333"/>
      <c r="T30" s="333"/>
      <c r="U30" s="333"/>
    </row>
    <row r="31" spans="1:21" ht="17.100000000000001" customHeight="1">
      <c r="A31" s="334" t="s">
        <v>579</v>
      </c>
      <c r="B31" s="534" t="s">
        <v>658</v>
      </c>
      <c r="C31" s="535"/>
      <c r="D31" s="535"/>
      <c r="E31" s="535"/>
      <c r="F31" s="535"/>
      <c r="G31" s="535"/>
      <c r="H31" s="535"/>
      <c r="I31" s="536"/>
      <c r="J31" s="334">
        <v>40</v>
      </c>
      <c r="K31" s="333"/>
      <c r="L31" s="333"/>
      <c r="M31" s="333"/>
      <c r="N31" s="333"/>
      <c r="O31" s="333"/>
      <c r="P31" s="333"/>
      <c r="Q31" s="333"/>
      <c r="R31" s="333"/>
      <c r="S31" s="333"/>
      <c r="T31" s="333"/>
      <c r="U31" s="333"/>
    </row>
    <row r="32" spans="1:21" ht="17.100000000000001" customHeight="1">
      <c r="A32" s="335" t="s">
        <v>580</v>
      </c>
      <c r="B32" s="531" t="s">
        <v>686</v>
      </c>
      <c r="C32" s="532"/>
      <c r="D32" s="532"/>
      <c r="E32" s="532"/>
      <c r="F32" s="532"/>
      <c r="G32" s="532"/>
      <c r="H32" s="532"/>
      <c r="I32" s="533"/>
      <c r="J32" s="335">
        <v>41</v>
      </c>
      <c r="K32" s="333"/>
      <c r="L32" s="333"/>
      <c r="M32" s="333"/>
      <c r="N32" s="333"/>
      <c r="O32" s="333"/>
      <c r="P32" s="333"/>
      <c r="Q32" s="333"/>
      <c r="R32" s="333"/>
      <c r="S32" s="333"/>
      <c r="T32" s="333"/>
      <c r="U32" s="333"/>
    </row>
    <row r="33" ht="17.100000000000001" customHeight="1"/>
  </sheetData>
  <mergeCells count="11">
    <mergeCell ref="M16:T16"/>
    <mergeCell ref="M3:T3"/>
    <mergeCell ref="A1:I1"/>
    <mergeCell ref="B5:I5"/>
    <mergeCell ref="B3:I3"/>
    <mergeCell ref="M5:T5"/>
    <mergeCell ref="B8:I8"/>
    <mergeCell ref="B7:I7"/>
    <mergeCell ref="B6:I6"/>
    <mergeCell ref="B4:I4"/>
    <mergeCell ref="B9:I9"/>
  </mergeCells>
  <phoneticPr fontId="0" type="noConversion"/>
  <pageMargins left="0.94" right="0.21" top="0.62992125984251968" bottom="0.47244094488188981" header="0.51181102362204722" footer="0.43307086614173229"/>
  <pageSetup paperSize="9" scale="95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45"/>
  <dimension ref="A1:R96"/>
  <sheetViews>
    <sheetView zoomScaleNormal="100" workbookViewId="0">
      <selection activeCell="O32" sqref="O32"/>
    </sheetView>
  </sheetViews>
  <sheetFormatPr defaultColWidth="9.140625" defaultRowHeight="12.75"/>
  <cols>
    <col min="1" max="1" width="4.42578125" style="161" customWidth="1"/>
    <col min="2" max="2" width="4.7109375" style="9" customWidth="1"/>
    <col min="3" max="3" width="5.140625" style="9" customWidth="1"/>
    <col min="4" max="4" width="5" style="9" customWidth="1"/>
    <col min="5" max="5" width="5" style="161" customWidth="1"/>
    <col min="6" max="6" width="8.7109375" style="18" customWidth="1"/>
    <col min="7" max="7" width="8.7109375" style="166" customWidth="1"/>
    <col min="8" max="8" width="50.7109375" style="9" customWidth="1"/>
    <col min="9" max="10" width="14.7109375" style="51" customWidth="1"/>
    <col min="11" max="11" width="12.5703125" style="51" customWidth="1"/>
    <col min="12" max="13" width="14.7109375" style="51" customWidth="1"/>
    <col min="14" max="14" width="15.7109375" style="51" customWidth="1"/>
    <col min="15" max="16" width="7.7109375" style="214" customWidth="1"/>
    <col min="17" max="16384" width="9.140625" style="9"/>
  </cols>
  <sheetData>
    <row r="1" spans="1:18" ht="13.5" thickBot="1"/>
    <row r="2" spans="1:18" s="79" customFormat="1" ht="20.100000000000001" customHeight="1" thickTop="1" thickBot="1">
      <c r="A2" s="244"/>
      <c r="B2" s="1034" t="s">
        <v>649</v>
      </c>
      <c r="C2" s="1035"/>
      <c r="D2" s="1035"/>
      <c r="E2" s="1035"/>
      <c r="F2" s="1035"/>
      <c r="G2" s="1035"/>
      <c r="H2" s="1035"/>
      <c r="I2" s="1035"/>
      <c r="J2" s="1070"/>
      <c r="K2" s="1070"/>
      <c r="L2" s="1070"/>
      <c r="M2" s="1070"/>
      <c r="N2" s="1070"/>
      <c r="O2" s="1070"/>
      <c r="P2" s="1036"/>
      <c r="R2" s="244"/>
    </row>
    <row r="3" spans="1:18" s="1" customFormat="1" ht="8.1" customHeight="1" thickTop="1" thickBot="1">
      <c r="A3" s="158"/>
      <c r="E3" s="158"/>
      <c r="F3" s="2"/>
      <c r="G3" s="159"/>
      <c r="H3" s="1039"/>
      <c r="I3" s="1039"/>
      <c r="J3" s="139"/>
      <c r="K3" s="721"/>
      <c r="L3" s="74"/>
      <c r="M3" s="74"/>
      <c r="N3" s="74"/>
      <c r="O3" s="208"/>
      <c r="P3" s="208"/>
    </row>
    <row r="4" spans="1:18" s="1" customFormat="1" ht="39" customHeight="1">
      <c r="A4" s="158"/>
      <c r="B4" s="1043" t="s">
        <v>76</v>
      </c>
      <c r="C4" s="1045" t="s">
        <v>77</v>
      </c>
      <c r="D4" s="1047" t="s">
        <v>102</v>
      </c>
      <c r="E4" s="1062" t="s">
        <v>692</v>
      </c>
      <c r="F4" s="1058" t="s">
        <v>466</v>
      </c>
      <c r="G4" s="1048" t="s">
        <v>493</v>
      </c>
      <c r="H4" s="1050" t="s">
        <v>78</v>
      </c>
      <c r="I4" s="1059" t="s">
        <v>901</v>
      </c>
      <c r="J4" s="1068" t="s">
        <v>813</v>
      </c>
      <c r="K4" s="1037" t="s">
        <v>906</v>
      </c>
      <c r="L4" s="1040" t="s">
        <v>905</v>
      </c>
      <c r="M4" s="1041"/>
      <c r="N4" s="1042"/>
      <c r="O4" s="1054" t="s">
        <v>945</v>
      </c>
      <c r="P4" s="1032" t="s">
        <v>946</v>
      </c>
      <c r="R4" s="61"/>
    </row>
    <row r="5" spans="1:18" s="158" customFormat="1" ht="27" customHeight="1">
      <c r="B5" s="1044"/>
      <c r="C5" s="1046"/>
      <c r="D5" s="1046"/>
      <c r="E5" s="1049"/>
      <c r="F5" s="1051"/>
      <c r="G5" s="1049"/>
      <c r="H5" s="1051"/>
      <c r="I5" s="1051"/>
      <c r="J5" s="1051"/>
      <c r="K5" s="1038"/>
      <c r="L5" s="373" t="s">
        <v>526</v>
      </c>
      <c r="M5" s="242" t="s">
        <v>527</v>
      </c>
      <c r="N5" s="764" t="s">
        <v>319</v>
      </c>
      <c r="O5" s="1055"/>
      <c r="P5" s="1033"/>
    </row>
    <row r="6" spans="1:18" s="2" customFormat="1" ht="12.95" customHeight="1">
      <c r="A6" s="159"/>
      <c r="B6" s="328">
        <v>1</v>
      </c>
      <c r="C6" s="195">
        <v>2</v>
      </c>
      <c r="D6" s="195">
        <v>3</v>
      </c>
      <c r="E6" s="195">
        <v>4</v>
      </c>
      <c r="F6" s="195">
        <v>5</v>
      </c>
      <c r="G6" s="195">
        <v>6</v>
      </c>
      <c r="H6" s="195">
        <v>7</v>
      </c>
      <c r="I6" s="195">
        <v>8</v>
      </c>
      <c r="J6" s="195">
        <v>9</v>
      </c>
      <c r="K6" s="188">
        <v>10</v>
      </c>
      <c r="L6" s="328">
        <v>11</v>
      </c>
      <c r="M6" s="195">
        <v>12</v>
      </c>
      <c r="N6" s="810" t="s">
        <v>694</v>
      </c>
      <c r="O6" s="929" t="s">
        <v>814</v>
      </c>
      <c r="P6" s="930" t="s">
        <v>944</v>
      </c>
    </row>
    <row r="7" spans="1:18" s="2" customFormat="1" ht="12.95" customHeight="1">
      <c r="A7" s="159"/>
      <c r="B7" s="6" t="s">
        <v>118</v>
      </c>
      <c r="C7" s="7" t="s">
        <v>160</v>
      </c>
      <c r="D7" s="7" t="s">
        <v>80</v>
      </c>
      <c r="E7" s="415" t="s">
        <v>698</v>
      </c>
      <c r="F7" s="5"/>
      <c r="G7" s="160"/>
      <c r="H7" s="5"/>
      <c r="I7" s="70"/>
      <c r="J7" s="70"/>
      <c r="K7" s="726"/>
      <c r="L7" s="391"/>
      <c r="M7" s="70"/>
      <c r="N7" s="832"/>
      <c r="O7" s="951"/>
      <c r="P7" s="952"/>
    </row>
    <row r="8" spans="1:18" s="1" customFormat="1" ht="12.95" customHeight="1">
      <c r="A8" s="158"/>
      <c r="B8" s="12"/>
      <c r="C8" s="8"/>
      <c r="D8" s="8"/>
      <c r="E8" s="8"/>
      <c r="F8" s="176">
        <v>611000</v>
      </c>
      <c r="G8" s="195"/>
      <c r="H8" s="25" t="s">
        <v>140</v>
      </c>
      <c r="I8" s="236">
        <f t="shared" ref="I8:N8" si="0">SUM(I9:I12)</f>
        <v>94720</v>
      </c>
      <c r="J8" s="236">
        <f t="shared" si="0"/>
        <v>98040</v>
      </c>
      <c r="K8" s="226">
        <f t="shared" si="0"/>
        <v>81842</v>
      </c>
      <c r="L8" s="482">
        <f t="shared" si="0"/>
        <v>97798</v>
      </c>
      <c r="M8" s="236">
        <f t="shared" si="0"/>
        <v>0</v>
      </c>
      <c r="N8" s="812">
        <f t="shared" si="0"/>
        <v>97798</v>
      </c>
      <c r="O8" s="953">
        <f t="shared" ref="O8:O31" si="1">IF(J8=0,"",N8/J8*100)</f>
        <v>99.753161974704213</v>
      </c>
      <c r="P8" s="954">
        <f>IF(K8=0,"",N8/K8*100)</f>
        <v>119.49610224579068</v>
      </c>
    </row>
    <row r="9" spans="1:18" ht="12.95" customHeight="1">
      <c r="B9" s="10"/>
      <c r="C9" s="11"/>
      <c r="D9" s="11"/>
      <c r="E9" s="163"/>
      <c r="F9" s="177">
        <v>611100</v>
      </c>
      <c r="G9" s="196"/>
      <c r="H9" s="428" t="s">
        <v>161</v>
      </c>
      <c r="I9" s="237">
        <f>80870+150</f>
        <v>81020</v>
      </c>
      <c r="J9" s="237">
        <f>80870+150</f>
        <v>81020</v>
      </c>
      <c r="K9" s="224">
        <v>72231</v>
      </c>
      <c r="L9" s="360">
        <v>80850</v>
      </c>
      <c r="M9" s="237">
        <v>0</v>
      </c>
      <c r="N9" s="813">
        <f>SUM(L9:M9)</f>
        <v>80850</v>
      </c>
      <c r="O9" s="955">
        <f t="shared" si="1"/>
        <v>99.790175265366571</v>
      </c>
      <c r="P9" s="956">
        <f t="shared" ref="P9:P53" si="2">IF(K9=0,"",N9/K9*100)</f>
        <v>111.93254973626283</v>
      </c>
    </row>
    <row r="10" spans="1:18" ht="12.95" customHeight="1">
      <c r="B10" s="10"/>
      <c r="C10" s="11"/>
      <c r="D10" s="11"/>
      <c r="E10" s="163"/>
      <c r="F10" s="177">
        <v>611200</v>
      </c>
      <c r="G10" s="196"/>
      <c r="H10" s="24" t="s">
        <v>162</v>
      </c>
      <c r="I10" s="237">
        <f>11500+100+3*700</f>
        <v>13700</v>
      </c>
      <c r="J10" s="237">
        <v>17020</v>
      </c>
      <c r="K10" s="224">
        <v>9611</v>
      </c>
      <c r="L10" s="360">
        <v>16948</v>
      </c>
      <c r="M10" s="237">
        <v>0</v>
      </c>
      <c r="N10" s="813">
        <f t="shared" ref="N10:N11" si="3">SUM(L10:M10)</f>
        <v>16948</v>
      </c>
      <c r="O10" s="955">
        <f t="shared" si="1"/>
        <v>99.576968272620448</v>
      </c>
      <c r="P10" s="956">
        <f t="shared" si="2"/>
        <v>176.33961086255331</v>
      </c>
    </row>
    <row r="11" spans="1:18" ht="12.95" customHeight="1">
      <c r="B11" s="10"/>
      <c r="C11" s="11"/>
      <c r="D11" s="11"/>
      <c r="E11" s="163"/>
      <c r="F11" s="177">
        <v>611200</v>
      </c>
      <c r="G11" s="196"/>
      <c r="H11" s="435" t="s">
        <v>434</v>
      </c>
      <c r="I11" s="235">
        <v>0</v>
      </c>
      <c r="J11" s="235">
        <v>0</v>
      </c>
      <c r="K11" s="225">
        <v>0</v>
      </c>
      <c r="L11" s="357">
        <v>0</v>
      </c>
      <c r="M11" s="235">
        <v>0</v>
      </c>
      <c r="N11" s="813">
        <f t="shared" si="3"/>
        <v>0</v>
      </c>
      <c r="O11" s="955" t="str">
        <f t="shared" si="1"/>
        <v/>
      </c>
      <c r="P11" s="956" t="str">
        <f t="shared" si="2"/>
        <v/>
      </c>
      <c r="R11" s="50"/>
    </row>
    <row r="12" spans="1:18" ht="12.95" customHeight="1">
      <c r="B12" s="10"/>
      <c r="C12" s="11"/>
      <c r="D12" s="11"/>
      <c r="E12" s="163"/>
      <c r="F12" s="177"/>
      <c r="G12" s="196"/>
      <c r="H12" s="428"/>
      <c r="I12" s="237"/>
      <c r="J12" s="237"/>
      <c r="K12" s="224"/>
      <c r="L12" s="360"/>
      <c r="M12" s="237"/>
      <c r="N12" s="813"/>
      <c r="O12" s="955" t="str">
        <f t="shared" si="1"/>
        <v/>
      </c>
      <c r="P12" s="956" t="str">
        <f t="shared" si="2"/>
        <v/>
      </c>
    </row>
    <row r="13" spans="1:18" s="1" customFormat="1" ht="12.95" customHeight="1">
      <c r="A13" s="158"/>
      <c r="B13" s="12"/>
      <c r="C13" s="8"/>
      <c r="D13" s="8"/>
      <c r="E13" s="8"/>
      <c r="F13" s="176">
        <v>612000</v>
      </c>
      <c r="G13" s="195"/>
      <c r="H13" s="25" t="s">
        <v>139</v>
      </c>
      <c r="I13" s="236">
        <f t="shared" ref="I13:N13" si="4">I14</f>
        <v>8660</v>
      </c>
      <c r="J13" s="236">
        <f t="shared" si="4"/>
        <v>8660</v>
      </c>
      <c r="K13" s="226">
        <f t="shared" si="4"/>
        <v>7584</v>
      </c>
      <c r="L13" s="482">
        <f t="shared" si="4"/>
        <v>8594</v>
      </c>
      <c r="M13" s="236">
        <f t="shared" si="4"/>
        <v>0</v>
      </c>
      <c r="N13" s="812">
        <f t="shared" si="4"/>
        <v>8594</v>
      </c>
      <c r="O13" s="953">
        <f t="shared" si="1"/>
        <v>99.237875288683611</v>
      </c>
      <c r="P13" s="954">
        <f t="shared" si="2"/>
        <v>113.31751054852322</v>
      </c>
    </row>
    <row r="14" spans="1:18" ht="12.95" customHeight="1">
      <c r="B14" s="10"/>
      <c r="C14" s="11"/>
      <c r="D14" s="11"/>
      <c r="E14" s="163"/>
      <c r="F14" s="177">
        <v>612100</v>
      </c>
      <c r="G14" s="196"/>
      <c r="H14" s="430" t="s">
        <v>81</v>
      </c>
      <c r="I14" s="237">
        <f>8660</f>
        <v>8660</v>
      </c>
      <c r="J14" s="237">
        <f>8660</f>
        <v>8660</v>
      </c>
      <c r="K14" s="224">
        <v>7584</v>
      </c>
      <c r="L14" s="360">
        <v>8594</v>
      </c>
      <c r="M14" s="237">
        <v>0</v>
      </c>
      <c r="N14" s="813">
        <f>SUM(L14:M14)</f>
        <v>8594</v>
      </c>
      <c r="O14" s="955">
        <f t="shared" si="1"/>
        <v>99.237875288683611</v>
      </c>
      <c r="P14" s="956">
        <f t="shared" si="2"/>
        <v>113.31751054852322</v>
      </c>
    </row>
    <row r="15" spans="1:18" ht="12.95" customHeight="1">
      <c r="B15" s="10"/>
      <c r="C15" s="11"/>
      <c r="D15" s="11"/>
      <c r="E15" s="163"/>
      <c r="F15" s="177"/>
      <c r="G15" s="196"/>
      <c r="H15" s="24"/>
      <c r="I15" s="237"/>
      <c r="J15" s="237"/>
      <c r="K15" s="224"/>
      <c r="L15" s="359"/>
      <c r="M15" s="233"/>
      <c r="N15" s="776"/>
      <c r="O15" s="955" t="str">
        <f t="shared" si="1"/>
        <v/>
      </c>
      <c r="P15" s="956" t="str">
        <f t="shared" si="2"/>
        <v/>
      </c>
    </row>
    <row r="16" spans="1:18" s="1" customFormat="1" ht="12.95" customHeight="1">
      <c r="A16" s="158"/>
      <c r="B16" s="12"/>
      <c r="C16" s="8"/>
      <c r="D16" s="8"/>
      <c r="E16" s="8"/>
      <c r="F16" s="176">
        <v>613000</v>
      </c>
      <c r="G16" s="195"/>
      <c r="H16" s="25" t="s">
        <v>141</v>
      </c>
      <c r="I16" s="236">
        <f t="shared" ref="I16:N16" si="5">SUM(I17:I26)</f>
        <v>4350</v>
      </c>
      <c r="J16" s="236">
        <f t="shared" si="5"/>
        <v>4350</v>
      </c>
      <c r="K16" s="226">
        <f t="shared" si="5"/>
        <v>2421</v>
      </c>
      <c r="L16" s="483">
        <f t="shared" si="5"/>
        <v>2745</v>
      </c>
      <c r="M16" s="234">
        <f t="shared" si="5"/>
        <v>0</v>
      </c>
      <c r="N16" s="774">
        <f t="shared" si="5"/>
        <v>2745</v>
      </c>
      <c r="O16" s="953">
        <f t="shared" si="1"/>
        <v>63.103448275862071</v>
      </c>
      <c r="P16" s="954">
        <f t="shared" si="2"/>
        <v>113.38289962825279</v>
      </c>
    </row>
    <row r="17" spans="1:16" ht="12.95" customHeight="1">
      <c r="B17" s="10"/>
      <c r="C17" s="11"/>
      <c r="D17" s="11"/>
      <c r="E17" s="163"/>
      <c r="F17" s="177">
        <v>613100</v>
      </c>
      <c r="G17" s="196"/>
      <c r="H17" s="24" t="s">
        <v>82</v>
      </c>
      <c r="I17" s="237">
        <v>1300</v>
      </c>
      <c r="J17" s="237">
        <v>1300</v>
      </c>
      <c r="K17" s="224">
        <v>449</v>
      </c>
      <c r="L17" s="359">
        <v>625</v>
      </c>
      <c r="M17" s="233">
        <v>0</v>
      </c>
      <c r="N17" s="813">
        <f t="shared" ref="N17:N26" si="6">SUM(L17:M17)</f>
        <v>625</v>
      </c>
      <c r="O17" s="955">
        <f t="shared" si="1"/>
        <v>48.07692307692308</v>
      </c>
      <c r="P17" s="956">
        <f t="shared" si="2"/>
        <v>139.19821826280622</v>
      </c>
    </row>
    <row r="18" spans="1:16" ht="12.95" customHeight="1">
      <c r="B18" s="10"/>
      <c r="C18" s="11"/>
      <c r="D18" s="11"/>
      <c r="E18" s="163"/>
      <c r="F18" s="177">
        <v>613200</v>
      </c>
      <c r="G18" s="196"/>
      <c r="H18" s="24" t="s">
        <v>83</v>
      </c>
      <c r="I18" s="237">
        <v>0</v>
      </c>
      <c r="J18" s="237">
        <v>0</v>
      </c>
      <c r="K18" s="224">
        <v>0</v>
      </c>
      <c r="L18" s="359">
        <v>0</v>
      </c>
      <c r="M18" s="233">
        <v>0</v>
      </c>
      <c r="N18" s="813">
        <f t="shared" si="6"/>
        <v>0</v>
      </c>
      <c r="O18" s="955" t="str">
        <f t="shared" si="1"/>
        <v/>
      </c>
      <c r="P18" s="956" t="str">
        <f t="shared" si="2"/>
        <v/>
      </c>
    </row>
    <row r="19" spans="1:16" ht="12.95" customHeight="1">
      <c r="B19" s="10"/>
      <c r="C19" s="11"/>
      <c r="D19" s="11"/>
      <c r="E19" s="163"/>
      <c r="F19" s="177">
        <v>613300</v>
      </c>
      <c r="G19" s="196"/>
      <c r="H19" s="428" t="s">
        <v>163</v>
      </c>
      <c r="I19" s="237">
        <v>1600</v>
      </c>
      <c r="J19" s="237">
        <v>1600</v>
      </c>
      <c r="K19" s="224">
        <v>1360</v>
      </c>
      <c r="L19" s="359">
        <v>1357</v>
      </c>
      <c r="M19" s="233">
        <v>0</v>
      </c>
      <c r="N19" s="813">
        <f t="shared" si="6"/>
        <v>1357</v>
      </c>
      <c r="O19" s="955">
        <f t="shared" si="1"/>
        <v>84.8125</v>
      </c>
      <c r="P19" s="956">
        <f t="shared" si="2"/>
        <v>99.779411764705884</v>
      </c>
    </row>
    <row r="20" spans="1:16" ht="12.95" customHeight="1">
      <c r="B20" s="10"/>
      <c r="C20" s="11"/>
      <c r="D20" s="11"/>
      <c r="E20" s="163"/>
      <c r="F20" s="177">
        <v>613400</v>
      </c>
      <c r="G20" s="196"/>
      <c r="H20" s="24" t="s">
        <v>142</v>
      </c>
      <c r="I20" s="237">
        <v>450</v>
      </c>
      <c r="J20" s="237">
        <v>450</v>
      </c>
      <c r="K20" s="224">
        <v>200</v>
      </c>
      <c r="L20" s="359">
        <v>104</v>
      </c>
      <c r="M20" s="233">
        <v>0</v>
      </c>
      <c r="N20" s="813">
        <f t="shared" si="6"/>
        <v>104</v>
      </c>
      <c r="O20" s="955">
        <f t="shared" si="1"/>
        <v>23.111111111111111</v>
      </c>
      <c r="P20" s="956">
        <f t="shared" si="2"/>
        <v>52</v>
      </c>
    </row>
    <row r="21" spans="1:16" ht="12.95" customHeight="1">
      <c r="B21" s="10"/>
      <c r="C21" s="11"/>
      <c r="D21" s="11"/>
      <c r="E21" s="163"/>
      <c r="F21" s="177">
        <v>613500</v>
      </c>
      <c r="G21" s="196"/>
      <c r="H21" s="24" t="s">
        <v>84</v>
      </c>
      <c r="I21" s="237">
        <v>0</v>
      </c>
      <c r="J21" s="237">
        <v>0</v>
      </c>
      <c r="K21" s="224">
        <v>0</v>
      </c>
      <c r="L21" s="359">
        <v>0</v>
      </c>
      <c r="M21" s="233">
        <v>0</v>
      </c>
      <c r="N21" s="813">
        <f t="shared" si="6"/>
        <v>0</v>
      </c>
      <c r="O21" s="955" t="str">
        <f t="shared" si="1"/>
        <v/>
      </c>
      <c r="P21" s="956" t="str">
        <f t="shared" si="2"/>
        <v/>
      </c>
    </row>
    <row r="22" spans="1:16" ht="12.95" customHeight="1">
      <c r="B22" s="10"/>
      <c r="C22" s="11"/>
      <c r="D22" s="11"/>
      <c r="E22" s="163"/>
      <c r="F22" s="177">
        <v>613600</v>
      </c>
      <c r="G22" s="196"/>
      <c r="H22" s="428" t="s">
        <v>164</v>
      </c>
      <c r="I22" s="237">
        <v>0</v>
      </c>
      <c r="J22" s="237">
        <v>0</v>
      </c>
      <c r="K22" s="224">
        <v>0</v>
      </c>
      <c r="L22" s="359">
        <v>0</v>
      </c>
      <c r="M22" s="233">
        <v>0</v>
      </c>
      <c r="N22" s="813">
        <f t="shared" si="6"/>
        <v>0</v>
      </c>
      <c r="O22" s="955" t="str">
        <f t="shared" si="1"/>
        <v/>
      </c>
      <c r="P22" s="956" t="str">
        <f t="shared" si="2"/>
        <v/>
      </c>
    </row>
    <row r="23" spans="1:16" ht="12.95" customHeight="1">
      <c r="B23" s="10"/>
      <c r="C23" s="11"/>
      <c r="D23" s="11"/>
      <c r="E23" s="163"/>
      <c r="F23" s="177">
        <v>613700</v>
      </c>
      <c r="G23" s="196"/>
      <c r="H23" s="24" t="s">
        <v>85</v>
      </c>
      <c r="I23" s="237">
        <v>300</v>
      </c>
      <c r="J23" s="237">
        <v>300</v>
      </c>
      <c r="K23" s="224">
        <v>181</v>
      </c>
      <c r="L23" s="359">
        <v>129</v>
      </c>
      <c r="M23" s="233">
        <v>0</v>
      </c>
      <c r="N23" s="813">
        <f t="shared" si="6"/>
        <v>129</v>
      </c>
      <c r="O23" s="955">
        <f t="shared" si="1"/>
        <v>43</v>
      </c>
      <c r="P23" s="956">
        <f t="shared" si="2"/>
        <v>71.270718232044189</v>
      </c>
    </row>
    <row r="24" spans="1:16" ht="12.95" customHeight="1">
      <c r="B24" s="10"/>
      <c r="C24" s="11"/>
      <c r="D24" s="11"/>
      <c r="E24" s="163"/>
      <c r="F24" s="177">
        <v>613800</v>
      </c>
      <c r="G24" s="196"/>
      <c r="H24" s="24" t="s">
        <v>143</v>
      </c>
      <c r="I24" s="237">
        <v>0</v>
      </c>
      <c r="J24" s="237">
        <v>0</v>
      </c>
      <c r="K24" s="224">
        <v>0</v>
      </c>
      <c r="L24" s="359">
        <v>0</v>
      </c>
      <c r="M24" s="233">
        <v>0</v>
      </c>
      <c r="N24" s="813">
        <f t="shared" si="6"/>
        <v>0</v>
      </c>
      <c r="O24" s="955" t="str">
        <f t="shared" si="1"/>
        <v/>
      </c>
      <c r="P24" s="956" t="str">
        <f t="shared" si="2"/>
        <v/>
      </c>
    </row>
    <row r="25" spans="1:16" ht="12.95" customHeight="1">
      <c r="B25" s="10"/>
      <c r="C25" s="11"/>
      <c r="D25" s="11"/>
      <c r="E25" s="163"/>
      <c r="F25" s="177">
        <v>613900</v>
      </c>
      <c r="G25" s="196"/>
      <c r="H25" s="24" t="s">
        <v>144</v>
      </c>
      <c r="I25" s="237">
        <v>700</v>
      </c>
      <c r="J25" s="237">
        <v>700</v>
      </c>
      <c r="K25" s="224">
        <v>231</v>
      </c>
      <c r="L25" s="360">
        <v>530</v>
      </c>
      <c r="M25" s="237">
        <v>0</v>
      </c>
      <c r="N25" s="813">
        <f t="shared" si="6"/>
        <v>530</v>
      </c>
      <c r="O25" s="955">
        <f t="shared" si="1"/>
        <v>75.714285714285708</v>
      </c>
      <c r="P25" s="956">
        <f t="shared" si="2"/>
        <v>229.4372294372294</v>
      </c>
    </row>
    <row r="26" spans="1:16" ht="12.95" customHeight="1">
      <c r="B26" s="10"/>
      <c r="C26" s="11"/>
      <c r="D26" s="11"/>
      <c r="E26" s="163"/>
      <c r="F26" s="177">
        <v>613900</v>
      </c>
      <c r="G26" s="196"/>
      <c r="H26" s="435" t="s">
        <v>435</v>
      </c>
      <c r="I26" s="237">
        <v>0</v>
      </c>
      <c r="J26" s="237">
        <v>0</v>
      </c>
      <c r="K26" s="224">
        <v>0</v>
      </c>
      <c r="L26" s="360">
        <v>0</v>
      </c>
      <c r="M26" s="237">
        <v>0</v>
      </c>
      <c r="N26" s="813">
        <f t="shared" si="6"/>
        <v>0</v>
      </c>
      <c r="O26" s="955" t="str">
        <f t="shared" si="1"/>
        <v/>
      </c>
      <c r="P26" s="956" t="str">
        <f t="shared" si="2"/>
        <v/>
      </c>
    </row>
    <row r="27" spans="1:16" s="1" customFormat="1" ht="12.95" customHeight="1">
      <c r="A27" s="158"/>
      <c r="B27" s="12"/>
      <c r="C27" s="8"/>
      <c r="D27" s="8"/>
      <c r="E27" s="414"/>
      <c r="F27" s="187"/>
      <c r="G27" s="207"/>
      <c r="H27" s="25"/>
      <c r="I27" s="233"/>
      <c r="J27" s="233"/>
      <c r="K27" s="222"/>
      <c r="L27" s="359"/>
      <c r="M27" s="233"/>
      <c r="N27" s="776"/>
      <c r="O27" s="955" t="str">
        <f t="shared" si="1"/>
        <v/>
      </c>
      <c r="P27" s="956" t="str">
        <f t="shared" si="2"/>
        <v/>
      </c>
    </row>
    <row r="28" spans="1:16" s="1" customFormat="1" ht="12.95" customHeight="1">
      <c r="A28" s="158"/>
      <c r="B28" s="12"/>
      <c r="C28" s="8"/>
      <c r="D28" s="8"/>
      <c r="E28" s="8"/>
      <c r="F28" s="176">
        <v>821000</v>
      </c>
      <c r="G28" s="195"/>
      <c r="H28" s="25" t="s">
        <v>88</v>
      </c>
      <c r="I28" s="232">
        <f t="shared" ref="I28:N28" si="7">I29+I30</f>
        <v>0</v>
      </c>
      <c r="J28" s="232">
        <f t="shared" si="7"/>
        <v>0</v>
      </c>
      <c r="K28" s="223">
        <f t="shared" si="7"/>
        <v>0</v>
      </c>
      <c r="L28" s="484">
        <f t="shared" si="7"/>
        <v>0</v>
      </c>
      <c r="M28" s="232">
        <f t="shared" si="7"/>
        <v>0</v>
      </c>
      <c r="N28" s="774">
        <f t="shared" si="7"/>
        <v>0</v>
      </c>
      <c r="O28" s="955" t="str">
        <f t="shared" si="1"/>
        <v/>
      </c>
      <c r="P28" s="956" t="str">
        <f t="shared" si="2"/>
        <v/>
      </c>
    </row>
    <row r="29" spans="1:16" ht="12.95" customHeight="1">
      <c r="B29" s="10"/>
      <c r="C29" s="11"/>
      <c r="D29" s="11"/>
      <c r="E29" s="163"/>
      <c r="F29" s="177">
        <v>821200</v>
      </c>
      <c r="G29" s="196"/>
      <c r="H29" s="24" t="s">
        <v>89</v>
      </c>
      <c r="I29" s="233">
        <v>0</v>
      </c>
      <c r="J29" s="233">
        <v>0</v>
      </c>
      <c r="K29" s="222">
        <v>0</v>
      </c>
      <c r="L29" s="359">
        <v>0</v>
      </c>
      <c r="M29" s="233">
        <v>0</v>
      </c>
      <c r="N29" s="813">
        <f t="shared" ref="N29:N30" si="8">SUM(L29:M29)</f>
        <v>0</v>
      </c>
      <c r="O29" s="955" t="str">
        <f t="shared" si="1"/>
        <v/>
      </c>
      <c r="P29" s="956" t="str">
        <f t="shared" si="2"/>
        <v/>
      </c>
    </row>
    <row r="30" spans="1:16" ht="12.95" customHeight="1">
      <c r="B30" s="10"/>
      <c r="C30" s="11"/>
      <c r="D30" s="11"/>
      <c r="E30" s="163"/>
      <c r="F30" s="177">
        <v>821300</v>
      </c>
      <c r="G30" s="196"/>
      <c r="H30" s="24" t="s">
        <v>90</v>
      </c>
      <c r="I30" s="237">
        <v>0</v>
      </c>
      <c r="J30" s="237">
        <v>0</v>
      </c>
      <c r="K30" s="224">
        <v>0</v>
      </c>
      <c r="L30" s="360">
        <v>0</v>
      </c>
      <c r="M30" s="237">
        <v>0</v>
      </c>
      <c r="N30" s="813">
        <f t="shared" si="8"/>
        <v>0</v>
      </c>
      <c r="O30" s="955" t="str">
        <f t="shared" si="1"/>
        <v/>
      </c>
      <c r="P30" s="956" t="str">
        <f t="shared" si="2"/>
        <v/>
      </c>
    </row>
    <row r="31" spans="1:16" ht="12.95" customHeight="1">
      <c r="B31" s="10"/>
      <c r="C31" s="11"/>
      <c r="D31" s="11"/>
      <c r="E31" s="163"/>
      <c r="F31" s="177"/>
      <c r="G31" s="196"/>
      <c r="H31" s="24"/>
      <c r="I31" s="233"/>
      <c r="J31" s="233"/>
      <c r="K31" s="222"/>
      <c r="L31" s="359"/>
      <c r="M31" s="233"/>
      <c r="N31" s="776"/>
      <c r="O31" s="955" t="str">
        <f t="shared" si="1"/>
        <v/>
      </c>
      <c r="P31" s="956" t="str">
        <f t="shared" si="2"/>
        <v/>
      </c>
    </row>
    <row r="32" spans="1:16" s="1" customFormat="1" ht="12.95" customHeight="1">
      <c r="A32" s="158"/>
      <c r="B32" s="12"/>
      <c r="C32" s="8"/>
      <c r="D32" s="8"/>
      <c r="E32" s="8"/>
      <c r="F32" s="176"/>
      <c r="G32" s="195"/>
      <c r="H32" s="25" t="s">
        <v>91</v>
      </c>
      <c r="I32" s="232">
        <v>3</v>
      </c>
      <c r="J32" s="232">
        <v>3</v>
      </c>
      <c r="K32" s="223">
        <v>3</v>
      </c>
      <c r="L32" s="484">
        <v>3</v>
      </c>
      <c r="M32" s="232"/>
      <c r="N32" s="774">
        <v>3</v>
      </c>
      <c r="O32" s="955"/>
      <c r="P32" s="956"/>
    </row>
    <row r="33" spans="1:16" s="1" customFormat="1" ht="12.95" customHeight="1">
      <c r="A33" s="158"/>
      <c r="B33" s="12"/>
      <c r="C33" s="8"/>
      <c r="D33" s="8"/>
      <c r="E33" s="8"/>
      <c r="F33" s="176"/>
      <c r="G33" s="195"/>
      <c r="H33" s="8" t="s">
        <v>105</v>
      </c>
      <c r="I33" s="367">
        <f t="shared" ref="I33:J33" si="9">I8+I13+I16+I28</f>
        <v>107730</v>
      </c>
      <c r="J33" s="165">
        <f t="shared" si="9"/>
        <v>111050</v>
      </c>
      <c r="K33" s="153">
        <f t="shared" ref="K33" si="10">K8+K13+K16+K28</f>
        <v>91847</v>
      </c>
      <c r="L33" s="370">
        <f>L8+L13+L16+L28</f>
        <v>109137</v>
      </c>
      <c r="M33" s="165">
        <f>M8+M13+M16+M28</f>
        <v>0</v>
      </c>
      <c r="N33" s="774">
        <f>N8+N13+N16+N28</f>
        <v>109137</v>
      </c>
      <c r="O33" s="953">
        <f>IF(J33=0,"",N33/J33*100)</f>
        <v>98.277352543899141</v>
      </c>
      <c r="P33" s="954">
        <f t="shared" si="2"/>
        <v>118.82478469628839</v>
      </c>
    </row>
    <row r="34" spans="1:16" s="1" customFormat="1" ht="12.95" customHeight="1">
      <c r="A34" s="158"/>
      <c r="B34" s="12"/>
      <c r="C34" s="8"/>
      <c r="D34" s="8"/>
      <c r="E34" s="8"/>
      <c r="F34" s="176"/>
      <c r="G34" s="195"/>
      <c r="H34" s="8" t="s">
        <v>92</v>
      </c>
      <c r="I34" s="15">
        <f t="shared" ref="I34:K34" si="11">I33</f>
        <v>107730</v>
      </c>
      <c r="J34" s="15">
        <f t="shared" si="11"/>
        <v>111050</v>
      </c>
      <c r="K34" s="153">
        <f t="shared" si="11"/>
        <v>91847</v>
      </c>
      <c r="L34" s="370">
        <f>L33</f>
        <v>109137</v>
      </c>
      <c r="M34" s="165">
        <f>M33</f>
        <v>0</v>
      </c>
      <c r="N34" s="774">
        <f>N33</f>
        <v>109137</v>
      </c>
      <c r="O34" s="953">
        <f>IF(J34=0,"",N34/J34*100)</f>
        <v>98.277352543899141</v>
      </c>
      <c r="P34" s="954">
        <f t="shared" si="2"/>
        <v>118.82478469628839</v>
      </c>
    </row>
    <row r="35" spans="1:16" s="1" customFormat="1" ht="12.95" customHeight="1">
      <c r="A35" s="158"/>
      <c r="B35" s="12"/>
      <c r="C35" s="8"/>
      <c r="D35" s="8"/>
      <c r="E35" s="8"/>
      <c r="F35" s="176"/>
      <c r="G35" s="195"/>
      <c r="H35" s="8" t="s">
        <v>93</v>
      </c>
      <c r="I35" s="15"/>
      <c r="J35" s="15"/>
      <c r="K35" s="153"/>
      <c r="L35" s="370"/>
      <c r="M35" s="165"/>
      <c r="N35" s="774"/>
      <c r="O35" s="953" t="str">
        <f>IF(J35=0,"",N35/J35*100)</f>
        <v/>
      </c>
      <c r="P35" s="954" t="str">
        <f t="shared" si="2"/>
        <v/>
      </c>
    </row>
    <row r="36" spans="1:16" ht="12.95" customHeight="1" thickBot="1">
      <c r="B36" s="16"/>
      <c r="C36" s="17"/>
      <c r="D36" s="17"/>
      <c r="E36" s="17"/>
      <c r="F36" s="178"/>
      <c r="G36" s="197"/>
      <c r="H36" s="17"/>
      <c r="I36" s="31"/>
      <c r="J36" s="31"/>
      <c r="K36" s="725"/>
      <c r="L36" s="371"/>
      <c r="M36" s="31"/>
      <c r="N36" s="814"/>
      <c r="O36" s="957"/>
      <c r="P36" s="958" t="str">
        <f t="shared" si="2"/>
        <v/>
      </c>
    </row>
    <row r="37" spans="1:16" ht="12.95" customHeight="1">
      <c r="F37" s="179"/>
      <c r="G37" s="198"/>
      <c r="N37" s="254"/>
      <c r="P37" s="214" t="str">
        <f t="shared" si="2"/>
        <v/>
      </c>
    </row>
    <row r="38" spans="1:16" ht="12.95" customHeight="1">
      <c r="B38" s="45"/>
      <c r="F38" s="179"/>
      <c r="G38" s="198"/>
      <c r="N38" s="254"/>
      <c r="P38" s="214" t="str">
        <f t="shared" si="2"/>
        <v/>
      </c>
    </row>
    <row r="39" spans="1:16" ht="12.95" customHeight="1">
      <c r="B39" s="45"/>
      <c r="F39" s="179"/>
      <c r="G39" s="198"/>
      <c r="N39" s="254"/>
      <c r="P39" s="214" t="str">
        <f t="shared" si="2"/>
        <v/>
      </c>
    </row>
    <row r="40" spans="1:16" ht="12.95" customHeight="1">
      <c r="F40" s="179"/>
      <c r="G40" s="198"/>
      <c r="N40" s="254"/>
      <c r="P40" s="214" t="str">
        <f t="shared" si="2"/>
        <v/>
      </c>
    </row>
    <row r="41" spans="1:16" ht="12.95" customHeight="1">
      <c r="F41" s="179"/>
      <c r="G41" s="198"/>
      <c r="N41" s="254"/>
      <c r="P41" s="214" t="str">
        <f t="shared" si="2"/>
        <v/>
      </c>
    </row>
    <row r="42" spans="1:16" ht="12.95" customHeight="1">
      <c r="F42" s="179"/>
      <c r="G42" s="198"/>
      <c r="N42" s="254"/>
      <c r="P42" s="214" t="str">
        <f t="shared" si="2"/>
        <v/>
      </c>
    </row>
    <row r="43" spans="1:16" ht="12.95" customHeight="1">
      <c r="F43" s="179"/>
      <c r="G43" s="198"/>
      <c r="N43" s="254"/>
      <c r="P43" s="214" t="str">
        <f t="shared" si="2"/>
        <v/>
      </c>
    </row>
    <row r="44" spans="1:16" ht="12.95" customHeight="1">
      <c r="F44" s="179"/>
      <c r="G44" s="198"/>
      <c r="N44" s="254"/>
      <c r="P44" s="214" t="str">
        <f t="shared" si="2"/>
        <v/>
      </c>
    </row>
    <row r="45" spans="1:16" ht="12.95" customHeight="1">
      <c r="F45" s="179"/>
      <c r="G45" s="198"/>
      <c r="N45" s="254"/>
      <c r="P45" s="214" t="str">
        <f t="shared" si="2"/>
        <v/>
      </c>
    </row>
    <row r="46" spans="1:16" ht="12.95" customHeight="1">
      <c r="F46" s="179"/>
      <c r="G46" s="198"/>
      <c r="N46" s="254"/>
      <c r="P46" s="214" t="str">
        <f t="shared" si="2"/>
        <v/>
      </c>
    </row>
    <row r="47" spans="1:16" ht="12.95" customHeight="1">
      <c r="F47" s="179"/>
      <c r="G47" s="198"/>
      <c r="N47" s="254"/>
      <c r="P47" s="214" t="str">
        <f t="shared" si="2"/>
        <v/>
      </c>
    </row>
    <row r="48" spans="1:16" ht="12.95" customHeight="1">
      <c r="F48" s="179"/>
      <c r="G48" s="198"/>
      <c r="N48" s="254"/>
      <c r="P48" s="214" t="str">
        <f t="shared" si="2"/>
        <v/>
      </c>
    </row>
    <row r="49" spans="6:16" ht="12.95" customHeight="1">
      <c r="F49" s="179"/>
      <c r="G49" s="198"/>
      <c r="N49" s="254"/>
      <c r="P49" s="214" t="str">
        <f t="shared" si="2"/>
        <v/>
      </c>
    </row>
    <row r="50" spans="6:16" ht="12.95" customHeight="1">
      <c r="F50" s="179"/>
      <c r="G50" s="198"/>
      <c r="N50" s="254"/>
      <c r="P50" s="214" t="str">
        <f t="shared" si="2"/>
        <v/>
      </c>
    </row>
    <row r="51" spans="6:16" ht="12.95" customHeight="1">
      <c r="F51" s="179"/>
      <c r="G51" s="198"/>
      <c r="N51" s="254"/>
      <c r="P51" s="214" t="str">
        <f t="shared" si="2"/>
        <v/>
      </c>
    </row>
    <row r="52" spans="6:16" ht="12.95" customHeight="1">
      <c r="F52" s="179"/>
      <c r="G52" s="198"/>
      <c r="N52" s="254"/>
      <c r="P52" s="214" t="str">
        <f t="shared" si="2"/>
        <v/>
      </c>
    </row>
    <row r="53" spans="6:16" ht="12.95" customHeight="1">
      <c r="F53" s="179"/>
      <c r="G53" s="198"/>
      <c r="N53" s="254"/>
      <c r="P53" s="214" t="str">
        <f t="shared" si="2"/>
        <v/>
      </c>
    </row>
    <row r="54" spans="6:16" ht="12.95" customHeight="1">
      <c r="F54" s="179"/>
      <c r="G54" s="198"/>
      <c r="N54" s="254"/>
    </row>
    <row r="55" spans="6:16" ht="12.95" customHeight="1">
      <c r="F55" s="179"/>
      <c r="G55" s="198"/>
      <c r="N55" s="254"/>
    </row>
    <row r="56" spans="6:16" ht="12.95" customHeight="1">
      <c r="F56" s="179"/>
      <c r="G56" s="198"/>
      <c r="N56" s="254"/>
    </row>
    <row r="57" spans="6:16" ht="12.95" customHeight="1">
      <c r="F57" s="179"/>
      <c r="G57" s="198"/>
      <c r="N57" s="254"/>
    </row>
    <row r="58" spans="6:16" ht="12.95" customHeight="1">
      <c r="F58" s="179"/>
      <c r="G58" s="198"/>
      <c r="N58" s="254"/>
    </row>
    <row r="59" spans="6:16" ht="12.95" customHeight="1">
      <c r="F59" s="179"/>
      <c r="G59" s="198"/>
      <c r="N59" s="254"/>
    </row>
    <row r="60" spans="6:16" ht="17.100000000000001" customHeight="1">
      <c r="F60" s="179"/>
      <c r="G60" s="198"/>
      <c r="N60" s="254"/>
    </row>
    <row r="61" spans="6:16" ht="14.25">
      <c r="F61" s="179"/>
      <c r="G61" s="198"/>
      <c r="N61" s="254"/>
    </row>
    <row r="62" spans="6:16" ht="14.25">
      <c r="F62" s="179"/>
      <c r="G62" s="198"/>
      <c r="N62" s="254"/>
    </row>
    <row r="63" spans="6:16" ht="14.25">
      <c r="F63" s="179"/>
      <c r="G63" s="198"/>
      <c r="N63" s="254"/>
    </row>
    <row r="64" spans="6:16" ht="14.25">
      <c r="F64" s="179"/>
      <c r="G64" s="198"/>
      <c r="N64" s="254"/>
    </row>
    <row r="65" spans="6:14" ht="14.25">
      <c r="F65" s="179"/>
      <c r="G65" s="198"/>
      <c r="N65" s="254"/>
    </row>
    <row r="66" spans="6:14" ht="14.25">
      <c r="F66" s="179"/>
      <c r="G66" s="198"/>
      <c r="N66" s="254"/>
    </row>
    <row r="67" spans="6:14" ht="14.25">
      <c r="F67" s="179"/>
      <c r="G67" s="198"/>
      <c r="N67" s="254"/>
    </row>
    <row r="68" spans="6:14" ht="14.25">
      <c r="F68" s="179"/>
      <c r="G68" s="198"/>
      <c r="N68" s="254"/>
    </row>
    <row r="69" spans="6:14" ht="14.25">
      <c r="F69" s="179"/>
      <c r="G69" s="198"/>
      <c r="N69" s="254"/>
    </row>
    <row r="70" spans="6:14" ht="14.25">
      <c r="F70" s="179"/>
      <c r="G70" s="198"/>
      <c r="N70" s="254"/>
    </row>
    <row r="71" spans="6:14" ht="14.25">
      <c r="F71" s="179"/>
      <c r="G71" s="198"/>
      <c r="N71" s="254"/>
    </row>
    <row r="72" spans="6:14" ht="14.25">
      <c r="F72" s="179"/>
      <c r="G72" s="198"/>
      <c r="N72" s="254"/>
    </row>
    <row r="73" spans="6:14" ht="14.25">
      <c r="F73" s="179"/>
      <c r="G73" s="198"/>
      <c r="N73" s="254"/>
    </row>
    <row r="74" spans="6:14" ht="14.25">
      <c r="F74" s="179"/>
      <c r="G74" s="179"/>
      <c r="N74" s="254"/>
    </row>
    <row r="75" spans="6:14" ht="14.25">
      <c r="F75" s="179"/>
      <c r="G75" s="179"/>
      <c r="N75" s="254"/>
    </row>
    <row r="76" spans="6:14" ht="14.25">
      <c r="F76" s="179"/>
      <c r="G76" s="179"/>
      <c r="N76" s="254"/>
    </row>
    <row r="77" spans="6:14" ht="14.25">
      <c r="F77" s="179"/>
      <c r="G77" s="179"/>
      <c r="N77" s="254"/>
    </row>
    <row r="78" spans="6:14" ht="14.25">
      <c r="F78" s="179"/>
      <c r="G78" s="179"/>
      <c r="N78" s="254"/>
    </row>
    <row r="79" spans="6:14" ht="14.25">
      <c r="F79" s="179"/>
      <c r="G79" s="179"/>
      <c r="N79" s="254"/>
    </row>
    <row r="80" spans="6:14" ht="14.25">
      <c r="F80" s="179"/>
      <c r="G80" s="179"/>
      <c r="N80" s="254"/>
    </row>
    <row r="81" spans="6:14" ht="14.25">
      <c r="F81" s="179"/>
      <c r="G81" s="179"/>
      <c r="N81" s="254"/>
    </row>
    <row r="82" spans="6:14" ht="14.25">
      <c r="F82" s="179"/>
      <c r="G82" s="179"/>
      <c r="N82" s="254"/>
    </row>
    <row r="83" spans="6:14" ht="14.25">
      <c r="F83" s="179"/>
      <c r="G83" s="179"/>
      <c r="N83" s="254"/>
    </row>
    <row r="84" spans="6:14" ht="14.25">
      <c r="F84" s="179"/>
      <c r="G84" s="179"/>
      <c r="N84" s="254"/>
    </row>
    <row r="85" spans="6:14" ht="14.25">
      <c r="F85" s="179"/>
      <c r="G85" s="179"/>
      <c r="N85" s="254"/>
    </row>
    <row r="86" spans="6:14" ht="14.25">
      <c r="F86" s="179"/>
      <c r="G86" s="179"/>
      <c r="N86" s="254"/>
    </row>
    <row r="87" spans="6:14" ht="14.25">
      <c r="F87" s="179"/>
      <c r="G87" s="179"/>
      <c r="N87" s="254"/>
    </row>
    <row r="88" spans="6:14" ht="14.25">
      <c r="F88" s="179"/>
      <c r="G88" s="179"/>
      <c r="N88" s="254"/>
    </row>
    <row r="89" spans="6:14" ht="14.25">
      <c r="F89" s="179"/>
      <c r="G89" s="179"/>
      <c r="N89" s="254"/>
    </row>
    <row r="90" spans="6:14" ht="14.25">
      <c r="F90" s="179"/>
      <c r="G90" s="179"/>
      <c r="N90" s="254"/>
    </row>
    <row r="91" spans="6:14">
      <c r="G91" s="179"/>
    </row>
    <row r="92" spans="6:14">
      <c r="G92" s="179"/>
    </row>
    <row r="93" spans="6:14">
      <c r="G93" s="179"/>
    </row>
    <row r="94" spans="6:14">
      <c r="G94" s="179"/>
    </row>
    <row r="95" spans="6:14">
      <c r="G95" s="179"/>
    </row>
    <row r="96" spans="6:14">
      <c r="G96" s="179"/>
    </row>
  </sheetData>
  <mergeCells count="15">
    <mergeCell ref="P4:P5"/>
    <mergeCell ref="B2:P2"/>
    <mergeCell ref="K4:K5"/>
    <mergeCell ref="O4:O5"/>
    <mergeCell ref="H4:H5"/>
    <mergeCell ref="H3:I3"/>
    <mergeCell ref="L4:N4"/>
    <mergeCell ref="B4:B5"/>
    <mergeCell ref="C4:C5"/>
    <mergeCell ref="D4:D5"/>
    <mergeCell ref="G4:G5"/>
    <mergeCell ref="F4:F5"/>
    <mergeCell ref="I4:I5"/>
    <mergeCell ref="J4:J5"/>
    <mergeCell ref="E4:E5"/>
  </mergeCells>
  <phoneticPr fontId="2" type="noConversion"/>
  <pageMargins left="0.78740157480314965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R96"/>
  <sheetViews>
    <sheetView zoomScaleNormal="100" workbookViewId="0">
      <selection activeCell="O33" sqref="O33:O34"/>
    </sheetView>
  </sheetViews>
  <sheetFormatPr defaultColWidth="9.140625" defaultRowHeight="12.75"/>
  <cols>
    <col min="1" max="1" width="4.42578125" style="161" customWidth="1"/>
    <col min="2" max="2" width="4.7109375" style="161" customWidth="1"/>
    <col min="3" max="3" width="5.140625" style="161" customWidth="1"/>
    <col min="4" max="5" width="5" style="161" customWidth="1"/>
    <col min="6" max="7" width="8.7109375" style="166" customWidth="1"/>
    <col min="8" max="8" width="50.7109375" style="161" customWidth="1"/>
    <col min="9" max="10" width="14.7109375" style="51" customWidth="1"/>
    <col min="11" max="11" width="12.5703125" style="51" customWidth="1"/>
    <col min="12" max="13" width="14.7109375" style="51" customWidth="1"/>
    <col min="14" max="14" width="15.7109375" style="51" customWidth="1"/>
    <col min="15" max="16" width="7.7109375" style="214" customWidth="1"/>
    <col min="17" max="16384" width="9.140625" style="161"/>
  </cols>
  <sheetData>
    <row r="1" spans="1:18" ht="13.5" thickBot="1"/>
    <row r="2" spans="1:18" s="79" customFormat="1" ht="20.100000000000001" customHeight="1" thickTop="1" thickBot="1">
      <c r="A2" s="244"/>
      <c r="B2" s="1034" t="s">
        <v>795</v>
      </c>
      <c r="C2" s="1035"/>
      <c r="D2" s="1035"/>
      <c r="E2" s="1035"/>
      <c r="F2" s="1035"/>
      <c r="G2" s="1035"/>
      <c r="H2" s="1035"/>
      <c r="I2" s="1035"/>
      <c r="J2" s="1057"/>
      <c r="K2" s="1057"/>
      <c r="L2" s="1057"/>
      <c r="M2" s="1057"/>
      <c r="N2" s="1057"/>
      <c r="O2" s="1057"/>
      <c r="P2" s="1036"/>
      <c r="R2" s="244"/>
    </row>
    <row r="3" spans="1:18" s="158" customFormat="1" ht="8.1" customHeight="1" thickTop="1" thickBot="1">
      <c r="F3" s="159"/>
      <c r="G3" s="159"/>
      <c r="H3" s="1039"/>
      <c r="I3" s="1039"/>
      <c r="J3" s="540"/>
      <c r="K3" s="721"/>
      <c r="L3" s="74"/>
      <c r="M3" s="74"/>
      <c r="N3" s="74"/>
      <c r="O3" s="208"/>
      <c r="P3" s="208"/>
    </row>
    <row r="4" spans="1:18" s="158" customFormat="1" ht="39" customHeight="1">
      <c r="B4" s="1043" t="s">
        <v>76</v>
      </c>
      <c r="C4" s="1045" t="s">
        <v>77</v>
      </c>
      <c r="D4" s="1047" t="s">
        <v>102</v>
      </c>
      <c r="E4" s="1062" t="s">
        <v>692</v>
      </c>
      <c r="F4" s="1058" t="s">
        <v>466</v>
      </c>
      <c r="G4" s="1048" t="s">
        <v>493</v>
      </c>
      <c r="H4" s="1050" t="s">
        <v>78</v>
      </c>
      <c r="I4" s="1059" t="s">
        <v>901</v>
      </c>
      <c r="J4" s="1068" t="s">
        <v>813</v>
      </c>
      <c r="K4" s="1037" t="s">
        <v>906</v>
      </c>
      <c r="L4" s="1040" t="s">
        <v>905</v>
      </c>
      <c r="M4" s="1041"/>
      <c r="N4" s="1042"/>
      <c r="O4" s="1054" t="s">
        <v>945</v>
      </c>
      <c r="P4" s="1032" t="s">
        <v>946</v>
      </c>
      <c r="R4" s="61"/>
    </row>
    <row r="5" spans="1:18" s="158" customFormat="1" ht="27" customHeight="1">
      <c r="B5" s="1044"/>
      <c r="C5" s="1046"/>
      <c r="D5" s="1046"/>
      <c r="E5" s="1049"/>
      <c r="F5" s="1051"/>
      <c r="G5" s="1049"/>
      <c r="H5" s="1051"/>
      <c r="I5" s="1051"/>
      <c r="J5" s="1051"/>
      <c r="K5" s="1038"/>
      <c r="L5" s="373" t="s">
        <v>526</v>
      </c>
      <c r="M5" s="242" t="s">
        <v>527</v>
      </c>
      <c r="N5" s="764" t="s">
        <v>319</v>
      </c>
      <c r="O5" s="1055"/>
      <c r="P5" s="1033"/>
    </row>
    <row r="6" spans="1:18" s="159" customFormat="1" ht="12.95" customHeight="1">
      <c r="B6" s="328">
        <v>1</v>
      </c>
      <c r="C6" s="195">
        <v>2</v>
      </c>
      <c r="D6" s="195">
        <v>3</v>
      </c>
      <c r="E6" s="195">
        <v>4</v>
      </c>
      <c r="F6" s="195">
        <v>5</v>
      </c>
      <c r="G6" s="195">
        <v>6</v>
      </c>
      <c r="H6" s="195">
        <v>7</v>
      </c>
      <c r="I6" s="195">
        <v>8</v>
      </c>
      <c r="J6" s="195">
        <v>9</v>
      </c>
      <c r="K6" s="188">
        <v>10</v>
      </c>
      <c r="L6" s="328">
        <v>11</v>
      </c>
      <c r="M6" s="195">
        <v>12</v>
      </c>
      <c r="N6" s="810" t="s">
        <v>694</v>
      </c>
      <c r="O6" s="929" t="s">
        <v>814</v>
      </c>
      <c r="P6" s="930" t="s">
        <v>944</v>
      </c>
    </row>
    <row r="7" spans="1:18" s="159" customFormat="1" ht="12.95" customHeight="1">
      <c r="B7" s="6" t="s">
        <v>118</v>
      </c>
      <c r="C7" s="7" t="s">
        <v>421</v>
      </c>
      <c r="D7" s="7" t="s">
        <v>80</v>
      </c>
      <c r="E7" s="415" t="s">
        <v>796</v>
      </c>
      <c r="F7" s="160"/>
      <c r="G7" s="160"/>
      <c r="H7" s="160"/>
      <c r="I7" s="378"/>
      <c r="J7" s="70"/>
      <c r="K7" s="726"/>
      <c r="L7" s="391"/>
      <c r="M7" s="70"/>
      <c r="N7" s="832"/>
      <c r="O7" s="951"/>
      <c r="P7" s="952"/>
    </row>
    <row r="8" spans="1:18" s="158" customFormat="1" ht="12.95" customHeight="1">
      <c r="B8" s="164"/>
      <c r="C8" s="8"/>
      <c r="D8" s="8"/>
      <c r="E8" s="8"/>
      <c r="F8" s="176">
        <v>611000</v>
      </c>
      <c r="G8" s="195"/>
      <c r="H8" s="25" t="s">
        <v>140</v>
      </c>
      <c r="I8" s="236">
        <f>SUM(I9:I11)</f>
        <v>2800</v>
      </c>
      <c r="J8" s="236">
        <f>SUM(J9:J11)</f>
        <v>2800</v>
      </c>
      <c r="K8" s="226">
        <f t="shared" ref="K8" si="0">SUM(K9:K11)</f>
        <v>0</v>
      </c>
      <c r="L8" s="482">
        <f>SUM(L9:L11)</f>
        <v>0</v>
      </c>
      <c r="M8" s="236">
        <f>SUM(M9:M11)</f>
        <v>0</v>
      </c>
      <c r="N8" s="812">
        <f>SUM(N9:N11)</f>
        <v>0</v>
      </c>
      <c r="O8" s="953">
        <f t="shared" ref="O8:O31" si="1">IF(J8=0,"",N8/J8*100)</f>
        <v>0</v>
      </c>
      <c r="P8" s="954" t="str">
        <f>IF(K8=0,"",N8/K8*100)</f>
        <v/>
      </c>
    </row>
    <row r="9" spans="1:18" ht="12.95" customHeight="1">
      <c r="B9" s="162"/>
      <c r="C9" s="163"/>
      <c r="D9" s="163"/>
      <c r="E9" s="163"/>
      <c r="F9" s="177">
        <v>611100</v>
      </c>
      <c r="G9" s="196"/>
      <c r="H9" s="428" t="s">
        <v>161</v>
      </c>
      <c r="I9" s="237">
        <f>1800</f>
        <v>1800</v>
      </c>
      <c r="J9" s="237">
        <f>1800</f>
        <v>1800</v>
      </c>
      <c r="K9" s="224">
        <v>0</v>
      </c>
      <c r="L9" s="360">
        <v>0</v>
      </c>
      <c r="M9" s="237">
        <v>0</v>
      </c>
      <c r="N9" s="813">
        <f>SUM(L9:M9)</f>
        <v>0</v>
      </c>
      <c r="O9" s="955">
        <f t="shared" si="1"/>
        <v>0</v>
      </c>
      <c r="P9" s="956" t="str">
        <f t="shared" ref="P9:P53" si="2">IF(K9=0,"",N9/K9*100)</f>
        <v/>
      </c>
    </row>
    <row r="10" spans="1:18" ht="12.95" customHeight="1">
      <c r="B10" s="162"/>
      <c r="C10" s="163"/>
      <c r="D10" s="163"/>
      <c r="E10" s="163"/>
      <c r="F10" s="177">
        <v>611200</v>
      </c>
      <c r="G10" s="196"/>
      <c r="H10" s="24" t="s">
        <v>162</v>
      </c>
      <c r="I10" s="237">
        <f>300+700</f>
        <v>1000</v>
      </c>
      <c r="J10" s="237">
        <f>300+700</f>
        <v>1000</v>
      </c>
      <c r="K10" s="224">
        <v>0</v>
      </c>
      <c r="L10" s="360">
        <v>0</v>
      </c>
      <c r="M10" s="237">
        <v>0</v>
      </c>
      <c r="N10" s="813">
        <f t="shared" ref="N10:N11" si="3">SUM(L10:M10)</f>
        <v>0</v>
      </c>
      <c r="O10" s="955">
        <f t="shared" si="1"/>
        <v>0</v>
      </c>
      <c r="P10" s="956" t="str">
        <f t="shared" si="2"/>
        <v/>
      </c>
    </row>
    <row r="11" spans="1:18" ht="12.95" customHeight="1">
      <c r="B11" s="162"/>
      <c r="C11" s="163"/>
      <c r="D11" s="163"/>
      <c r="E11" s="163"/>
      <c r="F11" s="177">
        <v>611200</v>
      </c>
      <c r="G11" s="196"/>
      <c r="H11" s="435" t="s">
        <v>434</v>
      </c>
      <c r="I11" s="235">
        <v>0</v>
      </c>
      <c r="J11" s="235">
        <v>0</v>
      </c>
      <c r="K11" s="225">
        <v>0</v>
      </c>
      <c r="L11" s="357">
        <v>0</v>
      </c>
      <c r="M11" s="235">
        <v>0</v>
      </c>
      <c r="N11" s="813">
        <f t="shared" si="3"/>
        <v>0</v>
      </c>
      <c r="O11" s="955" t="str">
        <f t="shared" si="1"/>
        <v/>
      </c>
      <c r="P11" s="956" t="str">
        <f t="shared" si="2"/>
        <v/>
      </c>
      <c r="R11" s="50"/>
    </row>
    <row r="12" spans="1:18" ht="12.95" customHeight="1">
      <c r="B12" s="162"/>
      <c r="C12" s="163"/>
      <c r="D12" s="163"/>
      <c r="E12" s="163"/>
      <c r="F12" s="177"/>
      <c r="G12" s="196"/>
      <c r="H12" s="24"/>
      <c r="I12" s="236"/>
      <c r="J12" s="236"/>
      <c r="K12" s="226"/>
      <c r="L12" s="482"/>
      <c r="M12" s="236"/>
      <c r="N12" s="812"/>
      <c r="O12" s="955" t="str">
        <f t="shared" si="1"/>
        <v/>
      </c>
      <c r="P12" s="956" t="str">
        <f t="shared" si="2"/>
        <v/>
      </c>
    </row>
    <row r="13" spans="1:18" s="158" customFormat="1" ht="12.95" customHeight="1">
      <c r="B13" s="164"/>
      <c r="C13" s="8"/>
      <c r="D13" s="8"/>
      <c r="E13" s="8"/>
      <c r="F13" s="176">
        <v>612000</v>
      </c>
      <c r="G13" s="195"/>
      <c r="H13" s="25" t="s">
        <v>139</v>
      </c>
      <c r="I13" s="236">
        <f>I14</f>
        <v>200</v>
      </c>
      <c r="J13" s="236">
        <f>J14</f>
        <v>200</v>
      </c>
      <c r="K13" s="226">
        <f t="shared" ref="K13" si="4">K14</f>
        <v>0</v>
      </c>
      <c r="L13" s="482">
        <f>L14</f>
        <v>0</v>
      </c>
      <c r="M13" s="236">
        <f>M14</f>
        <v>0</v>
      </c>
      <c r="N13" s="812">
        <f>N14</f>
        <v>0</v>
      </c>
      <c r="O13" s="953">
        <f t="shared" si="1"/>
        <v>0</v>
      </c>
      <c r="P13" s="954" t="str">
        <f t="shared" si="2"/>
        <v/>
      </c>
    </row>
    <row r="14" spans="1:18" ht="12.95" customHeight="1">
      <c r="B14" s="162"/>
      <c r="C14" s="163"/>
      <c r="D14" s="163"/>
      <c r="E14" s="163"/>
      <c r="F14" s="177">
        <v>612100</v>
      </c>
      <c r="G14" s="196"/>
      <c r="H14" s="430" t="s">
        <v>81</v>
      </c>
      <c r="I14" s="237">
        <f>200</f>
        <v>200</v>
      </c>
      <c r="J14" s="237">
        <f>200</f>
        <v>200</v>
      </c>
      <c r="K14" s="224">
        <v>0</v>
      </c>
      <c r="L14" s="360">
        <v>0</v>
      </c>
      <c r="M14" s="237">
        <v>0</v>
      </c>
      <c r="N14" s="813">
        <f>SUM(L14:M14)</f>
        <v>0</v>
      </c>
      <c r="O14" s="955">
        <f t="shared" si="1"/>
        <v>0</v>
      </c>
      <c r="P14" s="956" t="str">
        <f t="shared" si="2"/>
        <v/>
      </c>
    </row>
    <row r="15" spans="1:18" ht="12.95" customHeight="1">
      <c r="B15" s="162"/>
      <c r="C15" s="163"/>
      <c r="D15" s="163"/>
      <c r="E15" s="163"/>
      <c r="F15" s="177"/>
      <c r="G15" s="196"/>
      <c r="H15" s="24"/>
      <c r="I15" s="233"/>
      <c r="J15" s="233"/>
      <c r="K15" s="222"/>
      <c r="L15" s="359"/>
      <c r="M15" s="233"/>
      <c r="N15" s="776"/>
      <c r="O15" s="955" t="str">
        <f t="shared" si="1"/>
        <v/>
      </c>
      <c r="P15" s="956" t="str">
        <f t="shared" si="2"/>
        <v/>
      </c>
    </row>
    <row r="16" spans="1:18" s="158" customFormat="1" ht="12.95" customHeight="1">
      <c r="B16" s="164"/>
      <c r="C16" s="8"/>
      <c r="D16" s="8"/>
      <c r="E16" s="8"/>
      <c r="F16" s="176">
        <v>613000</v>
      </c>
      <c r="G16" s="195"/>
      <c r="H16" s="25" t="s">
        <v>141</v>
      </c>
      <c r="I16" s="234">
        <f>SUM(I17:I26)</f>
        <v>100</v>
      </c>
      <c r="J16" s="234">
        <f>SUM(J17:J26)</f>
        <v>100</v>
      </c>
      <c r="K16" s="221">
        <f t="shared" ref="K16" si="5">SUM(K17:K26)</f>
        <v>0</v>
      </c>
      <c r="L16" s="483">
        <f>SUM(L17:L26)</f>
        <v>0</v>
      </c>
      <c r="M16" s="234">
        <f>SUM(M17:M26)</f>
        <v>0</v>
      </c>
      <c r="N16" s="774">
        <f>SUM(N17:N26)</f>
        <v>0</v>
      </c>
      <c r="O16" s="953">
        <f t="shared" si="1"/>
        <v>0</v>
      </c>
      <c r="P16" s="954" t="str">
        <f t="shared" si="2"/>
        <v/>
      </c>
    </row>
    <row r="17" spans="2:17" ht="12.95" customHeight="1">
      <c r="B17" s="162"/>
      <c r="C17" s="163"/>
      <c r="D17" s="163"/>
      <c r="E17" s="163"/>
      <c r="F17" s="177">
        <v>613100</v>
      </c>
      <c r="G17" s="196"/>
      <c r="H17" s="24" t="s">
        <v>82</v>
      </c>
      <c r="I17" s="237">
        <v>0</v>
      </c>
      <c r="J17" s="237">
        <v>0</v>
      </c>
      <c r="K17" s="224">
        <v>0</v>
      </c>
      <c r="L17" s="359">
        <v>0</v>
      </c>
      <c r="M17" s="233">
        <v>0</v>
      </c>
      <c r="N17" s="813">
        <f t="shared" ref="N17:N26" si="6">SUM(L17:M17)</f>
        <v>0</v>
      </c>
      <c r="O17" s="955" t="str">
        <f t="shared" si="1"/>
        <v/>
      </c>
      <c r="P17" s="956" t="str">
        <f t="shared" si="2"/>
        <v/>
      </c>
    </row>
    <row r="18" spans="2:17" ht="12.95" customHeight="1">
      <c r="B18" s="162"/>
      <c r="C18" s="163"/>
      <c r="D18" s="163"/>
      <c r="E18" s="163"/>
      <c r="F18" s="177">
        <v>613200</v>
      </c>
      <c r="G18" s="196"/>
      <c r="H18" s="24" t="s">
        <v>83</v>
      </c>
      <c r="I18" s="237">
        <v>0</v>
      </c>
      <c r="J18" s="237">
        <v>0</v>
      </c>
      <c r="K18" s="224">
        <v>0</v>
      </c>
      <c r="L18" s="359">
        <v>0</v>
      </c>
      <c r="M18" s="233">
        <v>0</v>
      </c>
      <c r="N18" s="813">
        <f t="shared" si="6"/>
        <v>0</v>
      </c>
      <c r="O18" s="955" t="str">
        <f t="shared" si="1"/>
        <v/>
      </c>
      <c r="P18" s="956" t="str">
        <f t="shared" si="2"/>
        <v/>
      </c>
    </row>
    <row r="19" spans="2:17" ht="12.95" customHeight="1">
      <c r="B19" s="162"/>
      <c r="C19" s="163"/>
      <c r="D19" s="163"/>
      <c r="E19" s="163"/>
      <c r="F19" s="177">
        <v>613300</v>
      </c>
      <c r="G19" s="196"/>
      <c r="H19" s="428" t="s">
        <v>163</v>
      </c>
      <c r="I19" s="237">
        <v>0</v>
      </c>
      <c r="J19" s="237">
        <v>0</v>
      </c>
      <c r="K19" s="224">
        <v>0</v>
      </c>
      <c r="L19" s="359">
        <v>0</v>
      </c>
      <c r="M19" s="233">
        <v>0</v>
      </c>
      <c r="N19" s="813">
        <f t="shared" si="6"/>
        <v>0</v>
      </c>
      <c r="O19" s="955" t="str">
        <f t="shared" si="1"/>
        <v/>
      </c>
      <c r="P19" s="956" t="str">
        <f t="shared" si="2"/>
        <v/>
      </c>
    </row>
    <row r="20" spans="2:17" ht="12.95" customHeight="1">
      <c r="B20" s="162"/>
      <c r="C20" s="163"/>
      <c r="D20" s="163"/>
      <c r="E20" s="163"/>
      <c r="F20" s="177">
        <v>613400</v>
      </c>
      <c r="G20" s="196"/>
      <c r="H20" s="24" t="s">
        <v>142</v>
      </c>
      <c r="I20" s="237">
        <v>0</v>
      </c>
      <c r="J20" s="237">
        <v>0</v>
      </c>
      <c r="K20" s="224">
        <v>0</v>
      </c>
      <c r="L20" s="359">
        <v>0</v>
      </c>
      <c r="M20" s="233">
        <v>0</v>
      </c>
      <c r="N20" s="813">
        <f t="shared" si="6"/>
        <v>0</v>
      </c>
      <c r="O20" s="955" t="str">
        <f t="shared" si="1"/>
        <v/>
      </c>
      <c r="P20" s="956" t="str">
        <f t="shared" si="2"/>
        <v/>
      </c>
    </row>
    <row r="21" spans="2:17" ht="12.95" customHeight="1">
      <c r="B21" s="162"/>
      <c r="C21" s="163"/>
      <c r="D21" s="163"/>
      <c r="E21" s="163"/>
      <c r="F21" s="177">
        <v>613500</v>
      </c>
      <c r="G21" s="196"/>
      <c r="H21" s="24" t="s">
        <v>84</v>
      </c>
      <c r="I21" s="237">
        <v>0</v>
      </c>
      <c r="J21" s="237">
        <v>0</v>
      </c>
      <c r="K21" s="224">
        <v>0</v>
      </c>
      <c r="L21" s="359">
        <v>0</v>
      </c>
      <c r="M21" s="233">
        <v>0</v>
      </c>
      <c r="N21" s="813">
        <f t="shared" si="6"/>
        <v>0</v>
      </c>
      <c r="O21" s="955" t="str">
        <f t="shared" si="1"/>
        <v/>
      </c>
      <c r="P21" s="956" t="str">
        <f t="shared" si="2"/>
        <v/>
      </c>
    </row>
    <row r="22" spans="2:17" ht="12.95" customHeight="1">
      <c r="B22" s="162"/>
      <c r="C22" s="163"/>
      <c r="D22" s="163"/>
      <c r="E22" s="163"/>
      <c r="F22" s="177">
        <v>613600</v>
      </c>
      <c r="G22" s="196"/>
      <c r="H22" s="428" t="s">
        <v>164</v>
      </c>
      <c r="I22" s="237">
        <v>0</v>
      </c>
      <c r="J22" s="237">
        <v>0</v>
      </c>
      <c r="K22" s="224">
        <v>0</v>
      </c>
      <c r="L22" s="360">
        <v>0</v>
      </c>
      <c r="M22" s="237">
        <v>0</v>
      </c>
      <c r="N22" s="813">
        <f t="shared" si="6"/>
        <v>0</v>
      </c>
      <c r="O22" s="955" t="str">
        <f t="shared" si="1"/>
        <v/>
      </c>
      <c r="P22" s="956" t="str">
        <f t="shared" si="2"/>
        <v/>
      </c>
    </row>
    <row r="23" spans="2:17" ht="12.95" customHeight="1">
      <c r="B23" s="162"/>
      <c r="C23" s="163"/>
      <c r="D23" s="163"/>
      <c r="E23" s="163"/>
      <c r="F23" s="177">
        <v>613700</v>
      </c>
      <c r="G23" s="196"/>
      <c r="H23" s="24" t="s">
        <v>85</v>
      </c>
      <c r="I23" s="237">
        <v>0</v>
      </c>
      <c r="J23" s="237">
        <v>0</v>
      </c>
      <c r="K23" s="224">
        <v>0</v>
      </c>
      <c r="L23" s="360">
        <v>0</v>
      </c>
      <c r="M23" s="237">
        <v>0</v>
      </c>
      <c r="N23" s="813">
        <f t="shared" si="6"/>
        <v>0</v>
      </c>
      <c r="O23" s="955" t="str">
        <f t="shared" si="1"/>
        <v/>
      </c>
      <c r="P23" s="956" t="str">
        <f t="shared" si="2"/>
        <v/>
      </c>
      <c r="Q23" s="45"/>
    </row>
    <row r="24" spans="2:17" ht="12.95" customHeight="1">
      <c r="B24" s="162"/>
      <c r="C24" s="163"/>
      <c r="D24" s="163"/>
      <c r="E24" s="163"/>
      <c r="F24" s="177">
        <v>613800</v>
      </c>
      <c r="G24" s="196"/>
      <c r="H24" s="24" t="s">
        <v>143</v>
      </c>
      <c r="I24" s="237">
        <v>0</v>
      </c>
      <c r="J24" s="237">
        <v>0</v>
      </c>
      <c r="K24" s="224">
        <v>0</v>
      </c>
      <c r="L24" s="360">
        <v>0</v>
      </c>
      <c r="M24" s="237">
        <v>0</v>
      </c>
      <c r="N24" s="813">
        <f t="shared" si="6"/>
        <v>0</v>
      </c>
      <c r="O24" s="955" t="str">
        <f t="shared" si="1"/>
        <v/>
      </c>
      <c r="P24" s="956" t="str">
        <f t="shared" si="2"/>
        <v/>
      </c>
    </row>
    <row r="25" spans="2:17" ht="12.95" customHeight="1">
      <c r="B25" s="162"/>
      <c r="C25" s="163"/>
      <c r="D25" s="163"/>
      <c r="E25" s="163"/>
      <c r="F25" s="177">
        <v>613900</v>
      </c>
      <c r="G25" s="196"/>
      <c r="H25" s="24" t="s">
        <v>144</v>
      </c>
      <c r="I25" s="237">
        <v>100</v>
      </c>
      <c r="J25" s="237">
        <v>100</v>
      </c>
      <c r="K25" s="224">
        <v>0</v>
      </c>
      <c r="L25" s="360">
        <v>0</v>
      </c>
      <c r="M25" s="237">
        <v>0</v>
      </c>
      <c r="N25" s="813">
        <f t="shared" si="6"/>
        <v>0</v>
      </c>
      <c r="O25" s="955">
        <f t="shared" si="1"/>
        <v>0</v>
      </c>
      <c r="P25" s="956" t="str">
        <f t="shared" si="2"/>
        <v/>
      </c>
      <c r="Q25" s="45"/>
    </row>
    <row r="26" spans="2:17" ht="12.95" customHeight="1">
      <c r="B26" s="162"/>
      <c r="C26" s="163"/>
      <c r="D26" s="163"/>
      <c r="E26" s="163"/>
      <c r="F26" s="177">
        <v>613900</v>
      </c>
      <c r="G26" s="196"/>
      <c r="H26" s="435" t="s">
        <v>435</v>
      </c>
      <c r="I26" s="237">
        <v>0</v>
      </c>
      <c r="J26" s="237">
        <v>0</v>
      </c>
      <c r="K26" s="224">
        <v>0</v>
      </c>
      <c r="L26" s="360">
        <v>0</v>
      </c>
      <c r="M26" s="237">
        <v>0</v>
      </c>
      <c r="N26" s="813">
        <f t="shared" si="6"/>
        <v>0</v>
      </c>
      <c r="O26" s="955" t="str">
        <f t="shared" si="1"/>
        <v/>
      </c>
      <c r="P26" s="956" t="str">
        <f t="shared" si="2"/>
        <v/>
      </c>
    </row>
    <row r="27" spans="2:17" s="158" customFormat="1" ht="12.95" customHeight="1">
      <c r="B27" s="164"/>
      <c r="C27" s="8"/>
      <c r="D27" s="8"/>
      <c r="E27" s="8"/>
      <c r="F27" s="176"/>
      <c r="G27" s="195"/>
      <c r="H27" s="25"/>
      <c r="I27" s="237"/>
      <c r="J27" s="237"/>
      <c r="K27" s="224"/>
      <c r="L27" s="360"/>
      <c r="M27" s="237"/>
      <c r="N27" s="776"/>
      <c r="O27" s="955" t="str">
        <f t="shared" si="1"/>
        <v/>
      </c>
      <c r="P27" s="956" t="str">
        <f t="shared" si="2"/>
        <v/>
      </c>
    </row>
    <row r="28" spans="2:17" s="158" customFormat="1" ht="12.95" customHeight="1">
      <c r="B28" s="164"/>
      <c r="C28" s="8"/>
      <c r="D28" s="8"/>
      <c r="E28" s="8"/>
      <c r="F28" s="176">
        <v>821000</v>
      </c>
      <c r="G28" s="195"/>
      <c r="H28" s="25" t="s">
        <v>88</v>
      </c>
      <c r="I28" s="236">
        <f>SUM(I29:I30)</f>
        <v>0</v>
      </c>
      <c r="J28" s="236">
        <f>SUM(J29:J30)</f>
        <v>0</v>
      </c>
      <c r="K28" s="226">
        <f t="shared" ref="K28" si="7">SUM(K29:K30)</f>
        <v>0</v>
      </c>
      <c r="L28" s="482">
        <f>SUM(L29:L30)</f>
        <v>0</v>
      </c>
      <c r="M28" s="236">
        <f>SUM(M29:M30)</f>
        <v>0</v>
      </c>
      <c r="N28" s="774">
        <f>SUM(N29:N30)</f>
        <v>0</v>
      </c>
      <c r="O28" s="953" t="str">
        <f t="shared" si="1"/>
        <v/>
      </c>
      <c r="P28" s="954" t="str">
        <f t="shared" si="2"/>
        <v/>
      </c>
    </row>
    <row r="29" spans="2:17" ht="12.95" customHeight="1">
      <c r="B29" s="162"/>
      <c r="C29" s="163"/>
      <c r="D29" s="163"/>
      <c r="E29" s="163"/>
      <c r="F29" s="177">
        <v>821200</v>
      </c>
      <c r="G29" s="196"/>
      <c r="H29" s="24" t="s">
        <v>89</v>
      </c>
      <c r="I29" s="237">
        <v>0</v>
      </c>
      <c r="J29" s="237">
        <v>0</v>
      </c>
      <c r="K29" s="224">
        <v>0</v>
      </c>
      <c r="L29" s="360">
        <v>0</v>
      </c>
      <c r="M29" s="237">
        <v>0</v>
      </c>
      <c r="N29" s="813">
        <f t="shared" ref="N29:N30" si="8">SUM(L29:M29)</f>
        <v>0</v>
      </c>
      <c r="O29" s="955" t="str">
        <f t="shared" si="1"/>
        <v/>
      </c>
      <c r="P29" s="956" t="str">
        <f t="shared" si="2"/>
        <v/>
      </c>
    </row>
    <row r="30" spans="2:17" ht="12.95" customHeight="1">
      <c r="B30" s="162"/>
      <c r="C30" s="163"/>
      <c r="D30" s="163"/>
      <c r="E30" s="163"/>
      <c r="F30" s="177">
        <v>821300</v>
      </c>
      <c r="G30" s="196"/>
      <c r="H30" s="24" t="s">
        <v>90</v>
      </c>
      <c r="I30" s="237">
        <v>0</v>
      </c>
      <c r="J30" s="237">
        <v>0</v>
      </c>
      <c r="K30" s="224">
        <v>0</v>
      </c>
      <c r="L30" s="360">
        <v>0</v>
      </c>
      <c r="M30" s="237">
        <v>0</v>
      </c>
      <c r="N30" s="813">
        <f t="shared" si="8"/>
        <v>0</v>
      </c>
      <c r="O30" s="955" t="str">
        <f t="shared" si="1"/>
        <v/>
      </c>
      <c r="P30" s="956" t="str">
        <f t="shared" si="2"/>
        <v/>
      </c>
    </row>
    <row r="31" spans="2:17" ht="12.95" customHeight="1">
      <c r="B31" s="162"/>
      <c r="C31" s="163"/>
      <c r="D31" s="163"/>
      <c r="E31" s="163"/>
      <c r="F31" s="177"/>
      <c r="G31" s="196"/>
      <c r="H31" s="24"/>
      <c r="I31" s="237"/>
      <c r="J31" s="237"/>
      <c r="K31" s="224"/>
      <c r="L31" s="360"/>
      <c r="M31" s="237"/>
      <c r="N31" s="776"/>
      <c r="O31" s="955" t="str">
        <f t="shared" si="1"/>
        <v/>
      </c>
      <c r="P31" s="956" t="str">
        <f t="shared" si="2"/>
        <v/>
      </c>
    </row>
    <row r="32" spans="2:17" s="158" customFormat="1" ht="12.95" customHeight="1">
      <c r="B32" s="164"/>
      <c r="C32" s="8"/>
      <c r="D32" s="8"/>
      <c r="E32" s="8"/>
      <c r="F32" s="176"/>
      <c r="G32" s="195"/>
      <c r="H32" s="25" t="s">
        <v>91</v>
      </c>
      <c r="I32" s="232">
        <v>1</v>
      </c>
      <c r="J32" s="232">
        <v>1</v>
      </c>
      <c r="K32" s="223">
        <v>0</v>
      </c>
      <c r="L32" s="484">
        <v>0</v>
      </c>
      <c r="M32" s="232"/>
      <c r="N32" s="774">
        <v>0</v>
      </c>
      <c r="O32" s="955"/>
      <c r="P32" s="956" t="str">
        <f t="shared" si="2"/>
        <v/>
      </c>
    </row>
    <row r="33" spans="2:16" s="158" customFormat="1" ht="12.95" customHeight="1">
      <c r="B33" s="164"/>
      <c r="C33" s="8"/>
      <c r="D33" s="8"/>
      <c r="E33" s="8"/>
      <c r="F33" s="176"/>
      <c r="G33" s="195"/>
      <c r="H33" s="8" t="s">
        <v>105</v>
      </c>
      <c r="I33" s="367">
        <f t="shared" ref="I33:K33" si="9">I8+I13+I16+I28</f>
        <v>3100</v>
      </c>
      <c r="J33" s="165">
        <f t="shared" si="9"/>
        <v>3100</v>
      </c>
      <c r="K33" s="153">
        <f t="shared" si="9"/>
        <v>0</v>
      </c>
      <c r="L33" s="370">
        <f>L8+L13+L16+L28</f>
        <v>0</v>
      </c>
      <c r="M33" s="165">
        <f>M8+M13+M16+M28</f>
        <v>0</v>
      </c>
      <c r="N33" s="774">
        <f>N8+N13+N16+N28</f>
        <v>0</v>
      </c>
      <c r="O33" s="953"/>
      <c r="P33" s="954" t="str">
        <f t="shared" si="2"/>
        <v/>
      </c>
    </row>
    <row r="34" spans="2:16" s="158" customFormat="1" ht="12.95" customHeight="1">
      <c r="B34" s="164"/>
      <c r="C34" s="8"/>
      <c r="D34" s="8"/>
      <c r="E34" s="8"/>
      <c r="F34" s="176"/>
      <c r="G34" s="195"/>
      <c r="H34" s="8" t="s">
        <v>92</v>
      </c>
      <c r="I34" s="165">
        <f t="shared" ref="I34:K34" si="10">I33</f>
        <v>3100</v>
      </c>
      <c r="J34" s="165">
        <f t="shared" si="10"/>
        <v>3100</v>
      </c>
      <c r="K34" s="153">
        <f t="shared" si="10"/>
        <v>0</v>
      </c>
      <c r="L34" s="370">
        <f t="shared" ref="L34:N34" si="11">L33</f>
        <v>0</v>
      </c>
      <c r="M34" s="165">
        <f t="shared" si="11"/>
        <v>0</v>
      </c>
      <c r="N34" s="774">
        <f t="shared" si="11"/>
        <v>0</v>
      </c>
      <c r="O34" s="953"/>
      <c r="P34" s="954" t="str">
        <f t="shared" si="2"/>
        <v/>
      </c>
    </row>
    <row r="35" spans="2:16" s="158" customFormat="1" ht="12.95" customHeight="1">
      <c r="B35" s="164"/>
      <c r="C35" s="8"/>
      <c r="D35" s="8"/>
      <c r="E35" s="8"/>
      <c r="F35" s="176"/>
      <c r="G35" s="195"/>
      <c r="H35" s="8" t="s">
        <v>93</v>
      </c>
      <c r="I35" s="165">
        <f>I34+'13'!I34+'12'!I34+'10'!I35+'9'!I35</f>
        <v>2298910</v>
      </c>
      <c r="J35" s="165">
        <f>J34+'13'!J34+'12'!J34+'10'!J35+'9'!J35</f>
        <v>2298910</v>
      </c>
      <c r="K35" s="153">
        <f>K34+'13'!K34+'12'!K34+'10'!K35+'9'!K35</f>
        <v>2015770</v>
      </c>
      <c r="L35" s="370">
        <f>L34+'13'!L34+'12'!L34+'10'!L35+'9'!L35</f>
        <v>2277080</v>
      </c>
      <c r="M35" s="165">
        <f>M34+'13'!M34+'12'!M34+'10'!M35+'9'!M35</f>
        <v>0</v>
      </c>
      <c r="N35" s="774">
        <f>N34+'13'!N34+'12'!N34+'10'!N35+'9'!N35</f>
        <v>2277080</v>
      </c>
      <c r="O35" s="953">
        <f>IF(J35=0,"",N35/J35*100)</f>
        <v>99.050419546654723</v>
      </c>
      <c r="P35" s="954">
        <f t="shared" si="2"/>
        <v>112.96328450170405</v>
      </c>
    </row>
    <row r="36" spans="2:16" ht="12.95" customHeight="1" thickBot="1">
      <c r="B36" s="16"/>
      <c r="C36" s="17"/>
      <c r="D36" s="17"/>
      <c r="E36" s="17"/>
      <c r="F36" s="178"/>
      <c r="G36" s="197"/>
      <c r="H36" s="17"/>
      <c r="I36" s="31"/>
      <c r="J36" s="31"/>
      <c r="K36" s="725"/>
      <c r="L36" s="371"/>
      <c r="M36" s="31"/>
      <c r="N36" s="814"/>
      <c r="O36" s="957"/>
      <c r="P36" s="958" t="str">
        <f t="shared" si="2"/>
        <v/>
      </c>
    </row>
    <row r="37" spans="2:16" ht="12.95" customHeight="1">
      <c r="F37" s="179"/>
      <c r="G37" s="198"/>
      <c r="N37" s="254"/>
      <c r="P37" s="214" t="str">
        <f t="shared" si="2"/>
        <v/>
      </c>
    </row>
    <row r="38" spans="2:16" ht="12.95" customHeight="1">
      <c r="B38" s="45"/>
      <c r="F38" s="179"/>
      <c r="G38" s="198"/>
      <c r="N38" s="254"/>
      <c r="P38" s="214" t="str">
        <f t="shared" si="2"/>
        <v/>
      </c>
    </row>
    <row r="39" spans="2:16" ht="12.95" customHeight="1">
      <c r="F39" s="179"/>
      <c r="G39" s="198"/>
      <c r="N39" s="254"/>
      <c r="P39" s="214" t="str">
        <f t="shared" si="2"/>
        <v/>
      </c>
    </row>
    <row r="40" spans="2:16" ht="12.95" customHeight="1">
      <c r="F40" s="179"/>
      <c r="G40" s="198"/>
      <c r="N40" s="254"/>
      <c r="P40" s="214" t="str">
        <f t="shared" si="2"/>
        <v/>
      </c>
    </row>
    <row r="41" spans="2:16" ht="12.95" customHeight="1">
      <c r="F41" s="179"/>
      <c r="G41" s="198"/>
      <c r="N41" s="254"/>
      <c r="P41" s="214" t="str">
        <f t="shared" si="2"/>
        <v/>
      </c>
    </row>
    <row r="42" spans="2:16" ht="12.95" customHeight="1">
      <c r="F42" s="179"/>
      <c r="G42" s="198"/>
      <c r="N42" s="254"/>
      <c r="P42" s="214" t="str">
        <f t="shared" si="2"/>
        <v/>
      </c>
    </row>
    <row r="43" spans="2:16" ht="12.95" customHeight="1">
      <c r="F43" s="179"/>
      <c r="G43" s="198"/>
      <c r="N43" s="254"/>
      <c r="P43" s="214" t="str">
        <f t="shared" si="2"/>
        <v/>
      </c>
    </row>
    <row r="44" spans="2:16" ht="12.95" customHeight="1">
      <c r="F44" s="179"/>
      <c r="G44" s="198"/>
      <c r="N44" s="254"/>
      <c r="P44" s="214" t="str">
        <f t="shared" si="2"/>
        <v/>
      </c>
    </row>
    <row r="45" spans="2:16" ht="12.95" customHeight="1">
      <c r="F45" s="179"/>
      <c r="G45" s="198"/>
      <c r="N45" s="254"/>
      <c r="P45" s="214" t="str">
        <f t="shared" si="2"/>
        <v/>
      </c>
    </row>
    <row r="46" spans="2:16" ht="12.95" customHeight="1">
      <c r="F46" s="179"/>
      <c r="G46" s="198"/>
      <c r="N46" s="254"/>
      <c r="P46" s="214" t="str">
        <f t="shared" si="2"/>
        <v/>
      </c>
    </row>
    <row r="47" spans="2:16" ht="12.95" customHeight="1">
      <c r="F47" s="179"/>
      <c r="G47" s="198"/>
      <c r="N47" s="254"/>
      <c r="P47" s="214" t="str">
        <f t="shared" si="2"/>
        <v/>
      </c>
    </row>
    <row r="48" spans="2:16" ht="12.95" customHeight="1">
      <c r="F48" s="179"/>
      <c r="G48" s="198"/>
      <c r="N48" s="254"/>
      <c r="P48" s="214" t="str">
        <f t="shared" si="2"/>
        <v/>
      </c>
    </row>
    <row r="49" spans="6:16" ht="12.95" customHeight="1">
      <c r="F49" s="179"/>
      <c r="G49" s="198"/>
      <c r="N49" s="254"/>
      <c r="P49" s="214" t="str">
        <f t="shared" si="2"/>
        <v/>
      </c>
    </row>
    <row r="50" spans="6:16" ht="12.95" customHeight="1">
      <c r="F50" s="179"/>
      <c r="G50" s="198"/>
      <c r="N50" s="254"/>
      <c r="P50" s="214" t="str">
        <f t="shared" si="2"/>
        <v/>
      </c>
    </row>
    <row r="51" spans="6:16" ht="12.95" customHeight="1">
      <c r="F51" s="179"/>
      <c r="G51" s="198"/>
      <c r="N51" s="254"/>
      <c r="P51" s="214" t="str">
        <f t="shared" si="2"/>
        <v/>
      </c>
    </row>
    <row r="52" spans="6:16" ht="12.95" customHeight="1">
      <c r="F52" s="179"/>
      <c r="G52" s="198"/>
      <c r="N52" s="254"/>
      <c r="P52" s="214" t="str">
        <f t="shared" si="2"/>
        <v/>
      </c>
    </row>
    <row r="53" spans="6:16" ht="12.95" customHeight="1">
      <c r="F53" s="179"/>
      <c r="G53" s="198"/>
      <c r="N53" s="254"/>
      <c r="P53" s="214" t="str">
        <f t="shared" si="2"/>
        <v/>
      </c>
    </row>
    <row r="54" spans="6:16" ht="12.95" customHeight="1">
      <c r="F54" s="179"/>
      <c r="G54" s="198"/>
      <c r="N54" s="254"/>
    </row>
    <row r="55" spans="6:16" ht="12.95" customHeight="1">
      <c r="F55" s="179"/>
      <c r="G55" s="198"/>
      <c r="N55" s="254"/>
    </row>
    <row r="56" spans="6:16" ht="12.95" customHeight="1">
      <c r="F56" s="179"/>
      <c r="G56" s="198"/>
      <c r="N56" s="254"/>
    </row>
    <row r="57" spans="6:16" ht="12.95" customHeight="1">
      <c r="F57" s="179"/>
      <c r="G57" s="198"/>
      <c r="N57" s="254"/>
    </row>
    <row r="58" spans="6:16" ht="12.95" customHeight="1">
      <c r="F58" s="179"/>
      <c r="G58" s="198"/>
      <c r="N58" s="254"/>
    </row>
    <row r="59" spans="6:16" ht="12.95" customHeight="1">
      <c r="F59" s="179"/>
      <c r="G59" s="198"/>
      <c r="N59" s="254"/>
    </row>
    <row r="60" spans="6:16" ht="17.100000000000001" customHeight="1">
      <c r="F60" s="179"/>
      <c r="G60" s="198"/>
      <c r="N60" s="254"/>
    </row>
    <row r="61" spans="6:16" ht="14.25">
      <c r="F61" s="179"/>
      <c r="G61" s="198"/>
      <c r="N61" s="254"/>
    </row>
    <row r="62" spans="6:16" ht="14.25">
      <c r="F62" s="179"/>
      <c r="G62" s="198"/>
      <c r="N62" s="254"/>
    </row>
    <row r="63" spans="6:16" ht="14.25">
      <c r="F63" s="179"/>
      <c r="G63" s="198"/>
      <c r="N63" s="254"/>
    </row>
    <row r="64" spans="6:16" ht="14.25">
      <c r="F64" s="179"/>
      <c r="G64" s="198"/>
      <c r="N64" s="254"/>
    </row>
    <row r="65" spans="6:14" ht="14.25">
      <c r="F65" s="179"/>
      <c r="G65" s="198"/>
      <c r="N65" s="254"/>
    </row>
    <row r="66" spans="6:14" ht="14.25">
      <c r="F66" s="179"/>
      <c r="G66" s="198"/>
      <c r="N66" s="254"/>
    </row>
    <row r="67" spans="6:14" ht="14.25">
      <c r="F67" s="179"/>
      <c r="G67" s="198"/>
      <c r="N67" s="254"/>
    </row>
    <row r="68" spans="6:14" ht="14.25">
      <c r="F68" s="179"/>
      <c r="G68" s="198"/>
      <c r="N68" s="254"/>
    </row>
    <row r="69" spans="6:14" ht="14.25">
      <c r="F69" s="179"/>
      <c r="G69" s="198"/>
      <c r="N69" s="254"/>
    </row>
    <row r="70" spans="6:14" ht="14.25">
      <c r="F70" s="179"/>
      <c r="G70" s="198"/>
      <c r="N70" s="254"/>
    </row>
    <row r="71" spans="6:14" ht="14.25">
      <c r="F71" s="179"/>
      <c r="G71" s="198"/>
      <c r="N71" s="254"/>
    </row>
    <row r="72" spans="6:14" ht="14.25">
      <c r="F72" s="179"/>
      <c r="G72" s="198"/>
      <c r="N72" s="254"/>
    </row>
    <row r="73" spans="6:14" ht="14.25">
      <c r="F73" s="179"/>
      <c r="G73" s="198"/>
      <c r="N73" s="254"/>
    </row>
    <row r="74" spans="6:14" ht="14.25">
      <c r="F74" s="179"/>
      <c r="G74" s="179"/>
      <c r="N74" s="254"/>
    </row>
    <row r="75" spans="6:14" ht="14.25">
      <c r="F75" s="179"/>
      <c r="G75" s="179"/>
      <c r="N75" s="254"/>
    </row>
    <row r="76" spans="6:14" ht="14.25">
      <c r="F76" s="179"/>
      <c r="G76" s="179"/>
      <c r="N76" s="254"/>
    </row>
    <row r="77" spans="6:14" ht="14.25">
      <c r="F77" s="179"/>
      <c r="G77" s="179"/>
      <c r="N77" s="254"/>
    </row>
    <row r="78" spans="6:14" ht="14.25">
      <c r="F78" s="179"/>
      <c r="G78" s="179"/>
      <c r="N78" s="254"/>
    </row>
    <row r="79" spans="6:14" ht="14.25">
      <c r="F79" s="179"/>
      <c r="G79" s="179"/>
      <c r="N79" s="254"/>
    </row>
    <row r="80" spans="6:14" ht="14.25">
      <c r="F80" s="179"/>
      <c r="G80" s="179"/>
      <c r="N80" s="254"/>
    </row>
    <row r="81" spans="6:14" ht="14.25">
      <c r="F81" s="179"/>
      <c r="G81" s="179"/>
      <c r="N81" s="254"/>
    </row>
    <row r="82" spans="6:14" ht="14.25">
      <c r="F82" s="179"/>
      <c r="G82" s="179"/>
      <c r="N82" s="254"/>
    </row>
    <row r="83" spans="6:14" ht="14.25">
      <c r="F83" s="179"/>
      <c r="G83" s="179"/>
      <c r="N83" s="254"/>
    </row>
    <row r="84" spans="6:14" ht="14.25">
      <c r="F84" s="179"/>
      <c r="G84" s="179"/>
      <c r="N84" s="254"/>
    </row>
    <row r="85" spans="6:14" ht="14.25">
      <c r="F85" s="179"/>
      <c r="G85" s="179"/>
      <c r="N85" s="254"/>
    </row>
    <row r="86" spans="6:14" ht="14.25">
      <c r="F86" s="179"/>
      <c r="G86" s="179"/>
      <c r="N86" s="254"/>
    </row>
    <row r="87" spans="6:14" ht="14.25">
      <c r="F87" s="179"/>
      <c r="G87" s="179"/>
      <c r="N87" s="254"/>
    </row>
    <row r="88" spans="6:14" ht="14.25">
      <c r="F88" s="179"/>
      <c r="G88" s="179"/>
      <c r="N88" s="254"/>
    </row>
    <row r="89" spans="6:14" ht="14.25">
      <c r="F89" s="179"/>
      <c r="G89" s="179"/>
      <c r="N89" s="254"/>
    </row>
    <row r="90" spans="6:14" ht="14.25">
      <c r="F90" s="179"/>
      <c r="G90" s="179"/>
      <c r="N90" s="254"/>
    </row>
    <row r="91" spans="6:14">
      <c r="G91" s="179"/>
    </row>
    <row r="92" spans="6:14">
      <c r="G92" s="179"/>
    </row>
    <row r="93" spans="6:14">
      <c r="G93" s="179"/>
    </row>
    <row r="94" spans="6:14">
      <c r="G94" s="179"/>
    </row>
    <row r="95" spans="6:14">
      <c r="G95" s="179"/>
    </row>
    <row r="96" spans="6:14">
      <c r="G96" s="179"/>
    </row>
  </sheetData>
  <mergeCells count="15">
    <mergeCell ref="P4:P5"/>
    <mergeCell ref="B2:P2"/>
    <mergeCell ref="K4:K5"/>
    <mergeCell ref="J4:J5"/>
    <mergeCell ref="L4:N4"/>
    <mergeCell ref="O4:O5"/>
    <mergeCell ref="H3:I3"/>
    <mergeCell ref="B4:B5"/>
    <mergeCell ref="C4:C5"/>
    <mergeCell ref="D4:D5"/>
    <mergeCell ref="E4:E5"/>
    <mergeCell ref="F4:F5"/>
    <mergeCell ref="G4:G5"/>
    <mergeCell ref="H4:H5"/>
    <mergeCell ref="I4:I5"/>
  </mergeCells>
  <pageMargins left="0.78740157480314965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18"/>
  <dimension ref="A1:R101"/>
  <sheetViews>
    <sheetView topLeftCell="A2" zoomScaleNormal="100" workbookViewId="0">
      <selection activeCell="N42" sqref="N42"/>
    </sheetView>
  </sheetViews>
  <sheetFormatPr defaultColWidth="9.140625" defaultRowHeight="12.75"/>
  <cols>
    <col min="1" max="1" width="4.42578125" style="161" customWidth="1"/>
    <col min="2" max="2" width="4.7109375" style="9" customWidth="1"/>
    <col min="3" max="3" width="5.140625" style="9" customWidth="1"/>
    <col min="4" max="4" width="5" style="9" customWidth="1"/>
    <col min="5" max="5" width="5" style="161" customWidth="1"/>
    <col min="6" max="6" width="8.7109375" style="18" customWidth="1"/>
    <col min="7" max="7" width="8.7109375" style="166" customWidth="1"/>
    <col min="8" max="8" width="50.7109375" style="9" customWidth="1"/>
    <col min="9" max="10" width="14.7109375" style="51" customWidth="1"/>
    <col min="11" max="11" width="12.5703125" style="51" customWidth="1"/>
    <col min="12" max="13" width="14.7109375" style="51" customWidth="1"/>
    <col min="14" max="14" width="15.7109375" style="51" customWidth="1"/>
    <col min="15" max="16" width="7.7109375" style="214" customWidth="1"/>
    <col min="17" max="16384" width="9.140625" style="9"/>
  </cols>
  <sheetData>
    <row r="1" spans="1:18" ht="13.5" thickBot="1"/>
    <row r="2" spans="1:18" s="244" customFormat="1" ht="20.100000000000001" customHeight="1" thickTop="1" thickBot="1">
      <c r="B2" s="1034" t="s">
        <v>631</v>
      </c>
      <c r="C2" s="1035"/>
      <c r="D2" s="1035"/>
      <c r="E2" s="1035"/>
      <c r="F2" s="1035"/>
      <c r="G2" s="1035"/>
      <c r="H2" s="1035"/>
      <c r="I2" s="1035"/>
      <c r="J2" s="1070"/>
      <c r="K2" s="1070"/>
      <c r="L2" s="1070"/>
      <c r="M2" s="1070"/>
      <c r="N2" s="1070"/>
      <c r="O2" s="1070"/>
      <c r="P2" s="1036"/>
      <c r="R2" s="403"/>
    </row>
    <row r="3" spans="1:18" s="1" customFormat="1" ht="8.1" customHeight="1" thickTop="1" thickBot="1">
      <c r="A3" s="158"/>
      <c r="E3" s="158"/>
      <c r="F3" s="2"/>
      <c r="G3" s="159"/>
      <c r="H3" s="1039"/>
      <c r="I3" s="1039"/>
      <c r="J3" s="139"/>
      <c r="K3" s="721"/>
      <c r="L3" s="74"/>
      <c r="M3" s="74"/>
      <c r="N3" s="74"/>
      <c r="O3" s="208"/>
      <c r="P3" s="208"/>
    </row>
    <row r="4" spans="1:18" s="1" customFormat="1" ht="39" customHeight="1">
      <c r="A4" s="158"/>
      <c r="B4" s="1043" t="s">
        <v>76</v>
      </c>
      <c r="C4" s="1045" t="s">
        <v>77</v>
      </c>
      <c r="D4" s="1047" t="s">
        <v>102</v>
      </c>
      <c r="E4" s="1062" t="s">
        <v>692</v>
      </c>
      <c r="F4" s="1058" t="s">
        <v>466</v>
      </c>
      <c r="G4" s="1048" t="s">
        <v>493</v>
      </c>
      <c r="H4" s="1050" t="s">
        <v>78</v>
      </c>
      <c r="I4" s="1059" t="s">
        <v>901</v>
      </c>
      <c r="J4" s="1068" t="s">
        <v>813</v>
      </c>
      <c r="K4" s="1037" t="s">
        <v>906</v>
      </c>
      <c r="L4" s="1040" t="s">
        <v>905</v>
      </c>
      <c r="M4" s="1041"/>
      <c r="N4" s="1042"/>
      <c r="O4" s="1054" t="s">
        <v>945</v>
      </c>
      <c r="P4" s="1032" t="s">
        <v>946</v>
      </c>
      <c r="R4" s="61"/>
    </row>
    <row r="5" spans="1:18" s="158" customFormat="1" ht="27" customHeight="1">
      <c r="B5" s="1044"/>
      <c r="C5" s="1046"/>
      <c r="D5" s="1046"/>
      <c r="E5" s="1049"/>
      <c r="F5" s="1051"/>
      <c r="G5" s="1049"/>
      <c r="H5" s="1051"/>
      <c r="I5" s="1051"/>
      <c r="J5" s="1051"/>
      <c r="K5" s="1038"/>
      <c r="L5" s="373" t="s">
        <v>526</v>
      </c>
      <c r="M5" s="242" t="s">
        <v>527</v>
      </c>
      <c r="N5" s="764" t="s">
        <v>319</v>
      </c>
      <c r="O5" s="1055"/>
      <c r="P5" s="1033"/>
    </row>
    <row r="6" spans="1:18" s="2" customFormat="1" ht="12.95" customHeight="1">
      <c r="A6" s="159"/>
      <c r="B6" s="328">
        <v>1</v>
      </c>
      <c r="C6" s="195">
        <v>2</v>
      </c>
      <c r="D6" s="195">
        <v>3</v>
      </c>
      <c r="E6" s="195">
        <v>4</v>
      </c>
      <c r="F6" s="195">
        <v>5</v>
      </c>
      <c r="G6" s="195">
        <v>6</v>
      </c>
      <c r="H6" s="195">
        <v>7</v>
      </c>
      <c r="I6" s="195">
        <v>8</v>
      </c>
      <c r="J6" s="195">
        <v>9</v>
      </c>
      <c r="K6" s="188">
        <v>10</v>
      </c>
      <c r="L6" s="328">
        <v>11</v>
      </c>
      <c r="M6" s="195">
        <v>12</v>
      </c>
      <c r="N6" s="810" t="s">
        <v>694</v>
      </c>
      <c r="O6" s="929" t="s">
        <v>814</v>
      </c>
      <c r="P6" s="930" t="s">
        <v>944</v>
      </c>
    </row>
    <row r="7" spans="1:18" s="2" customFormat="1" ht="12.95" customHeight="1">
      <c r="A7" s="159"/>
      <c r="B7" s="6" t="s">
        <v>121</v>
      </c>
      <c r="C7" s="7" t="s">
        <v>79</v>
      </c>
      <c r="D7" s="7" t="s">
        <v>80</v>
      </c>
      <c r="E7" s="415" t="s">
        <v>699</v>
      </c>
      <c r="F7" s="5"/>
      <c r="G7" s="160"/>
      <c r="H7" s="5"/>
      <c r="I7" s="70"/>
      <c r="J7" s="70"/>
      <c r="K7" s="726"/>
      <c r="L7" s="391"/>
      <c r="M7" s="70"/>
      <c r="N7" s="832"/>
      <c r="O7" s="951"/>
      <c r="P7" s="952"/>
    </row>
    <row r="8" spans="1:18" s="1" customFormat="1" ht="12.95" customHeight="1">
      <c r="A8" s="158"/>
      <c r="B8" s="12"/>
      <c r="C8" s="8"/>
      <c r="D8" s="8"/>
      <c r="E8" s="8"/>
      <c r="F8" s="176">
        <v>611000</v>
      </c>
      <c r="G8" s="195"/>
      <c r="H8" s="25" t="s">
        <v>140</v>
      </c>
      <c r="I8" s="236">
        <f t="shared" ref="I8:J8" si="0">SUM(I9:I11)</f>
        <v>296020</v>
      </c>
      <c r="J8" s="236">
        <f t="shared" si="0"/>
        <v>296020</v>
      </c>
      <c r="K8" s="226">
        <f>SUM(K9:K11)</f>
        <v>260032</v>
      </c>
      <c r="L8" s="482">
        <f t="shared" ref="L8:N8" si="1">SUM(L9:L11)</f>
        <v>294009</v>
      </c>
      <c r="M8" s="236">
        <f t="shared" si="1"/>
        <v>0</v>
      </c>
      <c r="N8" s="812">
        <f t="shared" si="1"/>
        <v>294009</v>
      </c>
      <c r="O8" s="953">
        <f t="shared" ref="O8:O40" si="2">IF(J8=0,"",N8/J8*100)</f>
        <v>99.320654009864199</v>
      </c>
      <c r="P8" s="954">
        <f>IF(K8=0,"",N8/K8*100)</f>
        <v>113.06646874230863</v>
      </c>
    </row>
    <row r="9" spans="1:18" ht="12.95" customHeight="1">
      <c r="B9" s="10"/>
      <c r="C9" s="11"/>
      <c r="D9" s="11"/>
      <c r="E9" s="163"/>
      <c r="F9" s="177">
        <v>611100</v>
      </c>
      <c r="G9" s="196"/>
      <c r="H9" s="428" t="s">
        <v>161</v>
      </c>
      <c r="I9" s="237">
        <f>237950+500-1760</f>
        <v>236690</v>
      </c>
      <c r="J9" s="237">
        <f>237950+500-1760</f>
        <v>236690</v>
      </c>
      <c r="K9" s="224">
        <v>219259</v>
      </c>
      <c r="L9" s="360">
        <v>235415</v>
      </c>
      <c r="M9" s="237">
        <v>0</v>
      </c>
      <c r="N9" s="813">
        <f>SUM(L9:M9)</f>
        <v>235415</v>
      </c>
      <c r="O9" s="955">
        <f t="shared" si="2"/>
        <v>99.461320714859099</v>
      </c>
      <c r="P9" s="956">
        <f t="shared" ref="P9:P53" si="3">IF(K9=0,"",N9/K9*100)</f>
        <v>107.3684546586457</v>
      </c>
    </row>
    <row r="10" spans="1:18" ht="12.95" customHeight="1">
      <c r="B10" s="10"/>
      <c r="C10" s="11"/>
      <c r="D10" s="11"/>
      <c r="E10" s="163"/>
      <c r="F10" s="177">
        <v>611200</v>
      </c>
      <c r="G10" s="196"/>
      <c r="H10" s="24" t="s">
        <v>162</v>
      </c>
      <c r="I10" s="237">
        <f>52550+300-220-300+10*700</f>
        <v>59330</v>
      </c>
      <c r="J10" s="237">
        <f>52550+300-220-300+10*700</f>
        <v>59330</v>
      </c>
      <c r="K10" s="224">
        <v>40773</v>
      </c>
      <c r="L10" s="360">
        <v>58594</v>
      </c>
      <c r="M10" s="237">
        <v>0</v>
      </c>
      <c r="N10" s="813">
        <f t="shared" ref="N10:N11" si="4">SUM(L10:M10)</f>
        <v>58594</v>
      </c>
      <c r="O10" s="955">
        <f t="shared" si="2"/>
        <v>98.75948086971178</v>
      </c>
      <c r="P10" s="956">
        <f t="shared" si="3"/>
        <v>143.70784587839992</v>
      </c>
      <c r="Q10" s="401"/>
    </row>
    <row r="11" spans="1:18" ht="12.95" customHeight="1">
      <c r="B11" s="10"/>
      <c r="C11" s="11"/>
      <c r="D11" s="11"/>
      <c r="E11" s="163"/>
      <c r="F11" s="177">
        <v>611200</v>
      </c>
      <c r="G11" s="196"/>
      <c r="H11" s="435" t="s">
        <v>434</v>
      </c>
      <c r="I11" s="235">
        <v>0</v>
      </c>
      <c r="J11" s="235">
        <v>0</v>
      </c>
      <c r="K11" s="225">
        <v>0</v>
      </c>
      <c r="L11" s="357">
        <v>0</v>
      </c>
      <c r="M11" s="235">
        <v>0</v>
      </c>
      <c r="N11" s="813">
        <f t="shared" si="4"/>
        <v>0</v>
      </c>
      <c r="O11" s="955" t="str">
        <f t="shared" si="2"/>
        <v/>
      </c>
      <c r="P11" s="956" t="str">
        <f t="shared" si="3"/>
        <v/>
      </c>
      <c r="R11" s="50"/>
    </row>
    <row r="12" spans="1:18" ht="12.95" customHeight="1">
      <c r="B12" s="10"/>
      <c r="C12" s="11"/>
      <c r="D12" s="11"/>
      <c r="E12" s="163"/>
      <c r="F12" s="177"/>
      <c r="G12" s="196"/>
      <c r="H12" s="24"/>
      <c r="I12" s="236"/>
      <c r="J12" s="236"/>
      <c r="K12" s="226"/>
      <c r="L12" s="482"/>
      <c r="M12" s="236"/>
      <c r="N12" s="812"/>
      <c r="O12" s="955" t="str">
        <f t="shared" si="2"/>
        <v/>
      </c>
      <c r="P12" s="956" t="str">
        <f t="shared" si="3"/>
        <v/>
      </c>
    </row>
    <row r="13" spans="1:18" s="1" customFormat="1" ht="12.95" customHeight="1">
      <c r="A13" s="158"/>
      <c r="B13" s="12"/>
      <c r="C13" s="8"/>
      <c r="D13" s="8"/>
      <c r="E13" s="8"/>
      <c r="F13" s="176">
        <v>612000</v>
      </c>
      <c r="G13" s="195"/>
      <c r="H13" s="25" t="s">
        <v>139</v>
      </c>
      <c r="I13" s="236">
        <f t="shared" ref="I13:J13" si="5">I14</f>
        <v>25180</v>
      </c>
      <c r="J13" s="236">
        <f t="shared" si="5"/>
        <v>25180</v>
      </c>
      <c r="K13" s="226">
        <f>K14</f>
        <v>23022</v>
      </c>
      <c r="L13" s="482">
        <f t="shared" ref="L13:N13" si="6">L14</f>
        <v>24884</v>
      </c>
      <c r="M13" s="236">
        <f t="shared" si="6"/>
        <v>0</v>
      </c>
      <c r="N13" s="812">
        <f t="shared" si="6"/>
        <v>24884</v>
      </c>
      <c r="O13" s="953">
        <f t="shared" si="2"/>
        <v>98.824463860206507</v>
      </c>
      <c r="P13" s="954">
        <f t="shared" si="3"/>
        <v>108.0879159065242</v>
      </c>
    </row>
    <row r="14" spans="1:18" ht="12.95" customHeight="1">
      <c r="B14" s="10"/>
      <c r="C14" s="11"/>
      <c r="D14" s="11"/>
      <c r="E14" s="163"/>
      <c r="F14" s="177">
        <v>612100</v>
      </c>
      <c r="G14" s="196"/>
      <c r="H14" s="430" t="s">
        <v>81</v>
      </c>
      <c r="I14" s="237">
        <f>25380-200</f>
        <v>25180</v>
      </c>
      <c r="J14" s="237">
        <f>25380-200</f>
        <v>25180</v>
      </c>
      <c r="K14" s="224">
        <v>23022</v>
      </c>
      <c r="L14" s="360">
        <v>24884</v>
      </c>
      <c r="M14" s="237">
        <v>0</v>
      </c>
      <c r="N14" s="813">
        <f>SUM(L14:M14)</f>
        <v>24884</v>
      </c>
      <c r="O14" s="955">
        <f t="shared" si="2"/>
        <v>98.824463860206507</v>
      </c>
      <c r="P14" s="956">
        <f t="shared" si="3"/>
        <v>108.0879159065242</v>
      </c>
    </row>
    <row r="15" spans="1:18" ht="12.95" customHeight="1">
      <c r="B15" s="10"/>
      <c r="C15" s="11"/>
      <c r="D15" s="11"/>
      <c r="E15" s="163"/>
      <c r="F15" s="177"/>
      <c r="G15" s="196"/>
      <c r="H15" s="24"/>
      <c r="I15" s="232"/>
      <c r="J15" s="232"/>
      <c r="K15" s="223"/>
      <c r="L15" s="484"/>
      <c r="M15" s="232"/>
      <c r="N15" s="774"/>
      <c r="O15" s="955" t="str">
        <f t="shared" si="2"/>
        <v/>
      </c>
      <c r="P15" s="956" t="str">
        <f t="shared" si="3"/>
        <v/>
      </c>
    </row>
    <row r="16" spans="1:18" s="1" customFormat="1" ht="12.95" customHeight="1">
      <c r="A16" s="158"/>
      <c r="B16" s="12"/>
      <c r="C16" s="8"/>
      <c r="D16" s="8"/>
      <c r="E16" s="8"/>
      <c r="F16" s="176">
        <v>613000</v>
      </c>
      <c r="G16" s="195"/>
      <c r="H16" s="25" t="s">
        <v>141</v>
      </c>
      <c r="I16" s="236">
        <f t="shared" ref="I16:J16" si="7">SUM(I17:I27)</f>
        <v>63950</v>
      </c>
      <c r="J16" s="236">
        <f t="shared" si="7"/>
        <v>63950</v>
      </c>
      <c r="K16" s="226">
        <f>SUM(K17:K27)</f>
        <v>64469</v>
      </c>
      <c r="L16" s="483">
        <f t="shared" ref="L16:N16" si="8">SUM(L17:L27)</f>
        <v>30762</v>
      </c>
      <c r="M16" s="234">
        <f t="shared" si="8"/>
        <v>0</v>
      </c>
      <c r="N16" s="774">
        <f t="shared" si="8"/>
        <v>30762</v>
      </c>
      <c r="O16" s="953">
        <f t="shared" si="2"/>
        <v>48.103205629397969</v>
      </c>
      <c r="P16" s="954">
        <f t="shared" si="3"/>
        <v>47.715956506227798</v>
      </c>
    </row>
    <row r="17" spans="1:18" ht="12.95" customHeight="1">
      <c r="B17" s="10"/>
      <c r="C17" s="11"/>
      <c r="D17" s="11"/>
      <c r="E17" s="163"/>
      <c r="F17" s="177">
        <v>613100</v>
      </c>
      <c r="G17" s="196"/>
      <c r="H17" s="24" t="s">
        <v>82</v>
      </c>
      <c r="I17" s="237">
        <v>3000</v>
      </c>
      <c r="J17" s="237">
        <v>3000</v>
      </c>
      <c r="K17" s="224">
        <v>285</v>
      </c>
      <c r="L17" s="359">
        <v>1864</v>
      </c>
      <c r="M17" s="233">
        <v>0</v>
      </c>
      <c r="N17" s="813">
        <f t="shared" ref="N17:N27" si="9">SUM(L17:M17)</f>
        <v>1864</v>
      </c>
      <c r="O17" s="955">
        <f t="shared" si="2"/>
        <v>62.133333333333326</v>
      </c>
      <c r="P17" s="956">
        <f t="shared" si="3"/>
        <v>654.03508771929819</v>
      </c>
    </row>
    <row r="18" spans="1:18" ht="12.95" customHeight="1">
      <c r="B18" s="10"/>
      <c r="C18" s="11"/>
      <c r="D18" s="11"/>
      <c r="E18" s="163"/>
      <c r="F18" s="177">
        <v>613200</v>
      </c>
      <c r="G18" s="196"/>
      <c r="H18" s="24" t="s">
        <v>83</v>
      </c>
      <c r="I18" s="237">
        <v>0</v>
      </c>
      <c r="J18" s="237">
        <v>0</v>
      </c>
      <c r="K18" s="224">
        <v>0</v>
      </c>
      <c r="L18" s="359">
        <v>0</v>
      </c>
      <c r="M18" s="233">
        <v>0</v>
      </c>
      <c r="N18" s="813">
        <f t="shared" si="9"/>
        <v>0</v>
      </c>
      <c r="O18" s="955" t="str">
        <f t="shared" si="2"/>
        <v/>
      </c>
      <c r="P18" s="956" t="str">
        <f t="shared" si="3"/>
        <v/>
      </c>
    </row>
    <row r="19" spans="1:18" ht="12.95" customHeight="1">
      <c r="B19" s="10"/>
      <c r="C19" s="11"/>
      <c r="D19" s="11"/>
      <c r="E19" s="163"/>
      <c r="F19" s="177">
        <v>613300</v>
      </c>
      <c r="G19" s="196"/>
      <c r="H19" s="428" t="s">
        <v>163</v>
      </c>
      <c r="I19" s="237">
        <v>3250</v>
      </c>
      <c r="J19" s="237">
        <v>3250</v>
      </c>
      <c r="K19" s="224">
        <v>2973</v>
      </c>
      <c r="L19" s="359">
        <v>2853</v>
      </c>
      <c r="M19" s="233">
        <v>0</v>
      </c>
      <c r="N19" s="813">
        <f t="shared" si="9"/>
        <v>2853</v>
      </c>
      <c r="O19" s="955">
        <f t="shared" si="2"/>
        <v>87.784615384615378</v>
      </c>
      <c r="P19" s="956">
        <f t="shared" si="3"/>
        <v>95.963673057517667</v>
      </c>
    </row>
    <row r="20" spans="1:18" ht="12.95" customHeight="1">
      <c r="B20" s="10"/>
      <c r="C20" s="11"/>
      <c r="D20" s="11"/>
      <c r="E20" s="163"/>
      <c r="F20" s="177">
        <v>613400</v>
      </c>
      <c r="G20" s="196"/>
      <c r="H20" s="24" t="s">
        <v>142</v>
      </c>
      <c r="I20" s="237">
        <v>100</v>
      </c>
      <c r="J20" s="237">
        <v>100</v>
      </c>
      <c r="K20" s="224">
        <v>0</v>
      </c>
      <c r="L20" s="359">
        <v>0</v>
      </c>
      <c r="M20" s="233">
        <v>0</v>
      </c>
      <c r="N20" s="813">
        <f t="shared" si="9"/>
        <v>0</v>
      </c>
      <c r="O20" s="955">
        <f t="shared" si="2"/>
        <v>0</v>
      </c>
      <c r="P20" s="956" t="str">
        <f t="shared" si="3"/>
        <v/>
      </c>
    </row>
    <row r="21" spans="1:18" ht="12.95" customHeight="1">
      <c r="B21" s="10"/>
      <c r="C21" s="11"/>
      <c r="D21" s="11"/>
      <c r="E21" s="163"/>
      <c r="F21" s="177">
        <v>613500</v>
      </c>
      <c r="G21" s="196"/>
      <c r="H21" s="24" t="s">
        <v>84</v>
      </c>
      <c r="I21" s="237">
        <v>0</v>
      </c>
      <c r="J21" s="237">
        <v>0</v>
      </c>
      <c r="K21" s="224">
        <v>0</v>
      </c>
      <c r="L21" s="359">
        <v>0</v>
      </c>
      <c r="M21" s="233">
        <v>0</v>
      </c>
      <c r="N21" s="813">
        <f t="shared" si="9"/>
        <v>0</v>
      </c>
      <c r="O21" s="955" t="str">
        <f t="shared" si="2"/>
        <v/>
      </c>
      <c r="P21" s="956" t="str">
        <f t="shared" si="3"/>
        <v/>
      </c>
    </row>
    <row r="22" spans="1:18" ht="12.95" customHeight="1">
      <c r="B22" s="10"/>
      <c r="C22" s="11"/>
      <c r="D22" s="11"/>
      <c r="E22" s="163"/>
      <c r="F22" s="177">
        <v>613600</v>
      </c>
      <c r="G22" s="196"/>
      <c r="H22" s="428" t="s">
        <v>164</v>
      </c>
      <c r="I22" s="237">
        <v>0</v>
      </c>
      <c r="J22" s="237">
        <v>0</v>
      </c>
      <c r="K22" s="224">
        <v>0</v>
      </c>
      <c r="L22" s="359">
        <v>0</v>
      </c>
      <c r="M22" s="233">
        <v>0</v>
      </c>
      <c r="N22" s="813">
        <f t="shared" si="9"/>
        <v>0</v>
      </c>
      <c r="O22" s="955" t="str">
        <f t="shared" si="2"/>
        <v/>
      </c>
      <c r="P22" s="956" t="str">
        <f t="shared" si="3"/>
        <v/>
      </c>
    </row>
    <row r="23" spans="1:18" ht="12.95" customHeight="1">
      <c r="B23" s="10"/>
      <c r="C23" s="11"/>
      <c r="D23" s="11"/>
      <c r="E23" s="163"/>
      <c r="F23" s="177">
        <v>613700</v>
      </c>
      <c r="G23" s="196"/>
      <c r="H23" s="24" t="s">
        <v>85</v>
      </c>
      <c r="I23" s="237">
        <v>500</v>
      </c>
      <c r="J23" s="237">
        <v>500</v>
      </c>
      <c r="K23" s="224">
        <v>273</v>
      </c>
      <c r="L23" s="359">
        <v>244</v>
      </c>
      <c r="M23" s="233">
        <v>0</v>
      </c>
      <c r="N23" s="813">
        <f t="shared" si="9"/>
        <v>244</v>
      </c>
      <c r="O23" s="955">
        <f t="shared" si="2"/>
        <v>48.8</v>
      </c>
      <c r="P23" s="956">
        <f t="shared" si="3"/>
        <v>89.377289377289387</v>
      </c>
    </row>
    <row r="24" spans="1:18" ht="12.95" customHeight="1">
      <c r="B24" s="10"/>
      <c r="C24" s="11"/>
      <c r="D24" s="11"/>
      <c r="E24" s="163"/>
      <c r="F24" s="177">
        <v>613800</v>
      </c>
      <c r="G24" s="196"/>
      <c r="H24" s="24" t="s">
        <v>143</v>
      </c>
      <c r="I24" s="237">
        <v>0</v>
      </c>
      <c r="J24" s="237">
        <v>0</v>
      </c>
      <c r="K24" s="224">
        <v>0</v>
      </c>
      <c r="L24" s="359">
        <v>0</v>
      </c>
      <c r="M24" s="233">
        <v>0</v>
      </c>
      <c r="N24" s="813">
        <f t="shared" si="9"/>
        <v>0</v>
      </c>
      <c r="O24" s="955" t="str">
        <f t="shared" si="2"/>
        <v/>
      </c>
      <c r="P24" s="956" t="str">
        <f t="shared" si="3"/>
        <v/>
      </c>
      <c r="R24" s="45"/>
    </row>
    <row r="25" spans="1:18" ht="12.95" customHeight="1">
      <c r="B25" s="10"/>
      <c r="C25" s="11"/>
      <c r="D25" s="11"/>
      <c r="E25" s="163"/>
      <c r="F25" s="177">
        <v>613900</v>
      </c>
      <c r="G25" s="196"/>
      <c r="H25" s="24" t="s">
        <v>144</v>
      </c>
      <c r="I25" s="237">
        <v>27000</v>
      </c>
      <c r="J25" s="237">
        <v>27000</v>
      </c>
      <c r="K25" s="224">
        <v>23322</v>
      </c>
      <c r="L25" s="360">
        <v>25801</v>
      </c>
      <c r="M25" s="237">
        <v>0</v>
      </c>
      <c r="N25" s="813">
        <f t="shared" si="9"/>
        <v>25801</v>
      </c>
      <c r="O25" s="955">
        <f t="shared" si="2"/>
        <v>95.55925925925925</v>
      </c>
      <c r="P25" s="956">
        <f t="shared" si="3"/>
        <v>110.6294485893148</v>
      </c>
      <c r="R25" s="45"/>
    </row>
    <row r="26" spans="1:18" ht="12.95" customHeight="1">
      <c r="B26" s="10"/>
      <c r="C26" s="11"/>
      <c r="D26" s="11"/>
      <c r="E26" s="163"/>
      <c r="F26" s="177">
        <v>613900</v>
      </c>
      <c r="G26" s="196"/>
      <c r="H26" s="435" t="s">
        <v>435</v>
      </c>
      <c r="I26" s="237">
        <v>0</v>
      </c>
      <c r="J26" s="237">
        <v>0</v>
      </c>
      <c r="K26" s="224">
        <v>0</v>
      </c>
      <c r="L26" s="359">
        <v>0</v>
      </c>
      <c r="M26" s="233">
        <v>0</v>
      </c>
      <c r="N26" s="813">
        <f t="shared" si="9"/>
        <v>0</v>
      </c>
      <c r="O26" s="955" t="str">
        <f t="shared" si="2"/>
        <v/>
      </c>
      <c r="P26" s="956" t="str">
        <f t="shared" si="3"/>
        <v/>
      </c>
    </row>
    <row r="27" spans="1:18" ht="12.95" customHeight="1">
      <c r="B27" s="10"/>
      <c r="C27" s="11"/>
      <c r="D27" s="11"/>
      <c r="E27" s="163"/>
      <c r="F27" s="177">
        <v>613900</v>
      </c>
      <c r="G27" s="196" t="s">
        <v>502</v>
      </c>
      <c r="H27" s="428" t="s">
        <v>441</v>
      </c>
      <c r="I27" s="237">
        <v>30100</v>
      </c>
      <c r="J27" s="237">
        <v>30100</v>
      </c>
      <c r="K27" s="224">
        <v>37616</v>
      </c>
      <c r="L27" s="360">
        <v>0</v>
      </c>
      <c r="M27" s="237">
        <v>0</v>
      </c>
      <c r="N27" s="813">
        <f t="shared" si="9"/>
        <v>0</v>
      </c>
      <c r="O27" s="955">
        <f t="shared" si="2"/>
        <v>0</v>
      </c>
      <c r="P27" s="956">
        <f t="shared" si="3"/>
        <v>0</v>
      </c>
    </row>
    <row r="28" spans="1:18" ht="12.95" customHeight="1">
      <c r="B28" s="10"/>
      <c r="C28" s="11"/>
      <c r="D28" s="11"/>
      <c r="E28" s="163"/>
      <c r="F28" s="177"/>
      <c r="G28" s="196"/>
      <c r="H28" s="24"/>
      <c r="I28" s="236"/>
      <c r="J28" s="236"/>
      <c r="K28" s="226"/>
      <c r="L28" s="484"/>
      <c r="M28" s="232"/>
      <c r="N28" s="774"/>
      <c r="O28" s="955" t="str">
        <f t="shared" si="2"/>
        <v/>
      </c>
      <c r="P28" s="956" t="str">
        <f t="shared" si="3"/>
        <v/>
      </c>
    </row>
    <row r="29" spans="1:18" s="1" customFormat="1" ht="12.95" customHeight="1">
      <c r="A29" s="158"/>
      <c r="B29" s="12"/>
      <c r="C29" s="8"/>
      <c r="D29" s="8"/>
      <c r="E29" s="8"/>
      <c r="F29" s="176">
        <v>614000</v>
      </c>
      <c r="G29" s="195"/>
      <c r="H29" s="25" t="s">
        <v>165</v>
      </c>
      <c r="I29" s="236">
        <f t="shared" ref="I29:J29" si="10">SUM(I30:I31)</f>
        <v>1100000</v>
      </c>
      <c r="J29" s="236">
        <f t="shared" si="10"/>
        <v>1010000</v>
      </c>
      <c r="K29" s="226">
        <f t="shared" ref="K29:N29" si="11">SUM(K30:K31)</f>
        <v>1029688</v>
      </c>
      <c r="L29" s="484">
        <f t="shared" si="11"/>
        <v>264325</v>
      </c>
      <c r="M29" s="232">
        <f t="shared" si="11"/>
        <v>736446</v>
      </c>
      <c r="N29" s="774">
        <f t="shared" si="11"/>
        <v>1000771</v>
      </c>
      <c r="O29" s="953">
        <f t="shared" si="2"/>
        <v>99.086237623762372</v>
      </c>
      <c r="P29" s="954">
        <f t="shared" si="3"/>
        <v>97.19167359433149</v>
      </c>
    </row>
    <row r="30" spans="1:18" s="158" customFormat="1" ht="12.95" customHeight="1">
      <c r="B30" s="164"/>
      <c r="C30" s="8"/>
      <c r="D30" s="42"/>
      <c r="E30" s="42"/>
      <c r="F30" s="182">
        <v>614100</v>
      </c>
      <c r="G30" s="201" t="s">
        <v>610</v>
      </c>
      <c r="H30" s="452" t="s">
        <v>173</v>
      </c>
      <c r="I30" s="237">
        <v>50000</v>
      </c>
      <c r="J30" s="237">
        <v>50000</v>
      </c>
      <c r="K30" s="224">
        <v>0</v>
      </c>
      <c r="L30" s="360">
        <v>50000</v>
      </c>
      <c r="M30" s="237">
        <v>0</v>
      </c>
      <c r="N30" s="813">
        <f>SUM(L30:M30)</f>
        <v>50000</v>
      </c>
      <c r="O30" s="955">
        <f t="shared" si="2"/>
        <v>100</v>
      </c>
      <c r="P30" s="956" t="str">
        <f t="shared" si="3"/>
        <v/>
      </c>
    </row>
    <row r="31" spans="1:18" s="1" customFormat="1" ht="12.95" customHeight="1">
      <c r="A31" s="158"/>
      <c r="B31" s="12"/>
      <c r="C31" s="8"/>
      <c r="D31" s="42"/>
      <c r="E31" s="42"/>
      <c r="F31" s="182">
        <v>614500</v>
      </c>
      <c r="G31" s="201" t="s">
        <v>503</v>
      </c>
      <c r="H31" s="546" t="s">
        <v>484</v>
      </c>
      <c r="I31" s="237">
        <v>1050000</v>
      </c>
      <c r="J31" s="237">
        <v>960000</v>
      </c>
      <c r="K31" s="224">
        <v>1029688</v>
      </c>
      <c r="L31" s="360">
        <f>950771-736446</f>
        <v>214325</v>
      </c>
      <c r="M31" s="237">
        <f>736446</f>
        <v>736446</v>
      </c>
      <c r="N31" s="813">
        <f>SUM(L31:M31)</f>
        <v>950771</v>
      </c>
      <c r="O31" s="955">
        <f t="shared" si="2"/>
        <v>99.038645833333334</v>
      </c>
      <c r="P31" s="956">
        <f t="shared" si="3"/>
        <v>92.335833767121684</v>
      </c>
    </row>
    <row r="32" spans="1:18" s="161" customFormat="1" ht="12.95" customHeight="1">
      <c r="B32" s="162"/>
      <c r="C32" s="163"/>
      <c r="D32" s="163"/>
      <c r="E32" s="163"/>
      <c r="F32" s="177"/>
      <c r="G32" s="196"/>
      <c r="H32" s="24"/>
      <c r="I32" s="236"/>
      <c r="J32" s="236"/>
      <c r="K32" s="226"/>
      <c r="L32" s="484"/>
      <c r="M32" s="236"/>
      <c r="N32" s="774"/>
      <c r="O32" s="955" t="str">
        <f t="shared" si="2"/>
        <v/>
      </c>
      <c r="P32" s="956" t="str">
        <f t="shared" si="3"/>
        <v/>
      </c>
    </row>
    <row r="33" spans="1:16" s="158" customFormat="1" ht="12.95" customHeight="1">
      <c r="B33" s="164"/>
      <c r="C33" s="8"/>
      <c r="D33" s="8"/>
      <c r="E33" s="8"/>
      <c r="F33" s="176">
        <v>615000</v>
      </c>
      <c r="G33" s="195"/>
      <c r="H33" s="25" t="s">
        <v>87</v>
      </c>
      <c r="I33" s="236">
        <f t="shared" ref="I33:J33" si="12">SUM(I34:I35)</f>
        <v>1021990</v>
      </c>
      <c r="J33" s="236">
        <f t="shared" si="12"/>
        <v>1021990</v>
      </c>
      <c r="K33" s="226">
        <f t="shared" ref="K33" si="13">SUM(K34:K35)</f>
        <v>575313</v>
      </c>
      <c r="L33" s="484">
        <f t="shared" ref="L33:N33" si="14">SUM(L34:L35)</f>
        <v>0</v>
      </c>
      <c r="M33" s="236">
        <f t="shared" si="14"/>
        <v>1021990</v>
      </c>
      <c r="N33" s="774">
        <f t="shared" si="14"/>
        <v>1021990</v>
      </c>
      <c r="O33" s="953">
        <f t="shared" si="2"/>
        <v>100</v>
      </c>
      <c r="P33" s="954">
        <f t="shared" si="3"/>
        <v>177.64069297929996</v>
      </c>
    </row>
    <row r="34" spans="1:16" s="158" customFormat="1" ht="27" customHeight="1">
      <c r="B34" s="164"/>
      <c r="C34" s="8"/>
      <c r="D34" s="42"/>
      <c r="E34" s="42"/>
      <c r="F34" s="182">
        <v>615100</v>
      </c>
      <c r="G34" s="201" t="s">
        <v>829</v>
      </c>
      <c r="H34" s="866" t="s">
        <v>858</v>
      </c>
      <c r="I34" s="237">
        <v>400000</v>
      </c>
      <c r="J34" s="237">
        <v>400000</v>
      </c>
      <c r="K34" s="224">
        <v>0</v>
      </c>
      <c r="L34" s="360">
        <v>0</v>
      </c>
      <c r="M34" s="237">
        <v>400000</v>
      </c>
      <c r="N34" s="813">
        <f>SUM(L34:M34)</f>
        <v>400000</v>
      </c>
      <c r="O34" s="955">
        <f t="shared" ref="O34" si="15">IF(J34=0,"",N34/J34*100)</f>
        <v>100</v>
      </c>
      <c r="P34" s="956" t="str">
        <f t="shared" si="3"/>
        <v/>
      </c>
    </row>
    <row r="35" spans="1:16" s="158" customFormat="1" ht="12.95" customHeight="1">
      <c r="B35" s="164"/>
      <c r="C35" s="8"/>
      <c r="D35" s="42"/>
      <c r="E35" s="42"/>
      <c r="F35" s="182">
        <v>615500</v>
      </c>
      <c r="G35" s="201" t="s">
        <v>611</v>
      </c>
      <c r="H35" s="546" t="s">
        <v>659</v>
      </c>
      <c r="I35" s="237">
        <v>621990</v>
      </c>
      <c r="J35" s="237">
        <v>621990</v>
      </c>
      <c r="K35" s="224">
        <v>575313</v>
      </c>
      <c r="L35" s="360">
        <v>0</v>
      </c>
      <c r="M35" s="237">
        <v>621990</v>
      </c>
      <c r="N35" s="813">
        <f>SUM(L35:M35)</f>
        <v>621990</v>
      </c>
      <c r="O35" s="955">
        <f t="shared" si="2"/>
        <v>100</v>
      </c>
      <c r="P35" s="956">
        <f t="shared" si="3"/>
        <v>108.11332266088198</v>
      </c>
    </row>
    <row r="36" spans="1:16" ht="12.95" customHeight="1">
      <c r="B36" s="10"/>
      <c r="C36" s="11"/>
      <c r="D36" s="11"/>
      <c r="E36" s="163"/>
      <c r="F36" s="177"/>
      <c r="G36" s="196"/>
      <c r="H36" s="428"/>
      <c r="I36" s="237"/>
      <c r="J36" s="237"/>
      <c r="K36" s="224"/>
      <c r="L36" s="360"/>
      <c r="M36" s="237"/>
      <c r="N36" s="776"/>
      <c r="O36" s="955" t="str">
        <f t="shared" si="2"/>
        <v/>
      </c>
      <c r="P36" s="956" t="str">
        <f t="shared" si="3"/>
        <v/>
      </c>
    </row>
    <row r="37" spans="1:16" ht="12.95" customHeight="1">
      <c r="B37" s="12"/>
      <c r="C37" s="8"/>
      <c r="D37" s="8"/>
      <c r="E37" s="8"/>
      <c r="F37" s="176">
        <v>821000</v>
      </c>
      <c r="G37" s="195"/>
      <c r="H37" s="25" t="s">
        <v>88</v>
      </c>
      <c r="I37" s="236">
        <f t="shared" ref="I37:N37" si="16">SUM(I38:I39)</f>
        <v>4000</v>
      </c>
      <c r="J37" s="236">
        <f t="shared" si="16"/>
        <v>4000</v>
      </c>
      <c r="K37" s="226">
        <f t="shared" si="16"/>
        <v>3416</v>
      </c>
      <c r="L37" s="482">
        <f t="shared" si="16"/>
        <v>3999</v>
      </c>
      <c r="M37" s="236">
        <f t="shared" si="16"/>
        <v>0</v>
      </c>
      <c r="N37" s="774">
        <f t="shared" si="16"/>
        <v>3999</v>
      </c>
      <c r="O37" s="953">
        <f t="shared" si="2"/>
        <v>99.975000000000009</v>
      </c>
      <c r="P37" s="954">
        <f t="shared" si="3"/>
        <v>117.06674473067915</v>
      </c>
    </row>
    <row r="38" spans="1:16" ht="12.95" customHeight="1">
      <c r="B38" s="10"/>
      <c r="C38" s="11"/>
      <c r="D38" s="11"/>
      <c r="E38" s="163"/>
      <c r="F38" s="177">
        <v>821200</v>
      </c>
      <c r="G38" s="196"/>
      <c r="H38" s="24" t="s">
        <v>89</v>
      </c>
      <c r="I38" s="237">
        <v>0</v>
      </c>
      <c r="J38" s="237">
        <v>0</v>
      </c>
      <c r="K38" s="224">
        <v>0</v>
      </c>
      <c r="L38" s="360">
        <v>0</v>
      </c>
      <c r="M38" s="237">
        <v>0</v>
      </c>
      <c r="N38" s="813">
        <f t="shared" ref="N38:N39" si="17">SUM(L38:M38)</f>
        <v>0</v>
      </c>
      <c r="O38" s="955" t="str">
        <f t="shared" si="2"/>
        <v/>
      </c>
      <c r="P38" s="956" t="str">
        <f t="shared" si="3"/>
        <v/>
      </c>
    </row>
    <row r="39" spans="1:16" ht="12.95" customHeight="1">
      <c r="B39" s="10"/>
      <c r="C39" s="11"/>
      <c r="D39" s="11"/>
      <c r="E39" s="163"/>
      <c r="F39" s="177">
        <v>821300</v>
      </c>
      <c r="G39" s="196"/>
      <c r="H39" s="24" t="s">
        <v>90</v>
      </c>
      <c r="I39" s="237">
        <v>4000</v>
      </c>
      <c r="J39" s="237">
        <v>4000</v>
      </c>
      <c r="K39" s="224">
        <v>3416</v>
      </c>
      <c r="L39" s="360">
        <v>3999</v>
      </c>
      <c r="M39" s="237">
        <v>0</v>
      </c>
      <c r="N39" s="813">
        <f t="shared" si="17"/>
        <v>3999</v>
      </c>
      <c r="O39" s="955">
        <f t="shared" si="2"/>
        <v>99.975000000000009</v>
      </c>
      <c r="P39" s="956">
        <f t="shared" si="3"/>
        <v>117.06674473067915</v>
      </c>
    </row>
    <row r="40" spans="1:16" ht="12.95" customHeight="1">
      <c r="B40" s="10"/>
      <c r="C40" s="11"/>
      <c r="D40" s="11"/>
      <c r="E40" s="163"/>
      <c r="F40" s="177"/>
      <c r="G40" s="196"/>
      <c r="H40" s="24"/>
      <c r="I40" s="233"/>
      <c r="J40" s="233"/>
      <c r="K40" s="222"/>
      <c r="L40" s="359"/>
      <c r="M40" s="233"/>
      <c r="N40" s="776"/>
      <c r="O40" s="955" t="str">
        <f t="shared" si="2"/>
        <v/>
      </c>
      <c r="P40" s="956" t="str">
        <f t="shared" si="3"/>
        <v/>
      </c>
    </row>
    <row r="41" spans="1:16" ht="12.95" customHeight="1">
      <c r="B41" s="12"/>
      <c r="C41" s="8"/>
      <c r="D41" s="8"/>
      <c r="E41" s="8"/>
      <c r="F41" s="176"/>
      <c r="G41" s="195"/>
      <c r="H41" s="25" t="s">
        <v>91</v>
      </c>
      <c r="I41" s="377" t="s">
        <v>844</v>
      </c>
      <c r="J41" s="377" t="s">
        <v>844</v>
      </c>
      <c r="K41" s="486">
        <v>10</v>
      </c>
      <c r="L41" s="485" t="s">
        <v>931</v>
      </c>
      <c r="M41" s="236"/>
      <c r="N41" s="767" t="s">
        <v>931</v>
      </c>
      <c r="O41" s="955"/>
      <c r="P41" s="956"/>
    </row>
    <row r="42" spans="1:16" ht="12.95" customHeight="1">
      <c r="B42" s="12"/>
      <c r="C42" s="8"/>
      <c r="D42" s="8"/>
      <c r="E42" s="8"/>
      <c r="F42" s="176"/>
      <c r="G42" s="195"/>
      <c r="H42" s="8" t="s">
        <v>105</v>
      </c>
      <c r="I42" s="15">
        <f t="shared" ref="I42:N42" si="18">I8+I13+I16+I29+I33+I37</f>
        <v>2511140</v>
      </c>
      <c r="J42" s="15">
        <f t="shared" si="18"/>
        <v>2421140</v>
      </c>
      <c r="K42" s="153">
        <f t="shared" ref="K42" si="19">K8+K13+K16+K29+K33+K37</f>
        <v>1955940</v>
      </c>
      <c r="L42" s="370">
        <f t="shared" si="18"/>
        <v>617979</v>
      </c>
      <c r="M42" s="165">
        <f t="shared" si="18"/>
        <v>1758436</v>
      </c>
      <c r="N42" s="774">
        <f t="shared" si="18"/>
        <v>2376415</v>
      </c>
      <c r="O42" s="953">
        <f>IF(J42=0,"",N42/J42*100)</f>
        <v>98.15272970584104</v>
      </c>
      <c r="P42" s="954">
        <f t="shared" si="3"/>
        <v>121.49733631910999</v>
      </c>
    </row>
    <row r="43" spans="1:16" ht="12.95" customHeight="1">
      <c r="B43" s="12"/>
      <c r="C43" s="8"/>
      <c r="D43" s="8"/>
      <c r="E43" s="8"/>
      <c r="F43" s="176"/>
      <c r="G43" s="195"/>
      <c r="H43" s="8" t="s">
        <v>92</v>
      </c>
      <c r="I43" s="15">
        <f t="shared" ref="I43:K44" si="20">I42</f>
        <v>2511140</v>
      </c>
      <c r="J43" s="15">
        <f t="shared" si="20"/>
        <v>2421140</v>
      </c>
      <c r="K43" s="153">
        <f t="shared" si="20"/>
        <v>1955940</v>
      </c>
      <c r="L43" s="370">
        <f t="shared" ref="L43:N44" si="21">L42</f>
        <v>617979</v>
      </c>
      <c r="M43" s="165">
        <f t="shared" si="21"/>
        <v>1758436</v>
      </c>
      <c r="N43" s="774">
        <f t="shared" si="21"/>
        <v>2376415</v>
      </c>
      <c r="O43" s="953">
        <f>IF(J43=0,"",N43/J43*100)</f>
        <v>98.15272970584104</v>
      </c>
      <c r="P43" s="954">
        <f t="shared" si="3"/>
        <v>121.49733631910999</v>
      </c>
    </row>
    <row r="44" spans="1:16" s="1" customFormat="1" ht="12.95" customHeight="1">
      <c r="A44" s="158"/>
      <c r="B44" s="12"/>
      <c r="C44" s="8"/>
      <c r="D44" s="8"/>
      <c r="E44" s="8"/>
      <c r="F44" s="176"/>
      <c r="G44" s="195"/>
      <c r="H44" s="8" t="s">
        <v>93</v>
      </c>
      <c r="I44" s="15">
        <f t="shared" si="20"/>
        <v>2511140</v>
      </c>
      <c r="J44" s="15">
        <f t="shared" si="20"/>
        <v>2421140</v>
      </c>
      <c r="K44" s="153">
        <f t="shared" si="20"/>
        <v>1955940</v>
      </c>
      <c r="L44" s="370">
        <f t="shared" si="21"/>
        <v>617979</v>
      </c>
      <c r="M44" s="165">
        <f t="shared" si="21"/>
        <v>1758436</v>
      </c>
      <c r="N44" s="774">
        <f t="shared" si="21"/>
        <v>2376415</v>
      </c>
      <c r="O44" s="953">
        <f>IF(J44=0,"",N44/J44*100)</f>
        <v>98.15272970584104</v>
      </c>
      <c r="P44" s="954">
        <f t="shared" si="3"/>
        <v>121.49733631910999</v>
      </c>
    </row>
    <row r="45" spans="1:16" s="1" customFormat="1" ht="12.95" customHeight="1" thickBot="1">
      <c r="A45" s="158"/>
      <c r="B45" s="16"/>
      <c r="C45" s="17"/>
      <c r="D45" s="17"/>
      <c r="E45" s="17"/>
      <c r="F45" s="178"/>
      <c r="G45" s="197"/>
      <c r="H45" s="17"/>
      <c r="I45" s="31"/>
      <c r="J45" s="31"/>
      <c r="K45" s="725"/>
      <c r="L45" s="371"/>
      <c r="M45" s="31"/>
      <c r="N45" s="814"/>
      <c r="O45" s="957"/>
      <c r="P45" s="958" t="str">
        <f t="shared" si="3"/>
        <v/>
      </c>
    </row>
    <row r="46" spans="1:16" s="1" customFormat="1" ht="12.95" customHeight="1">
      <c r="A46" s="158"/>
      <c r="B46" s="9"/>
      <c r="C46" s="9"/>
      <c r="D46" s="9"/>
      <c r="E46" s="161"/>
      <c r="F46" s="179"/>
      <c r="G46" s="198"/>
      <c r="H46" s="45"/>
      <c r="I46" s="51"/>
      <c r="J46" s="51"/>
      <c r="K46" s="51"/>
      <c r="L46" s="864"/>
      <c r="M46" s="51"/>
      <c r="N46" s="254"/>
      <c r="O46" s="214"/>
      <c r="P46" s="214" t="str">
        <f t="shared" si="3"/>
        <v/>
      </c>
    </row>
    <row r="47" spans="1:16" s="1" customFormat="1" ht="12.95" customHeight="1">
      <c r="A47" s="158"/>
      <c r="B47" s="45"/>
      <c r="C47" s="9"/>
      <c r="D47" s="9"/>
      <c r="E47" s="161"/>
      <c r="F47" s="179"/>
      <c r="G47" s="198"/>
      <c r="H47" s="9"/>
      <c r="I47" s="51"/>
      <c r="J47" s="51"/>
      <c r="K47" s="51"/>
      <c r="L47" s="51"/>
      <c r="M47" s="51"/>
      <c r="N47" s="254"/>
      <c r="O47" s="214"/>
      <c r="P47" s="214" t="str">
        <f t="shared" si="3"/>
        <v/>
      </c>
    </row>
    <row r="48" spans="1:16" ht="12.95" customHeight="1">
      <c r="B48" s="45"/>
      <c r="F48" s="179"/>
      <c r="G48" s="198"/>
      <c r="N48" s="254"/>
      <c r="P48" s="214" t="str">
        <f t="shared" si="3"/>
        <v/>
      </c>
    </row>
    <row r="49" spans="2:16" ht="12.95" customHeight="1">
      <c r="B49" s="45"/>
      <c r="F49" s="179"/>
      <c r="G49" s="198"/>
      <c r="N49" s="254"/>
      <c r="P49" s="214" t="str">
        <f t="shared" si="3"/>
        <v/>
      </c>
    </row>
    <row r="50" spans="2:16" ht="12.95" customHeight="1">
      <c r="B50" s="45"/>
      <c r="F50" s="179"/>
      <c r="G50" s="198"/>
      <c r="N50" s="254"/>
      <c r="P50" s="214" t="str">
        <f t="shared" si="3"/>
        <v/>
      </c>
    </row>
    <row r="51" spans="2:16" ht="12.95" customHeight="1">
      <c r="F51" s="179"/>
      <c r="G51" s="198"/>
      <c r="N51" s="254"/>
      <c r="P51" s="214" t="str">
        <f t="shared" si="3"/>
        <v/>
      </c>
    </row>
    <row r="52" spans="2:16" ht="12.95" customHeight="1">
      <c r="F52" s="179"/>
      <c r="G52" s="198"/>
      <c r="N52" s="254"/>
      <c r="P52" s="214" t="str">
        <f t="shared" si="3"/>
        <v/>
      </c>
    </row>
    <row r="53" spans="2:16" ht="12.95" customHeight="1">
      <c r="F53" s="179"/>
      <c r="G53" s="198"/>
      <c r="N53" s="254"/>
      <c r="P53" s="214" t="str">
        <f t="shared" si="3"/>
        <v/>
      </c>
    </row>
    <row r="54" spans="2:16" ht="12.95" customHeight="1">
      <c r="F54" s="179"/>
      <c r="G54" s="198"/>
      <c r="N54" s="254"/>
    </row>
    <row r="55" spans="2:16" ht="12.95" customHeight="1">
      <c r="F55" s="179"/>
      <c r="G55" s="198"/>
      <c r="N55" s="254"/>
    </row>
    <row r="56" spans="2:16" ht="12.95" customHeight="1">
      <c r="F56" s="179"/>
      <c r="G56" s="198"/>
      <c r="N56" s="254"/>
    </row>
    <row r="57" spans="2:16" ht="12.95" customHeight="1">
      <c r="F57" s="179"/>
      <c r="G57" s="198"/>
      <c r="N57" s="254"/>
    </row>
    <row r="58" spans="2:16" ht="12.95" customHeight="1">
      <c r="F58" s="179"/>
      <c r="G58" s="198"/>
      <c r="N58" s="254"/>
    </row>
    <row r="59" spans="2:16" ht="12.95" customHeight="1">
      <c r="F59" s="179"/>
      <c r="G59" s="198"/>
      <c r="N59" s="254"/>
    </row>
    <row r="60" spans="2:16" ht="12.95" customHeight="1">
      <c r="F60" s="179"/>
      <c r="G60" s="198"/>
      <c r="N60" s="254"/>
    </row>
    <row r="61" spans="2:16" ht="12.95" customHeight="1">
      <c r="F61" s="179"/>
      <c r="G61" s="198"/>
      <c r="N61" s="254"/>
    </row>
    <row r="62" spans="2:16" ht="12.95" customHeight="1">
      <c r="F62" s="179"/>
      <c r="G62" s="198"/>
      <c r="N62" s="254"/>
    </row>
    <row r="63" spans="2:16" ht="12.95" customHeight="1">
      <c r="F63" s="179"/>
      <c r="G63" s="198"/>
      <c r="N63" s="254"/>
    </row>
    <row r="64" spans="2:16" ht="12.95" customHeight="1">
      <c r="F64" s="179"/>
      <c r="G64" s="198"/>
      <c r="N64" s="254"/>
    </row>
    <row r="65" spans="6:14" ht="17.100000000000001" customHeight="1">
      <c r="F65" s="179"/>
      <c r="G65" s="198"/>
      <c r="N65" s="254"/>
    </row>
    <row r="66" spans="6:14" ht="14.25">
      <c r="F66" s="179"/>
      <c r="G66" s="198"/>
      <c r="N66" s="254"/>
    </row>
    <row r="67" spans="6:14" ht="14.25">
      <c r="F67" s="179"/>
      <c r="G67" s="198"/>
      <c r="N67" s="254"/>
    </row>
    <row r="68" spans="6:14" ht="14.25">
      <c r="F68" s="179"/>
      <c r="G68" s="198"/>
      <c r="N68" s="254"/>
    </row>
    <row r="69" spans="6:14" ht="14.25">
      <c r="F69" s="179"/>
      <c r="G69" s="198"/>
      <c r="N69" s="254"/>
    </row>
    <row r="70" spans="6:14" ht="14.25">
      <c r="F70" s="179"/>
      <c r="G70" s="198"/>
      <c r="N70" s="254"/>
    </row>
    <row r="71" spans="6:14" ht="14.25">
      <c r="F71" s="179"/>
      <c r="G71" s="198"/>
      <c r="N71" s="254"/>
    </row>
    <row r="72" spans="6:14" ht="14.25">
      <c r="F72" s="179"/>
      <c r="G72" s="198"/>
      <c r="N72" s="254"/>
    </row>
    <row r="73" spans="6:14" ht="14.25">
      <c r="F73" s="179"/>
      <c r="G73" s="198"/>
      <c r="N73" s="254"/>
    </row>
    <row r="74" spans="6:14" ht="14.25">
      <c r="F74" s="179"/>
      <c r="G74" s="198"/>
      <c r="N74" s="254"/>
    </row>
    <row r="75" spans="6:14" ht="14.25">
      <c r="F75" s="179"/>
      <c r="G75" s="198"/>
      <c r="N75" s="254"/>
    </row>
    <row r="76" spans="6:14" ht="14.25">
      <c r="F76" s="179"/>
      <c r="G76" s="198"/>
      <c r="N76" s="254"/>
    </row>
    <row r="77" spans="6:14" ht="14.25">
      <c r="F77" s="179"/>
      <c r="G77" s="198"/>
      <c r="N77" s="254"/>
    </row>
    <row r="78" spans="6:14" ht="14.25">
      <c r="F78" s="179"/>
      <c r="G78" s="198"/>
      <c r="N78" s="254"/>
    </row>
    <row r="79" spans="6:14" ht="14.25">
      <c r="F79" s="179"/>
      <c r="G79" s="179"/>
      <c r="N79" s="254"/>
    </row>
    <row r="80" spans="6:14" ht="14.25">
      <c r="F80" s="179"/>
      <c r="G80" s="179"/>
      <c r="N80" s="254"/>
    </row>
    <row r="81" spans="6:14" ht="14.25">
      <c r="F81" s="179"/>
      <c r="G81" s="179"/>
      <c r="N81" s="254"/>
    </row>
    <row r="82" spans="6:14" ht="14.25">
      <c r="F82" s="179"/>
      <c r="G82" s="179"/>
      <c r="N82" s="254"/>
    </row>
    <row r="83" spans="6:14" ht="14.25">
      <c r="F83" s="179"/>
      <c r="G83" s="179"/>
      <c r="N83" s="254"/>
    </row>
    <row r="84" spans="6:14" ht="14.25">
      <c r="F84" s="179"/>
      <c r="G84" s="179"/>
      <c r="N84" s="254"/>
    </row>
    <row r="85" spans="6:14" ht="14.25">
      <c r="F85" s="179"/>
      <c r="G85" s="179"/>
      <c r="N85" s="254"/>
    </row>
    <row r="86" spans="6:14" ht="14.25">
      <c r="F86" s="179"/>
      <c r="G86" s="179"/>
      <c r="N86" s="254"/>
    </row>
    <row r="87" spans="6:14" ht="14.25">
      <c r="F87" s="179"/>
      <c r="G87" s="179"/>
      <c r="N87" s="254"/>
    </row>
    <row r="88" spans="6:14" ht="14.25">
      <c r="F88" s="179"/>
      <c r="G88" s="179"/>
      <c r="N88" s="254"/>
    </row>
    <row r="89" spans="6:14" ht="14.25">
      <c r="F89" s="179"/>
      <c r="G89" s="179"/>
      <c r="N89" s="254"/>
    </row>
    <row r="90" spans="6:14" ht="14.25">
      <c r="F90" s="179"/>
      <c r="G90" s="179"/>
      <c r="N90" s="254"/>
    </row>
    <row r="91" spans="6:14" ht="14.25">
      <c r="F91" s="179"/>
      <c r="G91" s="179"/>
      <c r="N91" s="254"/>
    </row>
    <row r="92" spans="6:14" ht="14.25">
      <c r="F92" s="179"/>
      <c r="G92" s="179"/>
      <c r="N92" s="254"/>
    </row>
    <row r="93" spans="6:14" ht="14.25">
      <c r="F93" s="179"/>
      <c r="G93" s="179"/>
      <c r="N93" s="254"/>
    </row>
    <row r="94" spans="6:14" ht="14.25">
      <c r="F94" s="179"/>
      <c r="G94" s="179"/>
      <c r="N94" s="254"/>
    </row>
    <row r="95" spans="6:14" ht="14.25">
      <c r="F95" s="179"/>
      <c r="G95" s="179"/>
      <c r="N95" s="254"/>
    </row>
    <row r="96" spans="6:14">
      <c r="G96" s="179"/>
    </row>
    <row r="97" spans="7:7">
      <c r="G97" s="179"/>
    </row>
    <row r="98" spans="7:7">
      <c r="G98" s="179"/>
    </row>
    <row r="99" spans="7:7">
      <c r="G99" s="179"/>
    </row>
    <row r="100" spans="7:7">
      <c r="G100" s="179"/>
    </row>
    <row r="101" spans="7:7">
      <c r="G101" s="179"/>
    </row>
  </sheetData>
  <mergeCells count="15">
    <mergeCell ref="P4:P5"/>
    <mergeCell ref="B2:P2"/>
    <mergeCell ref="K4:K5"/>
    <mergeCell ref="O4:O5"/>
    <mergeCell ref="H4:H5"/>
    <mergeCell ref="H3:I3"/>
    <mergeCell ref="L4:N4"/>
    <mergeCell ref="B4:B5"/>
    <mergeCell ref="C4:C5"/>
    <mergeCell ref="D4:D5"/>
    <mergeCell ref="G4:G5"/>
    <mergeCell ref="F4:F5"/>
    <mergeCell ref="I4:I5"/>
    <mergeCell ref="J4:J5"/>
    <mergeCell ref="E4:E5"/>
  </mergeCells>
  <phoneticPr fontId="2" type="noConversion"/>
  <pageMargins left="0.78740157480314965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19"/>
  <dimension ref="A1:T96"/>
  <sheetViews>
    <sheetView topLeftCell="A13" zoomScaleNormal="100" workbookViewId="0">
      <selection activeCell="N49" sqref="N49"/>
    </sheetView>
  </sheetViews>
  <sheetFormatPr defaultColWidth="9.140625" defaultRowHeight="12.75"/>
  <cols>
    <col min="1" max="1" width="4.42578125" style="161" customWidth="1"/>
    <col min="2" max="2" width="4.7109375" style="9" customWidth="1"/>
    <col min="3" max="3" width="5.140625" style="9" customWidth="1"/>
    <col min="4" max="4" width="5" style="9" customWidth="1"/>
    <col min="5" max="5" width="5" style="161" customWidth="1"/>
    <col min="6" max="6" width="8.7109375" style="18" customWidth="1"/>
    <col min="7" max="7" width="8.7109375" style="166" customWidth="1"/>
    <col min="8" max="8" width="50.7109375" style="9" customWidth="1"/>
    <col min="9" max="10" width="14.7109375" style="9" customWidth="1"/>
    <col min="11" max="11" width="12.5703125" style="161" customWidth="1"/>
    <col min="12" max="13" width="14.7109375" style="161" customWidth="1"/>
    <col min="14" max="14" width="15.7109375" style="9" customWidth="1"/>
    <col min="15" max="16" width="7.7109375" style="214" customWidth="1"/>
    <col min="17" max="17" width="11" style="9" bestFit="1" customWidth="1"/>
    <col min="18" max="16384" width="9.140625" style="9"/>
  </cols>
  <sheetData>
    <row r="1" spans="1:20" ht="13.5" thickBot="1"/>
    <row r="2" spans="1:20" s="79" customFormat="1" ht="20.100000000000001" customHeight="1" thickTop="1" thickBot="1">
      <c r="B2" s="1034" t="s">
        <v>632</v>
      </c>
      <c r="C2" s="1035"/>
      <c r="D2" s="1035"/>
      <c r="E2" s="1035"/>
      <c r="F2" s="1035"/>
      <c r="G2" s="1035"/>
      <c r="H2" s="1035"/>
      <c r="I2" s="1035"/>
      <c r="J2" s="1035"/>
      <c r="K2" s="1035"/>
      <c r="L2" s="1035"/>
      <c r="M2" s="1035"/>
      <c r="N2" s="1035"/>
      <c r="O2" s="1057"/>
      <c r="P2" s="1036"/>
      <c r="R2" s="244"/>
    </row>
    <row r="3" spans="1:20" s="1" customFormat="1" ht="8.1" customHeight="1" thickTop="1" thickBot="1">
      <c r="A3" s="158"/>
      <c r="E3" s="158"/>
      <c r="F3" s="2"/>
      <c r="G3" s="159"/>
      <c r="H3" s="1039"/>
      <c r="I3" s="1039"/>
      <c r="J3" s="139"/>
      <c r="K3" s="721"/>
      <c r="L3" s="238"/>
      <c r="M3" s="238"/>
      <c r="N3" s="238"/>
      <c r="O3" s="208"/>
      <c r="P3" s="208"/>
      <c r="Q3" s="239"/>
    </row>
    <row r="4" spans="1:20" s="1" customFormat="1" ht="39" customHeight="1">
      <c r="A4" s="158"/>
      <c r="B4" s="1043" t="s">
        <v>76</v>
      </c>
      <c r="C4" s="1045" t="s">
        <v>77</v>
      </c>
      <c r="D4" s="1047" t="s">
        <v>102</v>
      </c>
      <c r="E4" s="1062" t="s">
        <v>692</v>
      </c>
      <c r="F4" s="1058" t="s">
        <v>466</v>
      </c>
      <c r="G4" s="1048" t="s">
        <v>493</v>
      </c>
      <c r="H4" s="1050" t="s">
        <v>78</v>
      </c>
      <c r="I4" s="1059" t="s">
        <v>901</v>
      </c>
      <c r="J4" s="1060" t="s">
        <v>813</v>
      </c>
      <c r="K4" s="1037" t="s">
        <v>906</v>
      </c>
      <c r="L4" s="1040" t="s">
        <v>905</v>
      </c>
      <c r="M4" s="1041"/>
      <c r="N4" s="1042"/>
      <c r="O4" s="1054" t="s">
        <v>945</v>
      </c>
      <c r="P4" s="1032" t="s">
        <v>946</v>
      </c>
    </row>
    <row r="5" spans="1:20" s="158" customFormat="1" ht="27" customHeight="1">
      <c r="B5" s="1044"/>
      <c r="C5" s="1046"/>
      <c r="D5" s="1046"/>
      <c r="E5" s="1049"/>
      <c r="F5" s="1051"/>
      <c r="G5" s="1049"/>
      <c r="H5" s="1051"/>
      <c r="I5" s="1051"/>
      <c r="J5" s="1061"/>
      <c r="K5" s="1038"/>
      <c r="L5" s="373" t="s">
        <v>526</v>
      </c>
      <c r="M5" s="242" t="s">
        <v>527</v>
      </c>
      <c r="N5" s="764" t="s">
        <v>319</v>
      </c>
      <c r="O5" s="1055"/>
      <c r="P5" s="1033"/>
    </row>
    <row r="6" spans="1:20" s="2" customFormat="1" ht="12.95" customHeight="1">
      <c r="A6" s="159"/>
      <c r="B6" s="328">
        <v>1</v>
      </c>
      <c r="C6" s="195">
        <v>2</v>
      </c>
      <c r="D6" s="195">
        <v>3</v>
      </c>
      <c r="E6" s="195">
        <v>4</v>
      </c>
      <c r="F6" s="195">
        <v>5</v>
      </c>
      <c r="G6" s="195">
        <v>6</v>
      </c>
      <c r="H6" s="195">
        <v>7</v>
      </c>
      <c r="I6" s="195">
        <v>8</v>
      </c>
      <c r="J6" s="329">
        <v>9</v>
      </c>
      <c r="K6" s="502">
        <v>10</v>
      </c>
      <c r="L6" s="328">
        <v>11</v>
      </c>
      <c r="M6" s="195">
        <v>12</v>
      </c>
      <c r="N6" s="810" t="s">
        <v>694</v>
      </c>
      <c r="O6" s="929" t="s">
        <v>814</v>
      </c>
      <c r="P6" s="930" t="s">
        <v>944</v>
      </c>
    </row>
    <row r="7" spans="1:20" s="2" customFormat="1" ht="12.95" customHeight="1">
      <c r="A7" s="159"/>
      <c r="B7" s="6" t="s">
        <v>122</v>
      </c>
      <c r="C7" s="7" t="s">
        <v>79</v>
      </c>
      <c r="D7" s="7" t="s">
        <v>80</v>
      </c>
      <c r="E7" s="415" t="s">
        <v>700</v>
      </c>
      <c r="F7" s="5"/>
      <c r="G7" s="160"/>
      <c r="H7" s="5"/>
      <c r="I7" s="366"/>
      <c r="J7" s="366"/>
      <c r="K7" s="503"/>
      <c r="L7" s="4"/>
      <c r="M7" s="160"/>
      <c r="N7" s="811"/>
      <c r="O7" s="951"/>
      <c r="P7" s="952"/>
    </row>
    <row r="8" spans="1:20" s="2" customFormat="1" ht="12.95" customHeight="1">
      <c r="A8" s="159"/>
      <c r="B8" s="6"/>
      <c r="C8" s="7"/>
      <c r="D8" s="7"/>
      <c r="E8" s="7"/>
      <c r="F8" s="176">
        <v>600000</v>
      </c>
      <c r="G8" s="195"/>
      <c r="H8" s="426" t="s">
        <v>111</v>
      </c>
      <c r="I8" s="394">
        <f t="shared" ref="I8:N8" si="0">I9</f>
        <v>15000</v>
      </c>
      <c r="J8" s="394">
        <f t="shared" si="0"/>
        <v>15000</v>
      </c>
      <c r="K8" s="807">
        <f t="shared" si="0"/>
        <v>12000</v>
      </c>
      <c r="L8" s="498">
        <f t="shared" si="0"/>
        <v>15000</v>
      </c>
      <c r="M8" s="394">
        <f t="shared" si="0"/>
        <v>0</v>
      </c>
      <c r="N8" s="767">
        <f t="shared" si="0"/>
        <v>15000</v>
      </c>
      <c r="O8" s="953">
        <f t="shared" ref="O8:O48" si="1">IF(J8=0,"",N8/J8*100)</f>
        <v>100</v>
      </c>
      <c r="P8" s="954">
        <f>IF(K8=0,"",N8/K8*100)</f>
        <v>125</v>
      </c>
    </row>
    <row r="9" spans="1:20" s="2" customFormat="1" ht="12.95" customHeight="1">
      <c r="A9" s="159"/>
      <c r="B9" s="6"/>
      <c r="C9" s="7"/>
      <c r="D9" s="7"/>
      <c r="E9" s="7"/>
      <c r="F9" s="177">
        <v>600000</v>
      </c>
      <c r="G9" s="196"/>
      <c r="H9" s="427" t="s">
        <v>101</v>
      </c>
      <c r="I9" s="235">
        <v>15000</v>
      </c>
      <c r="J9" s="235">
        <v>15000</v>
      </c>
      <c r="K9" s="505">
        <v>12000</v>
      </c>
      <c r="L9" s="357">
        <v>15000</v>
      </c>
      <c r="M9" s="235">
        <v>0</v>
      </c>
      <c r="N9" s="776">
        <f>SUM(L9:M9)</f>
        <v>15000</v>
      </c>
      <c r="O9" s="955">
        <f t="shared" si="1"/>
        <v>100</v>
      </c>
      <c r="P9" s="956">
        <f t="shared" ref="P9:P53" si="2">IF(K9=0,"",N9/K9*100)</f>
        <v>125</v>
      </c>
    </row>
    <row r="10" spans="1:20" s="2" customFormat="1" ht="12.95" customHeight="1">
      <c r="A10" s="159"/>
      <c r="B10" s="6"/>
      <c r="C10" s="7"/>
      <c r="D10" s="7"/>
      <c r="E10" s="7"/>
      <c r="F10" s="176"/>
      <c r="G10" s="195"/>
      <c r="H10" s="366"/>
      <c r="I10" s="235"/>
      <c r="J10" s="235"/>
      <c r="K10" s="505"/>
      <c r="L10" s="357"/>
      <c r="M10" s="235"/>
      <c r="N10" s="776"/>
      <c r="O10" s="955" t="str">
        <f t="shared" si="1"/>
        <v/>
      </c>
      <c r="P10" s="956" t="str">
        <f t="shared" si="2"/>
        <v/>
      </c>
    </row>
    <row r="11" spans="1:20" s="1" customFormat="1" ht="12.95" customHeight="1">
      <c r="A11" s="158"/>
      <c r="B11" s="12"/>
      <c r="C11" s="8"/>
      <c r="D11" s="8"/>
      <c r="E11" s="8"/>
      <c r="F11" s="176">
        <v>611000</v>
      </c>
      <c r="G11" s="195"/>
      <c r="H11" s="25" t="s">
        <v>140</v>
      </c>
      <c r="I11" s="236">
        <f t="shared" ref="I11:N11" si="3">SUM(I12:I14)</f>
        <v>490760</v>
      </c>
      <c r="J11" s="236">
        <f t="shared" si="3"/>
        <v>490760</v>
      </c>
      <c r="K11" s="506">
        <f t="shared" si="3"/>
        <v>401649</v>
      </c>
      <c r="L11" s="482">
        <f t="shared" si="3"/>
        <v>476265</v>
      </c>
      <c r="M11" s="236">
        <f t="shared" si="3"/>
        <v>0</v>
      </c>
      <c r="N11" s="812">
        <f t="shared" si="3"/>
        <v>476265</v>
      </c>
      <c r="O11" s="953">
        <f t="shared" si="1"/>
        <v>97.046417800961777</v>
      </c>
      <c r="P11" s="954">
        <f t="shared" si="2"/>
        <v>118.57741460827738</v>
      </c>
    </row>
    <row r="12" spans="1:20" ht="12.95" customHeight="1">
      <c r="B12" s="10"/>
      <c r="C12" s="11"/>
      <c r="D12" s="11"/>
      <c r="E12" s="163"/>
      <c r="F12" s="177">
        <v>611100</v>
      </c>
      <c r="G12" s="196"/>
      <c r="H12" s="428" t="s">
        <v>161</v>
      </c>
      <c r="I12" s="237">
        <f>399300+800+420+1800</f>
        <v>402320</v>
      </c>
      <c r="J12" s="237">
        <f>399300+800+420+1800</f>
        <v>402320</v>
      </c>
      <c r="K12" s="507">
        <v>337698</v>
      </c>
      <c r="L12" s="360">
        <v>388590</v>
      </c>
      <c r="M12" s="237">
        <v>0</v>
      </c>
      <c r="N12" s="776">
        <f t="shared" ref="N12:N14" si="4">SUM(L12:M12)</f>
        <v>388590</v>
      </c>
      <c r="O12" s="955">
        <f t="shared" si="1"/>
        <v>96.587293696559954</v>
      </c>
      <c r="P12" s="956">
        <f t="shared" si="2"/>
        <v>115.07026988611126</v>
      </c>
    </row>
    <row r="13" spans="1:20" ht="12.95" customHeight="1">
      <c r="B13" s="10"/>
      <c r="C13" s="11"/>
      <c r="D13" s="11"/>
      <c r="E13" s="163"/>
      <c r="F13" s="177">
        <v>611200</v>
      </c>
      <c r="G13" s="196"/>
      <c r="H13" s="24" t="s">
        <v>162</v>
      </c>
      <c r="I13" s="235">
        <f>70550+5690+300+17*700</f>
        <v>88440</v>
      </c>
      <c r="J13" s="235">
        <f>70550+5690+300+17*700</f>
        <v>88440</v>
      </c>
      <c r="K13" s="505">
        <v>63951</v>
      </c>
      <c r="L13" s="357">
        <v>87675</v>
      </c>
      <c r="M13" s="235">
        <v>0</v>
      </c>
      <c r="N13" s="776">
        <f t="shared" si="4"/>
        <v>87675</v>
      </c>
      <c r="O13" s="955">
        <f t="shared" si="1"/>
        <v>99.135006784260511</v>
      </c>
      <c r="P13" s="956">
        <f t="shared" si="2"/>
        <v>137.09715250738847</v>
      </c>
      <c r="T13" s="401"/>
    </row>
    <row r="14" spans="1:20" ht="12.95" customHeight="1">
      <c r="B14" s="10"/>
      <c r="C14" s="11"/>
      <c r="D14" s="11"/>
      <c r="E14" s="163"/>
      <c r="F14" s="177">
        <v>611200</v>
      </c>
      <c r="G14" s="196"/>
      <c r="H14" s="435" t="s">
        <v>434</v>
      </c>
      <c r="I14" s="235">
        <v>0</v>
      </c>
      <c r="J14" s="235">
        <v>0</v>
      </c>
      <c r="K14" s="505">
        <v>0</v>
      </c>
      <c r="L14" s="357">
        <v>0</v>
      </c>
      <c r="M14" s="235">
        <v>0</v>
      </c>
      <c r="N14" s="776">
        <f t="shared" si="4"/>
        <v>0</v>
      </c>
      <c r="O14" s="955" t="str">
        <f t="shared" si="1"/>
        <v/>
      </c>
      <c r="P14" s="956" t="str">
        <f t="shared" si="2"/>
        <v/>
      </c>
    </row>
    <row r="15" spans="1:20" ht="12.95" customHeight="1">
      <c r="B15" s="10"/>
      <c r="C15" s="11"/>
      <c r="D15" s="11"/>
      <c r="E15" s="163"/>
      <c r="F15" s="177"/>
      <c r="G15" s="196"/>
      <c r="H15" s="428"/>
      <c r="I15" s="235"/>
      <c r="J15" s="235"/>
      <c r="K15" s="505"/>
      <c r="L15" s="357"/>
      <c r="M15" s="235"/>
      <c r="N15" s="813"/>
      <c r="O15" s="955" t="str">
        <f t="shared" si="1"/>
        <v/>
      </c>
      <c r="P15" s="956" t="str">
        <f t="shared" si="2"/>
        <v/>
      </c>
    </row>
    <row r="16" spans="1:20" s="1" customFormat="1" ht="12.95" customHeight="1">
      <c r="A16" s="158"/>
      <c r="B16" s="12"/>
      <c r="C16" s="8"/>
      <c r="D16" s="8"/>
      <c r="E16" s="8"/>
      <c r="F16" s="176">
        <v>612000</v>
      </c>
      <c r="G16" s="195"/>
      <c r="H16" s="25" t="s">
        <v>139</v>
      </c>
      <c r="I16" s="236">
        <f t="shared" ref="I16:N16" si="5">I17+I18</f>
        <v>42850</v>
      </c>
      <c r="J16" s="236">
        <f t="shared" si="5"/>
        <v>42850</v>
      </c>
      <c r="K16" s="506">
        <f t="shared" si="5"/>
        <v>35902</v>
      </c>
      <c r="L16" s="482">
        <f t="shared" si="5"/>
        <v>42577</v>
      </c>
      <c r="M16" s="236">
        <f t="shared" si="5"/>
        <v>0</v>
      </c>
      <c r="N16" s="812">
        <f t="shared" si="5"/>
        <v>42577</v>
      </c>
      <c r="O16" s="953">
        <f t="shared" si="1"/>
        <v>99.362893815635942</v>
      </c>
      <c r="P16" s="954">
        <f t="shared" si="2"/>
        <v>118.59227898167232</v>
      </c>
    </row>
    <row r="17" spans="1:17" ht="12.95" customHeight="1">
      <c r="B17" s="10"/>
      <c r="C17" s="11"/>
      <c r="D17" s="11"/>
      <c r="E17" s="163"/>
      <c r="F17" s="177">
        <v>612100</v>
      </c>
      <c r="G17" s="196"/>
      <c r="H17" s="430" t="s">
        <v>81</v>
      </c>
      <c r="I17" s="235">
        <v>42850</v>
      </c>
      <c r="J17" s="235">
        <v>42850</v>
      </c>
      <c r="K17" s="505">
        <v>35902</v>
      </c>
      <c r="L17" s="357">
        <v>42577</v>
      </c>
      <c r="M17" s="235">
        <v>0</v>
      </c>
      <c r="N17" s="776">
        <f>SUM(L17:M17)</f>
        <v>42577</v>
      </c>
      <c r="O17" s="955">
        <f t="shared" si="1"/>
        <v>99.362893815635942</v>
      </c>
      <c r="P17" s="956">
        <f t="shared" si="2"/>
        <v>118.59227898167232</v>
      </c>
    </row>
    <row r="18" spans="1:17" ht="12.95" customHeight="1">
      <c r="B18" s="10"/>
      <c r="C18" s="11"/>
      <c r="D18" s="11"/>
      <c r="E18" s="163"/>
      <c r="F18" s="177"/>
      <c r="G18" s="196"/>
      <c r="H18" s="24"/>
      <c r="I18" s="235"/>
      <c r="J18" s="235"/>
      <c r="K18" s="505"/>
      <c r="L18" s="358"/>
      <c r="M18" s="231"/>
      <c r="N18" s="776"/>
      <c r="O18" s="955" t="str">
        <f t="shared" si="1"/>
        <v/>
      </c>
      <c r="P18" s="956" t="str">
        <f t="shared" si="2"/>
        <v/>
      </c>
    </row>
    <row r="19" spans="1:17" s="1" customFormat="1" ht="12.95" customHeight="1">
      <c r="A19" s="158"/>
      <c r="B19" s="12"/>
      <c r="C19" s="8"/>
      <c r="D19" s="8"/>
      <c r="E19" s="8"/>
      <c r="F19" s="176">
        <v>613000</v>
      </c>
      <c r="G19" s="195"/>
      <c r="H19" s="25" t="s">
        <v>141</v>
      </c>
      <c r="I19" s="236">
        <f t="shared" ref="I19:J19" si="6">SUM(I20:I30)</f>
        <v>297880</v>
      </c>
      <c r="J19" s="236">
        <f t="shared" si="6"/>
        <v>297880</v>
      </c>
      <c r="K19" s="506">
        <f>SUM(K20:K30)</f>
        <v>103950</v>
      </c>
      <c r="L19" s="483">
        <f t="shared" ref="L19:N19" si="7">SUM(L20:L30)</f>
        <v>223859</v>
      </c>
      <c r="M19" s="234">
        <f t="shared" si="7"/>
        <v>0</v>
      </c>
      <c r="N19" s="774">
        <f t="shared" si="7"/>
        <v>223859</v>
      </c>
      <c r="O19" s="953">
        <f t="shared" si="1"/>
        <v>75.150731838324162</v>
      </c>
      <c r="P19" s="954">
        <f t="shared" si="2"/>
        <v>215.35257335257336</v>
      </c>
    </row>
    <row r="20" spans="1:17" ht="12.95" customHeight="1">
      <c r="B20" s="10"/>
      <c r="C20" s="11"/>
      <c r="D20" s="11"/>
      <c r="E20" s="163"/>
      <c r="F20" s="177">
        <v>613100</v>
      </c>
      <c r="G20" s="196"/>
      <c r="H20" s="24" t="s">
        <v>82</v>
      </c>
      <c r="I20" s="235">
        <v>8700</v>
      </c>
      <c r="J20" s="235">
        <v>8700</v>
      </c>
      <c r="K20" s="505">
        <v>2729</v>
      </c>
      <c r="L20" s="357">
        <v>8384</v>
      </c>
      <c r="M20" s="231">
        <v>0</v>
      </c>
      <c r="N20" s="776">
        <f t="shared" ref="N20:N30" si="8">SUM(L20:M20)</f>
        <v>8384</v>
      </c>
      <c r="O20" s="955">
        <f t="shared" si="1"/>
        <v>96.367816091954026</v>
      </c>
      <c r="P20" s="956">
        <f t="shared" si="2"/>
        <v>307.21876145108098</v>
      </c>
    </row>
    <row r="21" spans="1:17" ht="12.95" customHeight="1">
      <c r="B21" s="10"/>
      <c r="C21" s="11"/>
      <c r="D21" s="11"/>
      <c r="E21" s="163"/>
      <c r="F21" s="177">
        <v>613200</v>
      </c>
      <c r="G21" s="196"/>
      <c r="H21" s="24" t="s">
        <v>83</v>
      </c>
      <c r="I21" s="235">
        <v>0</v>
      </c>
      <c r="J21" s="235">
        <v>0</v>
      </c>
      <c r="K21" s="505">
        <v>0</v>
      </c>
      <c r="L21" s="358">
        <v>0</v>
      </c>
      <c r="M21" s="231">
        <v>0</v>
      </c>
      <c r="N21" s="776">
        <f t="shared" si="8"/>
        <v>0</v>
      </c>
      <c r="O21" s="955" t="str">
        <f t="shared" si="1"/>
        <v/>
      </c>
      <c r="P21" s="956" t="str">
        <f t="shared" si="2"/>
        <v/>
      </c>
    </row>
    <row r="22" spans="1:17" ht="12.95" customHeight="1">
      <c r="B22" s="10"/>
      <c r="C22" s="11"/>
      <c r="D22" s="11"/>
      <c r="E22" s="163"/>
      <c r="F22" s="177">
        <v>613300</v>
      </c>
      <c r="G22" s="196"/>
      <c r="H22" s="428" t="s">
        <v>163</v>
      </c>
      <c r="I22" s="235">
        <v>9600</v>
      </c>
      <c r="J22" s="235">
        <v>9600</v>
      </c>
      <c r="K22" s="505">
        <v>6866</v>
      </c>
      <c r="L22" s="357">
        <v>9290</v>
      </c>
      <c r="M22" s="231">
        <v>0</v>
      </c>
      <c r="N22" s="776">
        <f t="shared" si="8"/>
        <v>9290</v>
      </c>
      <c r="O22" s="955">
        <f t="shared" si="1"/>
        <v>96.770833333333329</v>
      </c>
      <c r="P22" s="956">
        <f t="shared" si="2"/>
        <v>135.30439848528982</v>
      </c>
      <c r="Q22" s="401"/>
    </row>
    <row r="23" spans="1:17" ht="12.95" customHeight="1">
      <c r="B23" s="10"/>
      <c r="C23" s="11"/>
      <c r="D23" s="11"/>
      <c r="E23" s="163"/>
      <c r="F23" s="177">
        <v>613400</v>
      </c>
      <c r="G23" s="196"/>
      <c r="H23" s="24" t="s">
        <v>142</v>
      </c>
      <c r="I23" s="235">
        <v>3100</v>
      </c>
      <c r="J23" s="235">
        <v>3100</v>
      </c>
      <c r="K23" s="505">
        <v>1916</v>
      </c>
      <c r="L23" s="358">
        <v>3083</v>
      </c>
      <c r="M23" s="231">
        <v>0</v>
      </c>
      <c r="N23" s="776">
        <f t="shared" si="8"/>
        <v>3083</v>
      </c>
      <c r="O23" s="955">
        <f t="shared" si="1"/>
        <v>99.451612903225808</v>
      </c>
      <c r="P23" s="956">
        <f t="shared" si="2"/>
        <v>160.90814196242172</v>
      </c>
    </row>
    <row r="24" spans="1:17" ht="12.95" customHeight="1">
      <c r="B24" s="10"/>
      <c r="C24" s="11"/>
      <c r="D24" s="11"/>
      <c r="E24" s="163"/>
      <c r="F24" s="177">
        <v>613500</v>
      </c>
      <c r="G24" s="196"/>
      <c r="H24" s="24" t="s">
        <v>84</v>
      </c>
      <c r="I24" s="235">
        <v>0</v>
      </c>
      <c r="J24" s="235">
        <v>0</v>
      </c>
      <c r="K24" s="505">
        <v>0</v>
      </c>
      <c r="L24" s="357">
        <v>0</v>
      </c>
      <c r="M24" s="235">
        <v>0</v>
      </c>
      <c r="N24" s="776">
        <f t="shared" si="8"/>
        <v>0</v>
      </c>
      <c r="O24" s="955" t="str">
        <f t="shared" si="1"/>
        <v/>
      </c>
      <c r="P24" s="956" t="str">
        <f t="shared" si="2"/>
        <v/>
      </c>
    </row>
    <row r="25" spans="1:17" ht="12.95" customHeight="1">
      <c r="B25" s="10"/>
      <c r="C25" s="11"/>
      <c r="D25" s="11"/>
      <c r="E25" s="163"/>
      <c r="F25" s="177">
        <v>613600</v>
      </c>
      <c r="G25" s="196"/>
      <c r="H25" s="428" t="s">
        <v>164</v>
      </c>
      <c r="I25" s="235">
        <v>0</v>
      </c>
      <c r="J25" s="235">
        <v>0</v>
      </c>
      <c r="K25" s="505">
        <v>0</v>
      </c>
      <c r="L25" s="357">
        <v>0</v>
      </c>
      <c r="M25" s="235">
        <v>0</v>
      </c>
      <c r="N25" s="776">
        <f t="shared" si="8"/>
        <v>0</v>
      </c>
      <c r="O25" s="955" t="str">
        <f t="shared" si="1"/>
        <v/>
      </c>
      <c r="P25" s="956" t="str">
        <f t="shared" si="2"/>
        <v/>
      </c>
    </row>
    <row r="26" spans="1:17" ht="12.95" customHeight="1">
      <c r="B26" s="10"/>
      <c r="C26" s="11"/>
      <c r="D26" s="11"/>
      <c r="E26" s="163"/>
      <c r="F26" s="177">
        <v>613700</v>
      </c>
      <c r="G26" s="196"/>
      <c r="H26" s="24" t="s">
        <v>85</v>
      </c>
      <c r="I26" s="237">
        <v>2300</v>
      </c>
      <c r="J26" s="237">
        <v>2300</v>
      </c>
      <c r="K26" s="507">
        <v>1121</v>
      </c>
      <c r="L26" s="360">
        <v>1867</v>
      </c>
      <c r="M26" s="237">
        <v>0</v>
      </c>
      <c r="N26" s="776">
        <f t="shared" si="8"/>
        <v>1867</v>
      </c>
      <c r="O26" s="955">
        <f t="shared" si="1"/>
        <v>81.173913043478265</v>
      </c>
      <c r="P26" s="956">
        <f t="shared" si="2"/>
        <v>166.54772524531668</v>
      </c>
    </row>
    <row r="27" spans="1:17" ht="12.95" customHeight="1">
      <c r="B27" s="10"/>
      <c r="C27" s="11"/>
      <c r="D27" s="11"/>
      <c r="E27" s="163"/>
      <c r="F27" s="177">
        <v>613800</v>
      </c>
      <c r="G27" s="196"/>
      <c r="H27" s="24" t="s">
        <v>143</v>
      </c>
      <c r="I27" s="235">
        <v>16240</v>
      </c>
      <c r="J27" s="235">
        <v>16240</v>
      </c>
      <c r="K27" s="505">
        <v>11353</v>
      </c>
      <c r="L27" s="357">
        <v>13828</v>
      </c>
      <c r="M27" s="235">
        <v>0</v>
      </c>
      <c r="N27" s="776">
        <f t="shared" si="8"/>
        <v>13828</v>
      </c>
      <c r="O27" s="955">
        <f t="shared" si="1"/>
        <v>85.14778325123153</v>
      </c>
      <c r="P27" s="956">
        <f t="shared" si="2"/>
        <v>121.80040517924778</v>
      </c>
      <c r="Q27" s="401"/>
    </row>
    <row r="28" spans="1:17" ht="12.95" customHeight="1">
      <c r="B28" s="10"/>
      <c r="C28" s="11"/>
      <c r="D28" s="11"/>
      <c r="E28" s="163"/>
      <c r="F28" s="177">
        <v>613900</v>
      </c>
      <c r="G28" s="196"/>
      <c r="H28" s="24" t="s">
        <v>144</v>
      </c>
      <c r="I28" s="230">
        <v>35400</v>
      </c>
      <c r="J28" s="230">
        <v>35400</v>
      </c>
      <c r="K28" s="352">
        <v>18783</v>
      </c>
      <c r="L28" s="361">
        <v>30261</v>
      </c>
      <c r="M28" s="230">
        <v>0</v>
      </c>
      <c r="N28" s="776">
        <f t="shared" si="8"/>
        <v>30261</v>
      </c>
      <c r="O28" s="955">
        <f t="shared" si="1"/>
        <v>85.483050847457633</v>
      </c>
      <c r="P28" s="956">
        <f t="shared" si="2"/>
        <v>161.108449129532</v>
      </c>
    </row>
    <row r="29" spans="1:17" ht="12.95" customHeight="1">
      <c r="B29" s="10"/>
      <c r="C29" s="11"/>
      <c r="D29" s="11"/>
      <c r="E29" s="411"/>
      <c r="F29" s="183">
        <v>613900</v>
      </c>
      <c r="G29" s="202" t="s">
        <v>504</v>
      </c>
      <c r="H29" s="428" t="s">
        <v>437</v>
      </c>
      <c r="I29" s="235">
        <v>222540</v>
      </c>
      <c r="J29" s="235">
        <v>222540</v>
      </c>
      <c r="K29" s="505">
        <v>61182</v>
      </c>
      <c r="L29" s="357">
        <v>157146</v>
      </c>
      <c r="M29" s="235">
        <v>0</v>
      </c>
      <c r="N29" s="776">
        <f t="shared" si="8"/>
        <v>157146</v>
      </c>
      <c r="O29" s="955">
        <f t="shared" si="1"/>
        <v>70.614720949042862</v>
      </c>
      <c r="P29" s="956">
        <f t="shared" si="2"/>
        <v>256.85005393743256</v>
      </c>
      <c r="Q29" s="51"/>
    </row>
    <row r="30" spans="1:17" ht="12.95" customHeight="1">
      <c r="B30" s="10"/>
      <c r="C30" s="11"/>
      <c r="D30" s="11"/>
      <c r="E30" s="163"/>
      <c r="F30" s="177">
        <v>613900</v>
      </c>
      <c r="G30" s="196"/>
      <c r="H30" s="435" t="s">
        <v>435</v>
      </c>
      <c r="I30" s="235">
        <v>0</v>
      </c>
      <c r="J30" s="235">
        <v>0</v>
      </c>
      <c r="K30" s="505">
        <v>0</v>
      </c>
      <c r="L30" s="357">
        <v>0</v>
      </c>
      <c r="M30" s="235">
        <v>0</v>
      </c>
      <c r="N30" s="776">
        <f t="shared" si="8"/>
        <v>0</v>
      </c>
      <c r="O30" s="955" t="str">
        <f t="shared" si="1"/>
        <v/>
      </c>
      <c r="P30" s="956" t="str">
        <f t="shared" si="2"/>
        <v/>
      </c>
    </row>
    <row r="31" spans="1:17" ht="12.95" customHeight="1">
      <c r="B31" s="10"/>
      <c r="C31" s="11"/>
      <c r="D31" s="11"/>
      <c r="E31" s="411"/>
      <c r="F31" s="183"/>
      <c r="G31" s="202"/>
      <c r="H31" s="24"/>
      <c r="I31" s="235"/>
      <c r="J31" s="235"/>
      <c r="K31" s="505"/>
      <c r="L31" s="357"/>
      <c r="M31" s="235"/>
      <c r="N31" s="776"/>
      <c r="O31" s="955" t="str">
        <f t="shared" si="1"/>
        <v/>
      </c>
      <c r="P31" s="956" t="str">
        <f t="shared" si="2"/>
        <v/>
      </c>
    </row>
    <row r="32" spans="1:17" s="1" customFormat="1" ht="12.95" customHeight="1">
      <c r="A32" s="158"/>
      <c r="B32" s="12"/>
      <c r="C32" s="8"/>
      <c r="D32" s="25"/>
      <c r="E32" s="25"/>
      <c r="F32" s="176">
        <v>614000</v>
      </c>
      <c r="G32" s="195"/>
      <c r="H32" s="25" t="s">
        <v>165</v>
      </c>
      <c r="I32" s="236">
        <f t="shared" ref="I32:N32" si="9">SUM(I33:I35)</f>
        <v>1355600</v>
      </c>
      <c r="J32" s="236">
        <f t="shared" si="9"/>
        <v>1355600</v>
      </c>
      <c r="K32" s="506">
        <f t="shared" si="9"/>
        <v>1040642</v>
      </c>
      <c r="L32" s="482">
        <f t="shared" si="9"/>
        <v>1066438</v>
      </c>
      <c r="M32" s="236">
        <f t="shared" si="9"/>
        <v>287500</v>
      </c>
      <c r="N32" s="774">
        <f t="shared" si="9"/>
        <v>1353938</v>
      </c>
      <c r="O32" s="953">
        <f t="shared" si="1"/>
        <v>99.877397462378283</v>
      </c>
      <c r="P32" s="954">
        <f t="shared" si="2"/>
        <v>130.10603070027923</v>
      </c>
    </row>
    <row r="33" spans="1:18" ht="12.95" customHeight="1">
      <c r="B33" s="10"/>
      <c r="C33" s="11"/>
      <c r="D33" s="24"/>
      <c r="E33" s="24"/>
      <c r="F33" s="177">
        <v>614100</v>
      </c>
      <c r="G33" s="193" t="s">
        <v>505</v>
      </c>
      <c r="H33" s="543" t="s">
        <v>776</v>
      </c>
      <c r="I33" s="235">
        <v>1300000</v>
      </c>
      <c r="J33" s="235">
        <v>1300000</v>
      </c>
      <c r="K33" s="505">
        <v>900000</v>
      </c>
      <c r="L33" s="357">
        <f>1300000-287500</f>
        <v>1012500</v>
      </c>
      <c r="M33" s="235">
        <v>287500</v>
      </c>
      <c r="N33" s="776">
        <f t="shared" ref="N33:N35" si="10">SUM(L33:M33)</f>
        <v>1300000</v>
      </c>
      <c r="O33" s="955">
        <f t="shared" si="1"/>
        <v>100</v>
      </c>
      <c r="P33" s="956">
        <f t="shared" si="2"/>
        <v>144.44444444444443</v>
      </c>
      <c r="Q33" s="58"/>
      <c r="R33" s="45"/>
    </row>
    <row r="34" spans="1:18" ht="12.95" customHeight="1">
      <c r="B34" s="10"/>
      <c r="C34" s="11"/>
      <c r="D34" s="24"/>
      <c r="E34" s="24"/>
      <c r="F34" s="217">
        <v>614800</v>
      </c>
      <c r="G34" s="204" t="s">
        <v>506</v>
      </c>
      <c r="H34" s="543" t="s">
        <v>103</v>
      </c>
      <c r="I34" s="235">
        <v>52000</v>
      </c>
      <c r="J34" s="235">
        <v>52000</v>
      </c>
      <c r="K34" s="505">
        <v>118637</v>
      </c>
      <c r="L34" s="357">
        <v>51820</v>
      </c>
      <c r="M34" s="235">
        <v>0</v>
      </c>
      <c r="N34" s="776">
        <f t="shared" si="10"/>
        <v>51820</v>
      </c>
      <c r="O34" s="955">
        <f t="shared" si="1"/>
        <v>99.653846153846146</v>
      </c>
      <c r="P34" s="956">
        <f t="shared" si="2"/>
        <v>43.679459190640358</v>
      </c>
      <c r="Q34" s="45"/>
    </row>
    <row r="35" spans="1:18" ht="24.75" customHeight="1">
      <c r="B35" s="10"/>
      <c r="C35" s="11"/>
      <c r="D35" s="24"/>
      <c r="E35" s="24"/>
      <c r="F35" s="217">
        <v>614800</v>
      </c>
      <c r="G35" s="204" t="s">
        <v>507</v>
      </c>
      <c r="H35" s="453" t="s">
        <v>467</v>
      </c>
      <c r="I35" s="235">
        <v>3600</v>
      </c>
      <c r="J35" s="235">
        <v>3600</v>
      </c>
      <c r="K35" s="505">
        <v>22005</v>
      </c>
      <c r="L35" s="357">
        <v>2118</v>
      </c>
      <c r="M35" s="235">
        <v>0</v>
      </c>
      <c r="N35" s="776">
        <f t="shared" si="10"/>
        <v>2118</v>
      </c>
      <c r="O35" s="955">
        <f t="shared" si="1"/>
        <v>58.833333333333336</v>
      </c>
      <c r="P35" s="956">
        <f t="shared" si="2"/>
        <v>9.6250852079072935</v>
      </c>
      <c r="Q35" s="45"/>
    </row>
    <row r="36" spans="1:18" ht="12.95" customHeight="1">
      <c r="B36" s="10"/>
      <c r="C36" s="11"/>
      <c r="D36" s="24"/>
      <c r="E36" s="412"/>
      <c r="F36" s="218"/>
      <c r="G36" s="205"/>
      <c r="H36" s="38"/>
      <c r="I36" s="351"/>
      <c r="J36" s="351"/>
      <c r="K36" s="352"/>
      <c r="L36" s="357"/>
      <c r="M36" s="235"/>
      <c r="N36" s="776"/>
      <c r="O36" s="955" t="str">
        <f t="shared" si="1"/>
        <v/>
      </c>
      <c r="P36" s="956" t="str">
        <f t="shared" si="2"/>
        <v/>
      </c>
    </row>
    <row r="37" spans="1:18" ht="12.95" customHeight="1">
      <c r="B37" s="10"/>
      <c r="C37" s="11"/>
      <c r="D37" s="11"/>
      <c r="E37" s="413"/>
      <c r="F37" s="186">
        <v>616000</v>
      </c>
      <c r="G37" s="206"/>
      <c r="H37" s="26" t="s">
        <v>168</v>
      </c>
      <c r="I37" s="350">
        <f t="shared" ref="I37:N37" si="11">SUM(I38:I39)</f>
        <v>28920</v>
      </c>
      <c r="J37" s="350">
        <f t="shared" si="11"/>
        <v>28920</v>
      </c>
      <c r="K37" s="353">
        <f t="shared" si="11"/>
        <v>34759</v>
      </c>
      <c r="L37" s="363">
        <f t="shared" si="11"/>
        <v>28910</v>
      </c>
      <c r="M37" s="227">
        <f t="shared" si="11"/>
        <v>0</v>
      </c>
      <c r="N37" s="774">
        <f t="shared" si="11"/>
        <v>28910</v>
      </c>
      <c r="O37" s="953">
        <f t="shared" si="1"/>
        <v>99.965421853388662</v>
      </c>
      <c r="P37" s="954">
        <f t="shared" si="2"/>
        <v>83.172703472481942</v>
      </c>
    </row>
    <row r="38" spans="1:18" ht="12.95" customHeight="1">
      <c r="B38" s="10"/>
      <c r="C38" s="11"/>
      <c r="D38" s="11"/>
      <c r="E38" s="354"/>
      <c r="F38" s="184">
        <v>616200</v>
      </c>
      <c r="G38" s="193" t="s">
        <v>508</v>
      </c>
      <c r="H38" s="40" t="s">
        <v>726</v>
      </c>
      <c r="I38" s="351">
        <v>16390</v>
      </c>
      <c r="J38" s="351">
        <v>16390</v>
      </c>
      <c r="K38" s="352">
        <v>17050</v>
      </c>
      <c r="L38" s="357">
        <v>16384</v>
      </c>
      <c r="M38" s="235">
        <v>0</v>
      </c>
      <c r="N38" s="776">
        <f t="shared" ref="N38:N39" si="12">SUM(L38:M38)</f>
        <v>16384</v>
      </c>
      <c r="O38" s="955">
        <f t="shared" si="1"/>
        <v>99.963392312385608</v>
      </c>
      <c r="P38" s="956">
        <f t="shared" si="2"/>
        <v>96.093841642228739</v>
      </c>
    </row>
    <row r="39" spans="1:18" ht="12.95" customHeight="1">
      <c r="B39" s="10"/>
      <c r="C39" s="11"/>
      <c r="D39" s="11"/>
      <c r="E39" s="354"/>
      <c r="F39" s="184">
        <v>616200</v>
      </c>
      <c r="G39" s="193" t="s">
        <v>509</v>
      </c>
      <c r="H39" s="40" t="s">
        <v>727</v>
      </c>
      <c r="I39" s="351">
        <v>12530</v>
      </c>
      <c r="J39" s="351">
        <v>12530</v>
      </c>
      <c r="K39" s="352">
        <v>17709</v>
      </c>
      <c r="L39" s="357">
        <v>12526</v>
      </c>
      <c r="M39" s="235">
        <v>0</v>
      </c>
      <c r="N39" s="776">
        <f t="shared" si="12"/>
        <v>12526</v>
      </c>
      <c r="O39" s="955">
        <f t="shared" si="1"/>
        <v>99.968076616121309</v>
      </c>
      <c r="P39" s="956">
        <f t="shared" si="2"/>
        <v>70.732395956858099</v>
      </c>
    </row>
    <row r="40" spans="1:18" ht="12.95" customHeight="1">
      <c r="B40" s="10"/>
      <c r="C40" s="11"/>
      <c r="D40" s="11"/>
      <c r="E40" s="163"/>
      <c r="F40" s="177"/>
      <c r="G40" s="196"/>
      <c r="H40" s="11"/>
      <c r="I40" s="350"/>
      <c r="J40" s="350"/>
      <c r="K40" s="353"/>
      <c r="L40" s="482"/>
      <c r="M40" s="236"/>
      <c r="N40" s="774"/>
      <c r="O40" s="955" t="str">
        <f t="shared" si="1"/>
        <v/>
      </c>
      <c r="P40" s="956" t="str">
        <f t="shared" si="2"/>
        <v/>
      </c>
    </row>
    <row r="41" spans="1:18" ht="12.95" customHeight="1">
      <c r="B41" s="12"/>
      <c r="C41" s="8"/>
      <c r="D41" s="8"/>
      <c r="E41" s="8"/>
      <c r="F41" s="176">
        <v>821000</v>
      </c>
      <c r="G41" s="195"/>
      <c r="H41" s="8" t="s">
        <v>88</v>
      </c>
      <c r="I41" s="350">
        <f t="shared" ref="I41:N41" si="13">SUM(I42:I43)</f>
        <v>27000</v>
      </c>
      <c r="J41" s="350">
        <f t="shared" si="13"/>
        <v>27000</v>
      </c>
      <c r="K41" s="353">
        <f t="shared" si="13"/>
        <v>3964</v>
      </c>
      <c r="L41" s="482">
        <f t="shared" si="13"/>
        <v>26785</v>
      </c>
      <c r="M41" s="236">
        <f t="shared" si="13"/>
        <v>0</v>
      </c>
      <c r="N41" s="774">
        <f t="shared" si="13"/>
        <v>26785</v>
      </c>
      <c r="O41" s="953">
        <f t="shared" si="1"/>
        <v>99.203703703703709</v>
      </c>
      <c r="P41" s="954">
        <f t="shared" si="2"/>
        <v>675.70635721493443</v>
      </c>
    </row>
    <row r="42" spans="1:18" ht="12.95" customHeight="1">
      <c r="B42" s="10"/>
      <c r="C42" s="11"/>
      <c r="D42" s="11"/>
      <c r="E42" s="163"/>
      <c r="F42" s="177">
        <v>821200</v>
      </c>
      <c r="G42" s="196"/>
      <c r="H42" s="11" t="s">
        <v>89</v>
      </c>
      <c r="I42" s="351">
        <v>0</v>
      </c>
      <c r="J42" s="351">
        <v>0</v>
      </c>
      <c r="K42" s="352">
        <v>0</v>
      </c>
      <c r="L42" s="360">
        <v>0</v>
      </c>
      <c r="M42" s="237">
        <v>0</v>
      </c>
      <c r="N42" s="776">
        <f t="shared" ref="N42:N43" si="14">SUM(L42:M42)</f>
        <v>0</v>
      </c>
      <c r="O42" s="955" t="str">
        <f t="shared" si="1"/>
        <v/>
      </c>
      <c r="P42" s="956" t="str">
        <f t="shared" si="2"/>
        <v/>
      </c>
    </row>
    <row r="43" spans="1:18" s="1" customFormat="1" ht="12.95" customHeight="1">
      <c r="A43" s="158"/>
      <c r="B43" s="10"/>
      <c r="C43" s="11"/>
      <c r="D43" s="11"/>
      <c r="E43" s="163"/>
      <c r="F43" s="177">
        <v>821300</v>
      </c>
      <c r="G43" s="196"/>
      <c r="H43" s="11" t="s">
        <v>90</v>
      </c>
      <c r="I43" s="351">
        <v>27000</v>
      </c>
      <c r="J43" s="351">
        <v>27000</v>
      </c>
      <c r="K43" s="352">
        <v>3964</v>
      </c>
      <c r="L43" s="360">
        <v>26785</v>
      </c>
      <c r="M43" s="237">
        <v>0</v>
      </c>
      <c r="N43" s="776">
        <f t="shared" si="14"/>
        <v>26785</v>
      </c>
      <c r="O43" s="955">
        <f t="shared" si="1"/>
        <v>99.203703703703709</v>
      </c>
      <c r="P43" s="956">
        <f t="shared" si="2"/>
        <v>675.70635721493443</v>
      </c>
    </row>
    <row r="44" spans="1:18" ht="12.95" customHeight="1">
      <c r="B44" s="10"/>
      <c r="C44" s="11"/>
      <c r="D44" s="11"/>
      <c r="E44" s="163"/>
      <c r="F44" s="177"/>
      <c r="G44" s="196"/>
      <c r="H44" s="11"/>
      <c r="I44" s="351"/>
      <c r="J44" s="351"/>
      <c r="K44" s="352"/>
      <c r="L44" s="357"/>
      <c r="M44" s="235"/>
      <c r="N44" s="776"/>
      <c r="O44" s="955" t="str">
        <f t="shared" si="1"/>
        <v/>
      </c>
      <c r="P44" s="956" t="str">
        <f t="shared" si="2"/>
        <v/>
      </c>
    </row>
    <row r="45" spans="1:18" ht="12.95" customHeight="1">
      <c r="B45" s="12"/>
      <c r="C45" s="8"/>
      <c r="D45" s="8"/>
      <c r="E45" s="8"/>
      <c r="F45" s="176">
        <v>823000</v>
      </c>
      <c r="G45" s="195"/>
      <c r="H45" s="8" t="s">
        <v>172</v>
      </c>
      <c r="I45" s="350">
        <f t="shared" ref="I45:N45" si="15">SUM(I46:I47)</f>
        <v>515920</v>
      </c>
      <c r="J45" s="350">
        <f t="shared" si="15"/>
        <v>515920</v>
      </c>
      <c r="K45" s="353">
        <f t="shared" si="15"/>
        <v>512956</v>
      </c>
      <c r="L45" s="482">
        <f t="shared" si="15"/>
        <v>365544</v>
      </c>
      <c r="M45" s="236">
        <f t="shared" si="15"/>
        <v>150364</v>
      </c>
      <c r="N45" s="774">
        <f t="shared" si="15"/>
        <v>515908</v>
      </c>
      <c r="O45" s="953">
        <f t="shared" si="1"/>
        <v>99.997674057993493</v>
      </c>
      <c r="P45" s="954">
        <f t="shared" si="2"/>
        <v>100.575487956082</v>
      </c>
    </row>
    <row r="46" spans="1:18" ht="12.95" customHeight="1">
      <c r="B46" s="10"/>
      <c r="C46" s="11"/>
      <c r="D46" s="11"/>
      <c r="E46" s="163"/>
      <c r="F46" s="177">
        <v>823200</v>
      </c>
      <c r="G46" s="196" t="s">
        <v>508</v>
      </c>
      <c r="H46" s="454" t="s">
        <v>728</v>
      </c>
      <c r="I46" s="351">
        <v>85630</v>
      </c>
      <c r="J46" s="351">
        <v>85630</v>
      </c>
      <c r="K46" s="352">
        <v>82673</v>
      </c>
      <c r="L46" s="360">
        <v>85625</v>
      </c>
      <c r="M46" s="237">
        <v>0</v>
      </c>
      <c r="N46" s="776">
        <f t="shared" ref="N46:N47" si="16">SUM(L46:M46)</f>
        <v>85625</v>
      </c>
      <c r="O46" s="955">
        <f t="shared" si="1"/>
        <v>99.994160924909494</v>
      </c>
      <c r="P46" s="956">
        <f t="shared" si="2"/>
        <v>103.57069418068777</v>
      </c>
    </row>
    <row r="47" spans="1:18" ht="12.95" customHeight="1">
      <c r="B47" s="10"/>
      <c r="C47" s="11"/>
      <c r="D47" s="11"/>
      <c r="E47" s="163"/>
      <c r="F47" s="177">
        <v>823200</v>
      </c>
      <c r="G47" s="196" t="s">
        <v>509</v>
      </c>
      <c r="H47" s="454" t="s">
        <v>729</v>
      </c>
      <c r="I47" s="351">
        <v>430290</v>
      </c>
      <c r="J47" s="351">
        <v>430290</v>
      </c>
      <c r="K47" s="352">
        <v>430283</v>
      </c>
      <c r="L47" s="360">
        <f>430283-150364</f>
        <v>279919</v>
      </c>
      <c r="M47" s="237">
        <v>150364</v>
      </c>
      <c r="N47" s="776">
        <f t="shared" si="16"/>
        <v>430283</v>
      </c>
      <c r="O47" s="955">
        <f t="shared" si="1"/>
        <v>99.998373190174078</v>
      </c>
      <c r="P47" s="956">
        <f t="shared" si="2"/>
        <v>100</v>
      </c>
    </row>
    <row r="48" spans="1:18" ht="12.95" customHeight="1">
      <c r="B48" s="10"/>
      <c r="C48" s="11"/>
      <c r="D48" s="11"/>
      <c r="E48" s="163"/>
      <c r="F48" s="177"/>
      <c r="G48" s="196"/>
      <c r="H48" s="11"/>
      <c r="I48" s="364"/>
      <c r="J48" s="364"/>
      <c r="K48" s="808"/>
      <c r="L48" s="448"/>
      <c r="M48" s="395"/>
      <c r="N48" s="820"/>
      <c r="O48" s="955" t="str">
        <f t="shared" si="1"/>
        <v/>
      </c>
      <c r="P48" s="956" t="str">
        <f t="shared" si="2"/>
        <v/>
      </c>
    </row>
    <row r="49" spans="1:16" ht="12.95" customHeight="1">
      <c r="B49" s="12"/>
      <c r="C49" s="8"/>
      <c r="D49" s="8"/>
      <c r="E49" s="8"/>
      <c r="F49" s="176"/>
      <c r="G49" s="195"/>
      <c r="H49" s="8" t="s">
        <v>91</v>
      </c>
      <c r="I49" s="474">
        <v>17</v>
      </c>
      <c r="J49" s="474">
        <v>17</v>
      </c>
      <c r="K49" s="809">
        <v>14</v>
      </c>
      <c r="L49" s="865">
        <v>16</v>
      </c>
      <c r="M49" s="499"/>
      <c r="N49" s="836">
        <v>16</v>
      </c>
      <c r="O49" s="955"/>
      <c r="P49" s="956"/>
    </row>
    <row r="50" spans="1:16" ht="12.95" customHeight="1">
      <c r="B50" s="12"/>
      <c r="C50" s="8"/>
      <c r="D50" s="8"/>
      <c r="E50" s="8"/>
      <c r="F50" s="176"/>
      <c r="G50" s="195"/>
      <c r="H50" s="8" t="s">
        <v>105</v>
      </c>
      <c r="I50" s="367">
        <f t="shared" ref="I50:N50" si="17">I8+I11+I16+I19+I32+I37+I41+I45</f>
        <v>2773930</v>
      </c>
      <c r="J50" s="367">
        <f t="shared" ref="J50:K50" si="18">J8+J11+J16+J19+J32+J37+J41+J45</f>
        <v>2773930</v>
      </c>
      <c r="K50" s="356">
        <f t="shared" si="18"/>
        <v>2145822</v>
      </c>
      <c r="L50" s="370">
        <f t="shared" si="17"/>
        <v>2245378</v>
      </c>
      <c r="M50" s="165">
        <f t="shared" si="17"/>
        <v>437864</v>
      </c>
      <c r="N50" s="774">
        <f t="shared" si="17"/>
        <v>2683242</v>
      </c>
      <c r="O50" s="953">
        <f t="shared" ref="O50:O52" si="19">IF(J50=0,"",N50/J50*100)</f>
        <v>96.730703370308547</v>
      </c>
      <c r="P50" s="954">
        <f t="shared" si="2"/>
        <v>125.04494781020978</v>
      </c>
    </row>
    <row r="51" spans="1:16" s="1" customFormat="1" ht="12.95" customHeight="1">
      <c r="A51" s="158"/>
      <c r="B51" s="12"/>
      <c r="C51" s="8"/>
      <c r="D51" s="8"/>
      <c r="E51" s="8"/>
      <c r="F51" s="176"/>
      <c r="G51" s="195"/>
      <c r="H51" s="8" t="s">
        <v>92</v>
      </c>
      <c r="I51" s="367">
        <f t="shared" ref="I51:K52" si="20">I50</f>
        <v>2773930</v>
      </c>
      <c r="J51" s="367">
        <f t="shared" si="20"/>
        <v>2773930</v>
      </c>
      <c r="K51" s="356">
        <f t="shared" si="20"/>
        <v>2145822</v>
      </c>
      <c r="L51" s="370">
        <f t="shared" ref="L51:N52" si="21">L50</f>
        <v>2245378</v>
      </c>
      <c r="M51" s="165">
        <f t="shared" si="21"/>
        <v>437864</v>
      </c>
      <c r="N51" s="774">
        <f t="shared" si="21"/>
        <v>2683242</v>
      </c>
      <c r="O51" s="953">
        <f t="shared" si="19"/>
        <v>96.730703370308547</v>
      </c>
      <c r="P51" s="954">
        <f t="shared" si="2"/>
        <v>125.04494781020978</v>
      </c>
    </row>
    <row r="52" spans="1:16" s="1" customFormat="1" ht="12.95" customHeight="1">
      <c r="A52" s="158"/>
      <c r="B52" s="12"/>
      <c r="C52" s="8"/>
      <c r="D52" s="8"/>
      <c r="E52" s="8"/>
      <c r="F52" s="176"/>
      <c r="G52" s="195"/>
      <c r="H52" s="8" t="s">
        <v>93</v>
      </c>
      <c r="I52" s="367">
        <f t="shared" si="20"/>
        <v>2773930</v>
      </c>
      <c r="J52" s="367">
        <f t="shared" si="20"/>
        <v>2773930</v>
      </c>
      <c r="K52" s="356">
        <f t="shared" si="20"/>
        <v>2145822</v>
      </c>
      <c r="L52" s="370">
        <f t="shared" si="21"/>
        <v>2245378</v>
      </c>
      <c r="M52" s="165">
        <f t="shared" si="21"/>
        <v>437864</v>
      </c>
      <c r="N52" s="774">
        <f t="shared" si="21"/>
        <v>2683242</v>
      </c>
      <c r="O52" s="953">
        <f t="shared" si="19"/>
        <v>96.730703370308547</v>
      </c>
      <c r="P52" s="954">
        <f t="shared" si="2"/>
        <v>125.04494781020978</v>
      </c>
    </row>
    <row r="53" spans="1:16" s="1" customFormat="1" ht="12.95" customHeight="1" thickBot="1">
      <c r="A53" s="158"/>
      <c r="B53" s="16"/>
      <c r="C53" s="17"/>
      <c r="D53" s="17"/>
      <c r="E53" s="17"/>
      <c r="F53" s="178"/>
      <c r="G53" s="197"/>
      <c r="H53" s="17"/>
      <c r="I53" s="17"/>
      <c r="J53" s="27"/>
      <c r="K53" s="511"/>
      <c r="L53" s="16"/>
      <c r="M53" s="17"/>
      <c r="N53" s="800"/>
      <c r="O53" s="957"/>
      <c r="P53" s="958" t="str">
        <f t="shared" si="2"/>
        <v/>
      </c>
    </row>
    <row r="54" spans="1:16" s="1" customFormat="1" ht="12.95" customHeight="1">
      <c r="A54" s="158"/>
      <c r="B54" s="9"/>
      <c r="C54" s="9"/>
      <c r="D54" s="9"/>
      <c r="E54" s="161"/>
      <c r="F54" s="179"/>
      <c r="G54" s="198"/>
      <c r="H54" s="9"/>
      <c r="I54" s="9"/>
      <c r="J54" s="9"/>
      <c r="K54" s="161"/>
      <c r="L54" s="161"/>
      <c r="M54" s="161"/>
      <c r="N54" s="253"/>
      <c r="O54" s="214"/>
      <c r="P54" s="214"/>
    </row>
    <row r="55" spans="1:16" ht="12.95" customHeight="1">
      <c r="F55" s="179"/>
      <c r="G55" s="198"/>
      <c r="L55" s="51"/>
      <c r="N55" s="253"/>
    </row>
    <row r="56" spans="1:16" ht="12.95" customHeight="1">
      <c r="F56" s="179"/>
      <c r="G56" s="198"/>
      <c r="N56" s="253"/>
    </row>
    <row r="57" spans="1:16" ht="12.95" customHeight="1">
      <c r="F57" s="179"/>
      <c r="G57" s="198"/>
      <c r="N57" s="253"/>
    </row>
    <row r="58" spans="1:16" ht="12.95" customHeight="1">
      <c r="F58" s="179"/>
      <c r="G58" s="198"/>
      <c r="N58" s="253"/>
    </row>
    <row r="59" spans="1:16" ht="12.95" customHeight="1">
      <c r="F59" s="179"/>
      <c r="G59" s="198"/>
      <c r="N59" s="253"/>
    </row>
    <row r="60" spans="1:16" ht="17.100000000000001" customHeight="1">
      <c r="F60" s="179"/>
      <c r="G60" s="198"/>
      <c r="N60" s="253"/>
    </row>
    <row r="61" spans="1:16" ht="14.25">
      <c r="F61" s="179"/>
      <c r="G61" s="198"/>
      <c r="N61" s="253"/>
    </row>
    <row r="62" spans="1:16" ht="14.25">
      <c r="F62" s="179"/>
      <c r="G62" s="198"/>
      <c r="N62" s="253"/>
    </row>
    <row r="63" spans="1:16" ht="14.25">
      <c r="F63" s="179"/>
      <c r="G63" s="198"/>
      <c r="N63" s="253"/>
    </row>
    <row r="64" spans="1:16" ht="14.25">
      <c r="F64" s="179"/>
      <c r="G64" s="198"/>
      <c r="N64" s="253"/>
    </row>
    <row r="65" spans="6:14" ht="14.25">
      <c r="F65" s="179"/>
      <c r="G65" s="198"/>
      <c r="N65" s="253"/>
    </row>
    <row r="66" spans="6:14" ht="14.25">
      <c r="F66" s="179"/>
      <c r="G66" s="198"/>
      <c r="N66" s="253"/>
    </row>
    <row r="67" spans="6:14" ht="14.25">
      <c r="F67" s="179"/>
      <c r="G67" s="198"/>
      <c r="N67" s="253"/>
    </row>
    <row r="68" spans="6:14" ht="14.25">
      <c r="F68" s="179"/>
      <c r="G68" s="198"/>
      <c r="N68" s="253"/>
    </row>
    <row r="69" spans="6:14" ht="14.25">
      <c r="F69" s="179"/>
      <c r="G69" s="198"/>
      <c r="N69" s="253"/>
    </row>
    <row r="70" spans="6:14" ht="14.25">
      <c r="F70" s="179"/>
      <c r="G70" s="198"/>
      <c r="N70" s="253"/>
    </row>
    <row r="71" spans="6:14" ht="14.25">
      <c r="F71" s="179"/>
      <c r="G71" s="198"/>
      <c r="N71" s="253"/>
    </row>
    <row r="72" spans="6:14" ht="14.25">
      <c r="F72" s="179"/>
      <c r="G72" s="198"/>
      <c r="N72" s="253"/>
    </row>
    <row r="73" spans="6:14" ht="14.25">
      <c r="F73" s="179"/>
      <c r="G73" s="198"/>
      <c r="N73" s="253"/>
    </row>
    <row r="74" spans="6:14" ht="14.25">
      <c r="F74" s="179"/>
      <c r="G74" s="179"/>
      <c r="N74" s="253"/>
    </row>
    <row r="75" spans="6:14" ht="14.25">
      <c r="F75" s="179"/>
      <c r="G75" s="179"/>
      <c r="N75" s="253"/>
    </row>
    <row r="76" spans="6:14" ht="14.25">
      <c r="F76" s="179"/>
      <c r="G76" s="179"/>
      <c r="N76" s="253"/>
    </row>
    <row r="77" spans="6:14" ht="14.25">
      <c r="F77" s="179"/>
      <c r="G77" s="179"/>
      <c r="N77" s="253"/>
    </row>
    <row r="78" spans="6:14" ht="14.25">
      <c r="F78" s="179"/>
      <c r="G78" s="179"/>
      <c r="N78" s="253"/>
    </row>
    <row r="79" spans="6:14" ht="14.25">
      <c r="F79" s="179"/>
      <c r="G79" s="179"/>
      <c r="N79" s="253"/>
    </row>
    <row r="80" spans="6:14" ht="14.25">
      <c r="F80" s="179"/>
      <c r="G80" s="179"/>
      <c r="N80" s="253"/>
    </row>
    <row r="81" spans="6:14" ht="14.25">
      <c r="F81" s="179"/>
      <c r="G81" s="179"/>
      <c r="N81" s="253"/>
    </row>
    <row r="82" spans="6:14" ht="14.25">
      <c r="F82" s="179"/>
      <c r="G82" s="179"/>
      <c r="N82" s="253"/>
    </row>
    <row r="83" spans="6:14" ht="14.25">
      <c r="F83" s="179"/>
      <c r="G83" s="179"/>
      <c r="N83" s="253"/>
    </row>
    <row r="84" spans="6:14" ht="14.25">
      <c r="F84" s="179"/>
      <c r="G84" s="179"/>
      <c r="N84" s="253"/>
    </row>
    <row r="85" spans="6:14" ht="14.25">
      <c r="F85" s="179"/>
      <c r="G85" s="179"/>
      <c r="N85" s="253"/>
    </row>
    <row r="86" spans="6:14" ht="14.25">
      <c r="F86" s="179"/>
      <c r="G86" s="179"/>
      <c r="N86" s="253"/>
    </row>
    <row r="87" spans="6:14" ht="14.25">
      <c r="F87" s="179"/>
      <c r="G87" s="179"/>
      <c r="N87" s="253"/>
    </row>
    <row r="88" spans="6:14" ht="14.25">
      <c r="F88" s="179"/>
      <c r="G88" s="179"/>
      <c r="N88" s="253"/>
    </row>
    <row r="89" spans="6:14" ht="14.25">
      <c r="F89" s="179"/>
      <c r="G89" s="179"/>
      <c r="N89" s="253"/>
    </row>
    <row r="90" spans="6:14" ht="14.25">
      <c r="F90" s="179"/>
      <c r="G90" s="179"/>
      <c r="N90" s="253"/>
    </row>
    <row r="91" spans="6:14">
      <c r="G91" s="179"/>
    </row>
    <row r="92" spans="6:14">
      <c r="G92" s="179"/>
    </row>
    <row r="93" spans="6:14">
      <c r="G93" s="179"/>
    </row>
    <row r="94" spans="6:14">
      <c r="G94" s="179"/>
    </row>
    <row r="95" spans="6:14">
      <c r="G95" s="179"/>
    </row>
    <row r="96" spans="6:14">
      <c r="G96" s="179"/>
    </row>
  </sheetData>
  <mergeCells count="15">
    <mergeCell ref="P4:P5"/>
    <mergeCell ref="B2:P2"/>
    <mergeCell ref="K4:K5"/>
    <mergeCell ref="O4:O5"/>
    <mergeCell ref="H4:H5"/>
    <mergeCell ref="H3:I3"/>
    <mergeCell ref="L4:N4"/>
    <mergeCell ref="B4:B5"/>
    <mergeCell ref="C4:C5"/>
    <mergeCell ref="D4:D5"/>
    <mergeCell ref="G4:G5"/>
    <mergeCell ref="F4:F5"/>
    <mergeCell ref="I4:I5"/>
    <mergeCell ref="J4:J5"/>
    <mergeCell ref="E4:E5"/>
  </mergeCells>
  <phoneticPr fontId="2" type="noConversion"/>
  <pageMargins left="0.67" right="0.25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  <colBreaks count="1" manualBreakCount="1">
    <brk id="16" max="1048575" man="1"/>
  </colBreaks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20"/>
  <dimension ref="A1:R96"/>
  <sheetViews>
    <sheetView zoomScaleNormal="100" zoomScaleSheetLayoutView="130" workbookViewId="0">
      <selection activeCell="N39" sqref="N39"/>
    </sheetView>
  </sheetViews>
  <sheetFormatPr defaultColWidth="9.140625" defaultRowHeight="12.75"/>
  <cols>
    <col min="1" max="1" width="4.42578125" style="161" customWidth="1"/>
    <col min="2" max="2" width="4.7109375" style="9" customWidth="1"/>
    <col min="3" max="3" width="5.140625" style="9" customWidth="1"/>
    <col min="4" max="4" width="5" style="9" customWidth="1"/>
    <col min="5" max="5" width="5" style="161" customWidth="1"/>
    <col min="6" max="6" width="8.7109375" style="18" customWidth="1"/>
    <col min="7" max="7" width="8.7109375" style="166" customWidth="1"/>
    <col min="8" max="8" width="50.7109375" style="9" customWidth="1"/>
    <col min="9" max="10" width="14.7109375" style="9" customWidth="1"/>
    <col min="11" max="11" width="12.5703125" style="161" customWidth="1"/>
    <col min="12" max="13" width="14.7109375" style="161" customWidth="1"/>
    <col min="14" max="14" width="15.7109375" style="9" customWidth="1"/>
    <col min="15" max="16" width="7.7109375" style="214" customWidth="1"/>
    <col min="17" max="16384" width="9.140625" style="9"/>
  </cols>
  <sheetData>
    <row r="1" spans="1:18" ht="13.5" thickBot="1"/>
    <row r="2" spans="1:18" s="79" customFormat="1" ht="20.100000000000001" customHeight="1" thickTop="1" thickBot="1">
      <c r="A2" s="244"/>
      <c r="B2" s="1034" t="s">
        <v>633</v>
      </c>
      <c r="C2" s="1035"/>
      <c r="D2" s="1035"/>
      <c r="E2" s="1035"/>
      <c r="F2" s="1035"/>
      <c r="G2" s="1035"/>
      <c r="H2" s="1035"/>
      <c r="I2" s="1035"/>
      <c r="J2" s="1035"/>
      <c r="K2" s="1035"/>
      <c r="L2" s="1035"/>
      <c r="M2" s="1035"/>
      <c r="N2" s="1035"/>
      <c r="O2" s="1057"/>
      <c r="P2" s="1036"/>
      <c r="R2" s="244"/>
    </row>
    <row r="3" spans="1:18" s="1" customFormat="1" ht="8.1" customHeight="1" thickTop="1" thickBot="1">
      <c r="A3" s="158"/>
      <c r="E3" s="158"/>
      <c r="F3" s="2"/>
      <c r="G3" s="159"/>
      <c r="H3" s="1039"/>
      <c r="I3" s="1039"/>
      <c r="J3" s="139"/>
      <c r="K3" s="721"/>
      <c r="L3" s="74"/>
      <c r="M3" s="74"/>
      <c r="N3" s="74"/>
      <c r="O3" s="208"/>
      <c r="P3" s="208"/>
    </row>
    <row r="4" spans="1:18" s="1" customFormat="1" ht="39" customHeight="1">
      <c r="A4" s="158"/>
      <c r="B4" s="1043" t="s">
        <v>76</v>
      </c>
      <c r="C4" s="1045" t="s">
        <v>77</v>
      </c>
      <c r="D4" s="1047" t="s">
        <v>102</v>
      </c>
      <c r="E4" s="1062" t="s">
        <v>692</v>
      </c>
      <c r="F4" s="1058" t="s">
        <v>466</v>
      </c>
      <c r="G4" s="1048" t="s">
        <v>493</v>
      </c>
      <c r="H4" s="1050" t="s">
        <v>78</v>
      </c>
      <c r="I4" s="1059" t="s">
        <v>901</v>
      </c>
      <c r="J4" s="1068" t="s">
        <v>813</v>
      </c>
      <c r="K4" s="1037" t="s">
        <v>906</v>
      </c>
      <c r="L4" s="1040" t="s">
        <v>905</v>
      </c>
      <c r="M4" s="1041"/>
      <c r="N4" s="1042"/>
      <c r="O4" s="1054" t="s">
        <v>945</v>
      </c>
      <c r="P4" s="1032" t="s">
        <v>946</v>
      </c>
      <c r="R4" s="61"/>
    </row>
    <row r="5" spans="1:18" s="158" customFormat="1" ht="27" customHeight="1">
      <c r="B5" s="1044"/>
      <c r="C5" s="1046"/>
      <c r="D5" s="1046"/>
      <c r="E5" s="1049"/>
      <c r="F5" s="1051"/>
      <c r="G5" s="1049"/>
      <c r="H5" s="1051"/>
      <c r="I5" s="1051"/>
      <c r="J5" s="1051"/>
      <c r="K5" s="1038"/>
      <c r="L5" s="373" t="s">
        <v>526</v>
      </c>
      <c r="M5" s="242" t="s">
        <v>527</v>
      </c>
      <c r="N5" s="764" t="s">
        <v>319</v>
      </c>
      <c r="O5" s="1055"/>
      <c r="P5" s="1033"/>
    </row>
    <row r="6" spans="1:18" s="2" customFormat="1" ht="12.95" customHeight="1">
      <c r="A6" s="159"/>
      <c r="B6" s="328">
        <v>1</v>
      </c>
      <c r="C6" s="195">
        <v>2</v>
      </c>
      <c r="D6" s="195">
        <v>3</v>
      </c>
      <c r="E6" s="195">
        <v>4</v>
      </c>
      <c r="F6" s="195">
        <v>5</v>
      </c>
      <c r="G6" s="195">
        <v>6</v>
      </c>
      <c r="H6" s="195">
        <v>7</v>
      </c>
      <c r="I6" s="195">
        <v>8</v>
      </c>
      <c r="J6" s="195">
        <v>9</v>
      </c>
      <c r="K6" s="188">
        <v>10</v>
      </c>
      <c r="L6" s="328">
        <v>11</v>
      </c>
      <c r="M6" s="195">
        <v>12</v>
      </c>
      <c r="N6" s="810" t="s">
        <v>694</v>
      </c>
      <c r="O6" s="929" t="s">
        <v>814</v>
      </c>
      <c r="P6" s="930" t="s">
        <v>944</v>
      </c>
    </row>
    <row r="7" spans="1:18" s="2" customFormat="1" ht="12.95" customHeight="1">
      <c r="A7" s="159"/>
      <c r="B7" s="6" t="s">
        <v>123</v>
      </c>
      <c r="C7" s="7" t="s">
        <v>79</v>
      </c>
      <c r="D7" s="7" t="s">
        <v>80</v>
      </c>
      <c r="E7" s="415" t="s">
        <v>701</v>
      </c>
      <c r="F7" s="5"/>
      <c r="G7" s="160"/>
      <c r="H7" s="5"/>
      <c r="I7" s="5"/>
      <c r="J7" s="5"/>
      <c r="K7" s="173"/>
      <c r="L7" s="4"/>
      <c r="M7" s="160"/>
      <c r="N7" s="811"/>
      <c r="O7" s="951"/>
      <c r="P7" s="952"/>
    </row>
    <row r="8" spans="1:18" s="1" customFormat="1" ht="12.95" customHeight="1">
      <c r="A8" s="158"/>
      <c r="B8" s="12"/>
      <c r="C8" s="8"/>
      <c r="D8" s="8"/>
      <c r="E8" s="8"/>
      <c r="F8" s="176">
        <v>611000</v>
      </c>
      <c r="G8" s="195"/>
      <c r="H8" s="25" t="s">
        <v>140</v>
      </c>
      <c r="I8" s="236">
        <f t="shared" ref="I8:N8" si="0">SUM(I9:I12)</f>
        <v>331380</v>
      </c>
      <c r="J8" s="236">
        <f t="shared" si="0"/>
        <v>331380</v>
      </c>
      <c r="K8" s="226">
        <f t="shared" si="0"/>
        <v>283855</v>
      </c>
      <c r="L8" s="482">
        <f t="shared" si="0"/>
        <v>330273</v>
      </c>
      <c r="M8" s="236">
        <f t="shared" si="0"/>
        <v>0</v>
      </c>
      <c r="N8" s="812">
        <f t="shared" si="0"/>
        <v>330273</v>
      </c>
      <c r="O8" s="953">
        <f t="shared" ref="O8:O37" si="1">IF(J8=0,"",N8/J8*100)</f>
        <v>99.665942422596416</v>
      </c>
      <c r="P8" s="954">
        <f>IF(K8=0,"",N8/K8*100)</f>
        <v>116.35271529478079</v>
      </c>
    </row>
    <row r="9" spans="1:18" ht="12.95" customHeight="1">
      <c r="B9" s="10"/>
      <c r="C9" s="11"/>
      <c r="D9" s="11"/>
      <c r="E9" s="163"/>
      <c r="F9" s="177">
        <v>611100</v>
      </c>
      <c r="G9" s="196"/>
      <c r="H9" s="428" t="s">
        <v>161</v>
      </c>
      <c r="I9" s="235">
        <f>279480+200</f>
        <v>279680</v>
      </c>
      <c r="J9" s="235">
        <f>279480+200</f>
        <v>279680</v>
      </c>
      <c r="K9" s="225">
        <v>248724</v>
      </c>
      <c r="L9" s="357">
        <v>279447</v>
      </c>
      <c r="M9" s="235">
        <v>0</v>
      </c>
      <c r="N9" s="813">
        <f>SUM(L9:M9)</f>
        <v>279447</v>
      </c>
      <c r="O9" s="955">
        <f t="shared" si="1"/>
        <v>99.916690503432491</v>
      </c>
      <c r="P9" s="956">
        <f t="shared" ref="P9:P53" si="2">IF(K9=0,"",N9/K9*100)</f>
        <v>112.35224586288417</v>
      </c>
    </row>
    <row r="10" spans="1:18" ht="12.95" customHeight="1">
      <c r="B10" s="10"/>
      <c r="C10" s="11"/>
      <c r="D10" s="11"/>
      <c r="E10" s="163"/>
      <c r="F10" s="177">
        <v>611200</v>
      </c>
      <c r="G10" s="196"/>
      <c r="H10" s="24" t="s">
        <v>162</v>
      </c>
      <c r="I10" s="235">
        <f>43200+300+500+11*700</f>
        <v>51700</v>
      </c>
      <c r="J10" s="235">
        <f>43200+300+500+11*700</f>
        <v>51700</v>
      </c>
      <c r="K10" s="225">
        <v>35131</v>
      </c>
      <c r="L10" s="357">
        <v>50826</v>
      </c>
      <c r="M10" s="235">
        <v>0</v>
      </c>
      <c r="N10" s="813">
        <f t="shared" ref="N10:N11" si="3">SUM(L10:M10)</f>
        <v>50826</v>
      </c>
      <c r="O10" s="955">
        <f t="shared" si="1"/>
        <v>98.30947775628627</v>
      </c>
      <c r="P10" s="956">
        <f t="shared" si="2"/>
        <v>144.67564259485923</v>
      </c>
    </row>
    <row r="11" spans="1:18" ht="12.95" customHeight="1">
      <c r="B11" s="10"/>
      <c r="C11" s="11"/>
      <c r="D11" s="11"/>
      <c r="E11" s="163"/>
      <c r="F11" s="177">
        <v>611200</v>
      </c>
      <c r="G11" s="196"/>
      <c r="H11" s="435" t="s">
        <v>434</v>
      </c>
      <c r="I11" s="235">
        <v>0</v>
      </c>
      <c r="J11" s="235">
        <v>0</v>
      </c>
      <c r="K11" s="225">
        <v>0</v>
      </c>
      <c r="L11" s="357">
        <v>0</v>
      </c>
      <c r="M11" s="235">
        <v>0</v>
      </c>
      <c r="N11" s="813">
        <f t="shared" si="3"/>
        <v>0</v>
      </c>
      <c r="O11" s="955" t="str">
        <f t="shared" si="1"/>
        <v/>
      </c>
      <c r="P11" s="956" t="str">
        <f t="shared" si="2"/>
        <v/>
      </c>
      <c r="R11" s="50"/>
    </row>
    <row r="12" spans="1:18" ht="12.95" customHeight="1">
      <c r="B12" s="10"/>
      <c r="C12" s="11"/>
      <c r="D12" s="11"/>
      <c r="E12" s="163"/>
      <c r="F12" s="177"/>
      <c r="G12" s="196"/>
      <c r="H12" s="428"/>
      <c r="I12" s="235"/>
      <c r="J12" s="235"/>
      <c r="K12" s="225"/>
      <c r="L12" s="357"/>
      <c r="M12" s="235"/>
      <c r="N12" s="813"/>
      <c r="O12" s="955" t="str">
        <f t="shared" si="1"/>
        <v/>
      </c>
      <c r="P12" s="956" t="str">
        <f t="shared" si="2"/>
        <v/>
      </c>
    </row>
    <row r="13" spans="1:18" s="1" customFormat="1" ht="12.95" customHeight="1">
      <c r="A13" s="158"/>
      <c r="B13" s="12"/>
      <c r="C13" s="8"/>
      <c r="D13" s="8"/>
      <c r="E13" s="8"/>
      <c r="F13" s="176">
        <v>612000</v>
      </c>
      <c r="G13" s="195"/>
      <c r="H13" s="25" t="s">
        <v>139</v>
      </c>
      <c r="I13" s="236">
        <f t="shared" ref="I13:N13" si="4">I14</f>
        <v>29460</v>
      </c>
      <c r="J13" s="236">
        <f t="shared" si="4"/>
        <v>29460</v>
      </c>
      <c r="K13" s="226">
        <f t="shared" si="4"/>
        <v>26077</v>
      </c>
      <c r="L13" s="482">
        <f t="shared" si="4"/>
        <v>29341</v>
      </c>
      <c r="M13" s="236">
        <f t="shared" si="4"/>
        <v>0</v>
      </c>
      <c r="N13" s="812">
        <f t="shared" si="4"/>
        <v>29341</v>
      </c>
      <c r="O13" s="953">
        <f t="shared" si="1"/>
        <v>99.596062457569587</v>
      </c>
      <c r="P13" s="954">
        <f t="shared" si="2"/>
        <v>112.51677723664532</v>
      </c>
    </row>
    <row r="14" spans="1:18" ht="12.95" customHeight="1">
      <c r="B14" s="10"/>
      <c r="C14" s="11"/>
      <c r="D14" s="11"/>
      <c r="E14" s="163"/>
      <c r="F14" s="177">
        <v>612100</v>
      </c>
      <c r="G14" s="196"/>
      <c r="H14" s="430" t="s">
        <v>81</v>
      </c>
      <c r="I14" s="235">
        <f>29360+100</f>
        <v>29460</v>
      </c>
      <c r="J14" s="235">
        <f>29360+100</f>
        <v>29460</v>
      </c>
      <c r="K14" s="225">
        <v>26077</v>
      </c>
      <c r="L14" s="357">
        <v>29341</v>
      </c>
      <c r="M14" s="235">
        <v>0</v>
      </c>
      <c r="N14" s="813">
        <f>SUM(L14:M14)</f>
        <v>29341</v>
      </c>
      <c r="O14" s="955">
        <f t="shared" si="1"/>
        <v>99.596062457569587</v>
      </c>
      <c r="P14" s="956">
        <f t="shared" si="2"/>
        <v>112.51677723664532</v>
      </c>
    </row>
    <row r="15" spans="1:18" ht="12.95" customHeight="1">
      <c r="B15" s="10"/>
      <c r="C15" s="11"/>
      <c r="D15" s="11"/>
      <c r="E15" s="163"/>
      <c r="F15" s="177"/>
      <c r="G15" s="196"/>
      <c r="H15" s="24"/>
      <c r="I15" s="231"/>
      <c r="J15" s="231"/>
      <c r="K15" s="220"/>
      <c r="L15" s="358"/>
      <c r="M15" s="231"/>
      <c r="N15" s="776"/>
      <c r="O15" s="955" t="str">
        <f t="shared" si="1"/>
        <v/>
      </c>
      <c r="P15" s="956" t="str">
        <f t="shared" si="2"/>
        <v/>
      </c>
    </row>
    <row r="16" spans="1:18" s="1" customFormat="1" ht="12.95" customHeight="1">
      <c r="A16" s="158"/>
      <c r="B16" s="12"/>
      <c r="C16" s="8"/>
      <c r="D16" s="8"/>
      <c r="E16" s="8"/>
      <c r="F16" s="176">
        <v>613000</v>
      </c>
      <c r="G16" s="195"/>
      <c r="H16" s="25" t="s">
        <v>141</v>
      </c>
      <c r="I16" s="234">
        <f t="shared" ref="I16:N16" si="5">SUM(I17:I26)</f>
        <v>102110</v>
      </c>
      <c r="J16" s="234">
        <f t="shared" si="5"/>
        <v>102110</v>
      </c>
      <c r="K16" s="221">
        <f t="shared" si="5"/>
        <v>63046</v>
      </c>
      <c r="L16" s="483">
        <f t="shared" si="5"/>
        <v>100446</v>
      </c>
      <c r="M16" s="234">
        <f t="shared" si="5"/>
        <v>0</v>
      </c>
      <c r="N16" s="774">
        <f t="shared" si="5"/>
        <v>100446</v>
      </c>
      <c r="O16" s="953">
        <f t="shared" si="1"/>
        <v>98.370384879051997</v>
      </c>
      <c r="P16" s="954">
        <f t="shared" si="2"/>
        <v>159.32176506043209</v>
      </c>
      <c r="R16" s="52"/>
    </row>
    <row r="17" spans="1:17" ht="12.95" customHeight="1">
      <c r="B17" s="10"/>
      <c r="C17" s="11"/>
      <c r="D17" s="11"/>
      <c r="E17" s="163"/>
      <c r="F17" s="177">
        <v>613100</v>
      </c>
      <c r="G17" s="196"/>
      <c r="H17" s="24" t="s">
        <v>82</v>
      </c>
      <c r="I17" s="235">
        <v>2000</v>
      </c>
      <c r="J17" s="235">
        <v>2000</v>
      </c>
      <c r="K17" s="225">
        <v>1621</v>
      </c>
      <c r="L17" s="358">
        <v>1929</v>
      </c>
      <c r="M17" s="231">
        <v>0</v>
      </c>
      <c r="N17" s="813">
        <f t="shared" ref="N17:N26" si="6">SUM(L17:M17)</f>
        <v>1929</v>
      </c>
      <c r="O17" s="955">
        <f t="shared" si="1"/>
        <v>96.45</v>
      </c>
      <c r="P17" s="956">
        <f t="shared" si="2"/>
        <v>119.00061690314621</v>
      </c>
    </row>
    <row r="18" spans="1:17" ht="12.95" customHeight="1">
      <c r="B18" s="10"/>
      <c r="C18" s="11"/>
      <c r="D18" s="11"/>
      <c r="E18" s="163"/>
      <c r="F18" s="177">
        <v>613200</v>
      </c>
      <c r="G18" s="196"/>
      <c r="H18" s="24" t="s">
        <v>83</v>
      </c>
      <c r="I18" s="235">
        <v>0</v>
      </c>
      <c r="J18" s="235">
        <v>0</v>
      </c>
      <c r="K18" s="225">
        <v>0</v>
      </c>
      <c r="L18" s="358">
        <v>0</v>
      </c>
      <c r="M18" s="231">
        <v>0</v>
      </c>
      <c r="N18" s="813">
        <f t="shared" si="6"/>
        <v>0</v>
      </c>
      <c r="O18" s="955" t="str">
        <f t="shared" si="1"/>
        <v/>
      </c>
      <c r="P18" s="956" t="str">
        <f t="shared" si="2"/>
        <v/>
      </c>
    </row>
    <row r="19" spans="1:17" ht="12.95" customHeight="1">
      <c r="B19" s="10"/>
      <c r="C19" s="11"/>
      <c r="D19" s="11"/>
      <c r="E19" s="163"/>
      <c r="F19" s="177">
        <v>613300</v>
      </c>
      <c r="G19" s="196"/>
      <c r="H19" s="428" t="s">
        <v>163</v>
      </c>
      <c r="I19" s="235">
        <v>16500</v>
      </c>
      <c r="J19" s="235">
        <v>16500</v>
      </c>
      <c r="K19" s="225">
        <v>15704</v>
      </c>
      <c r="L19" s="358">
        <v>15769</v>
      </c>
      <c r="M19" s="231">
        <v>0</v>
      </c>
      <c r="N19" s="813">
        <f t="shared" si="6"/>
        <v>15769</v>
      </c>
      <c r="O19" s="955">
        <f t="shared" si="1"/>
        <v>95.569696969696977</v>
      </c>
      <c r="P19" s="956">
        <f t="shared" si="2"/>
        <v>100.41390728476823</v>
      </c>
    </row>
    <row r="20" spans="1:17" ht="12.95" customHeight="1">
      <c r="B20" s="10"/>
      <c r="C20" s="11"/>
      <c r="D20" s="11"/>
      <c r="E20" s="163"/>
      <c r="F20" s="177">
        <v>613400</v>
      </c>
      <c r="G20" s="196"/>
      <c r="H20" s="24" t="s">
        <v>142</v>
      </c>
      <c r="I20" s="235">
        <v>1610</v>
      </c>
      <c r="J20" s="235">
        <v>2110</v>
      </c>
      <c r="K20" s="225">
        <v>300</v>
      </c>
      <c r="L20" s="357">
        <v>2094</v>
      </c>
      <c r="M20" s="235">
        <v>0</v>
      </c>
      <c r="N20" s="813">
        <f t="shared" si="6"/>
        <v>2094</v>
      </c>
      <c r="O20" s="955">
        <f t="shared" si="1"/>
        <v>99.241706161137444</v>
      </c>
      <c r="P20" s="956">
        <f t="shared" si="2"/>
        <v>698</v>
      </c>
    </row>
    <row r="21" spans="1:17" ht="12.95" customHeight="1">
      <c r="B21" s="10"/>
      <c r="C21" s="11"/>
      <c r="D21" s="11"/>
      <c r="E21" s="163"/>
      <c r="F21" s="177">
        <v>613500</v>
      </c>
      <c r="G21" s="196"/>
      <c r="H21" s="24" t="s">
        <v>84</v>
      </c>
      <c r="I21" s="235">
        <v>0</v>
      </c>
      <c r="J21" s="235">
        <v>0</v>
      </c>
      <c r="K21" s="225">
        <v>0</v>
      </c>
      <c r="L21" s="357">
        <v>0</v>
      </c>
      <c r="M21" s="235">
        <v>0</v>
      </c>
      <c r="N21" s="813">
        <f t="shared" si="6"/>
        <v>0</v>
      </c>
      <c r="O21" s="955" t="str">
        <f t="shared" si="1"/>
        <v/>
      </c>
      <c r="P21" s="956" t="str">
        <f t="shared" si="2"/>
        <v/>
      </c>
    </row>
    <row r="22" spans="1:17" ht="12.95" customHeight="1">
      <c r="B22" s="10"/>
      <c r="C22" s="11"/>
      <c r="D22" s="11"/>
      <c r="E22" s="163"/>
      <c r="F22" s="177">
        <v>613600</v>
      </c>
      <c r="G22" s="196"/>
      <c r="H22" s="428" t="s">
        <v>164</v>
      </c>
      <c r="I22" s="235">
        <v>0</v>
      </c>
      <c r="J22" s="235">
        <v>0</v>
      </c>
      <c r="K22" s="225">
        <v>0</v>
      </c>
      <c r="L22" s="357">
        <v>0</v>
      </c>
      <c r="M22" s="235">
        <v>0</v>
      </c>
      <c r="N22" s="813">
        <f t="shared" si="6"/>
        <v>0</v>
      </c>
      <c r="O22" s="955" t="str">
        <f t="shared" si="1"/>
        <v/>
      </c>
      <c r="P22" s="956" t="str">
        <f t="shared" si="2"/>
        <v/>
      </c>
    </row>
    <row r="23" spans="1:17" ht="12.95" customHeight="1">
      <c r="B23" s="10"/>
      <c r="C23" s="11"/>
      <c r="D23" s="11"/>
      <c r="E23" s="163"/>
      <c r="F23" s="177">
        <v>613700</v>
      </c>
      <c r="G23" s="196"/>
      <c r="H23" s="24" t="s">
        <v>85</v>
      </c>
      <c r="I23" s="235">
        <v>1000</v>
      </c>
      <c r="J23" s="235">
        <v>500</v>
      </c>
      <c r="K23" s="225">
        <v>527</v>
      </c>
      <c r="L23" s="357">
        <v>470</v>
      </c>
      <c r="M23" s="235">
        <v>0</v>
      </c>
      <c r="N23" s="813">
        <f t="shared" si="6"/>
        <v>470</v>
      </c>
      <c r="O23" s="955">
        <f t="shared" si="1"/>
        <v>94</v>
      </c>
      <c r="P23" s="956">
        <f t="shared" si="2"/>
        <v>89.184060721062622</v>
      </c>
    </row>
    <row r="24" spans="1:17" ht="12.95" customHeight="1">
      <c r="B24" s="10"/>
      <c r="C24" s="11"/>
      <c r="D24" s="11"/>
      <c r="E24" s="163"/>
      <c r="F24" s="177">
        <v>613800</v>
      </c>
      <c r="G24" s="196"/>
      <c r="H24" s="24" t="s">
        <v>143</v>
      </c>
      <c r="I24" s="235">
        <v>0</v>
      </c>
      <c r="J24" s="235">
        <v>0</v>
      </c>
      <c r="K24" s="225">
        <v>0</v>
      </c>
      <c r="L24" s="357">
        <v>0</v>
      </c>
      <c r="M24" s="235">
        <v>0</v>
      </c>
      <c r="N24" s="813">
        <f t="shared" si="6"/>
        <v>0</v>
      </c>
      <c r="O24" s="955" t="str">
        <f t="shared" si="1"/>
        <v/>
      </c>
      <c r="P24" s="956" t="str">
        <f t="shared" si="2"/>
        <v/>
      </c>
    </row>
    <row r="25" spans="1:17" ht="12.95" customHeight="1">
      <c r="B25" s="10"/>
      <c r="C25" s="11"/>
      <c r="D25" s="11"/>
      <c r="E25" s="163"/>
      <c r="F25" s="177">
        <v>613900</v>
      </c>
      <c r="G25" s="196"/>
      <c r="H25" s="24" t="s">
        <v>144</v>
      </c>
      <c r="I25" s="237">
        <v>81000</v>
      </c>
      <c r="J25" s="237">
        <v>81000</v>
      </c>
      <c r="K25" s="224">
        <v>44894</v>
      </c>
      <c r="L25" s="360">
        <v>80184</v>
      </c>
      <c r="M25" s="237">
        <v>0</v>
      </c>
      <c r="N25" s="813">
        <f t="shared" si="6"/>
        <v>80184</v>
      </c>
      <c r="O25" s="955">
        <f t="shared" si="1"/>
        <v>98.992592592592587</v>
      </c>
      <c r="P25" s="956">
        <f t="shared" si="2"/>
        <v>178.60738628769991</v>
      </c>
    </row>
    <row r="26" spans="1:17" ht="12.95" customHeight="1">
      <c r="B26" s="10"/>
      <c r="C26" s="11"/>
      <c r="D26" s="11"/>
      <c r="E26" s="163"/>
      <c r="F26" s="177">
        <v>613900</v>
      </c>
      <c r="G26" s="196"/>
      <c r="H26" s="435" t="s">
        <v>435</v>
      </c>
      <c r="I26" s="235">
        <v>0</v>
      </c>
      <c r="J26" s="235">
        <v>0</v>
      </c>
      <c r="K26" s="225">
        <v>0</v>
      </c>
      <c r="L26" s="357">
        <v>0</v>
      </c>
      <c r="M26" s="235">
        <v>0</v>
      </c>
      <c r="N26" s="813">
        <f t="shared" si="6"/>
        <v>0</v>
      </c>
      <c r="O26" s="955" t="str">
        <f t="shared" si="1"/>
        <v/>
      </c>
      <c r="P26" s="956" t="str">
        <f t="shared" si="2"/>
        <v/>
      </c>
    </row>
    <row r="27" spans="1:17" ht="12.95" customHeight="1">
      <c r="B27" s="10"/>
      <c r="C27" s="11"/>
      <c r="D27" s="11"/>
      <c r="E27" s="163"/>
      <c r="F27" s="177"/>
      <c r="G27" s="196"/>
      <c r="H27" s="24"/>
      <c r="I27" s="236"/>
      <c r="J27" s="236"/>
      <c r="K27" s="226"/>
      <c r="L27" s="482"/>
      <c r="M27" s="236"/>
      <c r="N27" s="774"/>
      <c r="O27" s="955" t="str">
        <f t="shared" si="1"/>
        <v/>
      </c>
      <c r="P27" s="956" t="str">
        <f t="shared" si="2"/>
        <v/>
      </c>
    </row>
    <row r="28" spans="1:17" s="1" customFormat="1" ht="12.95" customHeight="1">
      <c r="A28" s="158"/>
      <c r="B28" s="12"/>
      <c r="C28" s="8"/>
      <c r="D28" s="8"/>
      <c r="E28" s="8"/>
      <c r="F28" s="176">
        <v>614000</v>
      </c>
      <c r="G28" s="195"/>
      <c r="H28" s="25" t="s">
        <v>165</v>
      </c>
      <c r="I28" s="236">
        <f t="shared" ref="I28:J28" si="7">SUM(I29:I32)</f>
        <v>5670000</v>
      </c>
      <c r="J28" s="236">
        <f t="shared" si="7"/>
        <v>5670000</v>
      </c>
      <c r="K28" s="226">
        <f t="shared" ref="K28" si="8">SUM(K29:K32)</f>
        <v>4862095</v>
      </c>
      <c r="L28" s="482">
        <f t="shared" ref="L28:M28" si="9">SUM(L29:L32)</f>
        <v>3788828</v>
      </c>
      <c r="M28" s="236">
        <f t="shared" si="9"/>
        <v>1877986</v>
      </c>
      <c r="N28" s="774">
        <f t="shared" ref="N28" si="10">SUM(N29:N32)</f>
        <v>5666814</v>
      </c>
      <c r="O28" s="953">
        <f t="shared" si="1"/>
        <v>99.94380952380952</v>
      </c>
      <c r="P28" s="954">
        <f t="shared" si="2"/>
        <v>116.55086953257803</v>
      </c>
    </row>
    <row r="29" spans="1:17" ht="12.95" customHeight="1">
      <c r="B29" s="10"/>
      <c r="C29" s="11"/>
      <c r="D29" s="24"/>
      <c r="E29" s="24"/>
      <c r="F29" s="177">
        <v>614100</v>
      </c>
      <c r="G29" s="196"/>
      <c r="H29" s="542" t="s">
        <v>782</v>
      </c>
      <c r="I29" s="237">
        <v>1700000</v>
      </c>
      <c r="J29" s="237">
        <v>1764000</v>
      </c>
      <c r="K29" s="224">
        <v>1400000</v>
      </c>
      <c r="L29" s="360">
        <f>1764000-1641200</f>
        <v>122800</v>
      </c>
      <c r="M29" s="237">
        <f>1491200+150000</f>
        <v>1641200</v>
      </c>
      <c r="N29" s="813">
        <f t="shared" ref="N29:N31" si="11">SUM(L29:M29)</f>
        <v>1764000</v>
      </c>
      <c r="O29" s="955">
        <f t="shared" si="1"/>
        <v>100</v>
      </c>
      <c r="P29" s="956">
        <f t="shared" si="2"/>
        <v>126</v>
      </c>
      <c r="Q29" s="401"/>
    </row>
    <row r="30" spans="1:17" s="161" customFormat="1" ht="12.95" customHeight="1">
      <c r="B30" s="162"/>
      <c r="C30" s="163"/>
      <c r="D30" s="163"/>
      <c r="E30" s="163"/>
      <c r="F30" s="177">
        <v>614200</v>
      </c>
      <c r="G30" s="199" t="s">
        <v>601</v>
      </c>
      <c r="H30" s="438" t="s">
        <v>778</v>
      </c>
      <c r="I30" s="237">
        <v>70000</v>
      </c>
      <c r="J30" s="237">
        <v>70000</v>
      </c>
      <c r="K30" s="224">
        <v>55000</v>
      </c>
      <c r="L30" s="360">
        <v>70000</v>
      </c>
      <c r="M30" s="237">
        <v>0</v>
      </c>
      <c r="N30" s="813">
        <f t="shared" si="11"/>
        <v>70000</v>
      </c>
      <c r="O30" s="955">
        <f t="shared" si="1"/>
        <v>100</v>
      </c>
      <c r="P30" s="956">
        <f t="shared" si="2"/>
        <v>127.27272727272727</v>
      </c>
    </row>
    <row r="31" spans="1:17" s="161" customFormat="1" ht="12.95" customHeight="1">
      <c r="B31" s="162"/>
      <c r="C31" s="163"/>
      <c r="D31" s="163"/>
      <c r="E31" s="163"/>
      <c r="F31" s="177">
        <v>614200</v>
      </c>
      <c r="G31" s="199" t="s">
        <v>602</v>
      </c>
      <c r="H31" s="438" t="s">
        <v>779</v>
      </c>
      <c r="I31" s="237">
        <v>3800000</v>
      </c>
      <c r="J31" s="237">
        <v>3736000</v>
      </c>
      <c r="K31" s="224">
        <v>3312095</v>
      </c>
      <c r="L31" s="360">
        <f>3732814-236786</f>
        <v>3496028</v>
      </c>
      <c r="M31" s="237">
        <v>236786</v>
      </c>
      <c r="N31" s="813">
        <f t="shared" si="11"/>
        <v>3732814</v>
      </c>
      <c r="O31" s="955">
        <f t="shared" si="1"/>
        <v>99.914721627408994</v>
      </c>
      <c r="P31" s="956">
        <f t="shared" si="2"/>
        <v>112.70250400426316</v>
      </c>
    </row>
    <row r="32" spans="1:17" s="161" customFormat="1" ht="12.95" customHeight="1">
      <c r="B32" s="162"/>
      <c r="C32" s="163"/>
      <c r="D32" s="163"/>
      <c r="E32" s="163"/>
      <c r="F32" s="177">
        <v>614300</v>
      </c>
      <c r="G32" s="199" t="s">
        <v>749</v>
      </c>
      <c r="H32" s="438" t="s">
        <v>746</v>
      </c>
      <c r="I32" s="237">
        <v>100000</v>
      </c>
      <c r="J32" s="237">
        <v>100000</v>
      </c>
      <c r="K32" s="224">
        <v>95000</v>
      </c>
      <c r="L32" s="360">
        <v>100000</v>
      </c>
      <c r="M32" s="237">
        <v>0</v>
      </c>
      <c r="N32" s="813">
        <f t="shared" ref="N32" si="12">SUM(L32:M32)</f>
        <v>100000</v>
      </c>
      <c r="O32" s="955">
        <f t="shared" si="1"/>
        <v>100</v>
      </c>
      <c r="P32" s="956">
        <f t="shared" si="2"/>
        <v>105.26315789473684</v>
      </c>
    </row>
    <row r="33" spans="1:17" ht="12.95" customHeight="1">
      <c r="B33" s="10"/>
      <c r="C33" s="11"/>
      <c r="D33" s="11"/>
      <c r="E33" s="163"/>
      <c r="F33" s="177"/>
      <c r="G33" s="196"/>
      <c r="H33" s="24"/>
      <c r="I33" s="235"/>
      <c r="J33" s="235"/>
      <c r="K33" s="225"/>
      <c r="L33" s="357"/>
      <c r="M33" s="235"/>
      <c r="N33" s="776"/>
      <c r="O33" s="955" t="str">
        <f t="shared" si="1"/>
        <v/>
      </c>
      <c r="P33" s="956" t="str">
        <f t="shared" si="2"/>
        <v/>
      </c>
    </row>
    <row r="34" spans="1:17" ht="12.95" customHeight="1">
      <c r="B34" s="12"/>
      <c r="C34" s="8"/>
      <c r="D34" s="8"/>
      <c r="E34" s="8"/>
      <c r="F34" s="176">
        <v>821000</v>
      </c>
      <c r="G34" s="195"/>
      <c r="H34" s="25" t="s">
        <v>88</v>
      </c>
      <c r="I34" s="236">
        <f t="shared" ref="I34:N34" si="13">I35+I36</f>
        <v>3400</v>
      </c>
      <c r="J34" s="236">
        <f t="shared" si="13"/>
        <v>3400</v>
      </c>
      <c r="K34" s="226">
        <f t="shared" si="13"/>
        <v>1484</v>
      </c>
      <c r="L34" s="482">
        <f t="shared" si="13"/>
        <v>3378</v>
      </c>
      <c r="M34" s="236">
        <f t="shared" si="13"/>
        <v>0</v>
      </c>
      <c r="N34" s="774">
        <f t="shared" si="13"/>
        <v>3378</v>
      </c>
      <c r="O34" s="953">
        <f t="shared" si="1"/>
        <v>99.352941176470594</v>
      </c>
      <c r="P34" s="954">
        <f t="shared" si="2"/>
        <v>227.62803234501351</v>
      </c>
    </row>
    <row r="35" spans="1:17" s="1" customFormat="1" ht="12.95" customHeight="1">
      <c r="A35" s="158"/>
      <c r="B35" s="10"/>
      <c r="C35" s="11"/>
      <c r="D35" s="11"/>
      <c r="E35" s="163"/>
      <c r="F35" s="177">
        <v>821200</v>
      </c>
      <c r="G35" s="196"/>
      <c r="H35" s="24" t="s">
        <v>89</v>
      </c>
      <c r="I35" s="235">
        <v>0</v>
      </c>
      <c r="J35" s="235">
        <v>0</v>
      </c>
      <c r="K35" s="225">
        <v>0</v>
      </c>
      <c r="L35" s="357">
        <v>0</v>
      </c>
      <c r="M35" s="235">
        <v>0</v>
      </c>
      <c r="N35" s="813">
        <f t="shared" ref="N35:N36" si="14">SUM(L35:M35)</f>
        <v>0</v>
      </c>
      <c r="O35" s="955" t="str">
        <f t="shared" si="1"/>
        <v/>
      </c>
      <c r="P35" s="956" t="str">
        <f t="shared" si="2"/>
        <v/>
      </c>
      <c r="Q35" s="1" t="s">
        <v>145</v>
      </c>
    </row>
    <row r="36" spans="1:17" ht="12.95" customHeight="1">
      <c r="B36" s="10"/>
      <c r="C36" s="11"/>
      <c r="D36" s="11"/>
      <c r="E36" s="163"/>
      <c r="F36" s="177">
        <v>821300</v>
      </c>
      <c r="G36" s="196"/>
      <c r="H36" s="24" t="s">
        <v>90</v>
      </c>
      <c r="I36" s="235">
        <v>3400</v>
      </c>
      <c r="J36" s="235">
        <v>3400</v>
      </c>
      <c r="K36" s="225">
        <v>1484</v>
      </c>
      <c r="L36" s="357">
        <v>3378</v>
      </c>
      <c r="M36" s="235">
        <v>0</v>
      </c>
      <c r="N36" s="813">
        <f t="shared" si="14"/>
        <v>3378</v>
      </c>
      <c r="O36" s="955">
        <f t="shared" si="1"/>
        <v>99.352941176470594</v>
      </c>
      <c r="P36" s="956">
        <f t="shared" si="2"/>
        <v>227.62803234501351</v>
      </c>
    </row>
    <row r="37" spans="1:17" ht="12.95" customHeight="1">
      <c r="B37" s="10"/>
      <c r="C37" s="11"/>
      <c r="D37" s="11"/>
      <c r="E37" s="163"/>
      <c r="F37" s="177"/>
      <c r="G37" s="196"/>
      <c r="H37" s="24"/>
      <c r="I37" s="235"/>
      <c r="J37" s="235"/>
      <c r="K37" s="225"/>
      <c r="L37" s="357"/>
      <c r="M37" s="235"/>
      <c r="N37" s="776"/>
      <c r="O37" s="955" t="str">
        <f t="shared" si="1"/>
        <v/>
      </c>
      <c r="P37" s="956" t="str">
        <f t="shared" si="2"/>
        <v/>
      </c>
    </row>
    <row r="38" spans="1:17" ht="12.95" customHeight="1">
      <c r="B38" s="12"/>
      <c r="C38" s="8"/>
      <c r="D38" s="8"/>
      <c r="E38" s="8"/>
      <c r="F38" s="176"/>
      <c r="G38" s="195"/>
      <c r="H38" s="25" t="s">
        <v>91</v>
      </c>
      <c r="I38" s="377" t="s">
        <v>825</v>
      </c>
      <c r="J38" s="377" t="s">
        <v>825</v>
      </c>
      <c r="K38" s="486">
        <v>10</v>
      </c>
      <c r="L38" s="485" t="s">
        <v>825</v>
      </c>
      <c r="M38" s="377"/>
      <c r="N38" s="767" t="s">
        <v>825</v>
      </c>
      <c r="O38" s="955"/>
      <c r="P38" s="956"/>
    </row>
    <row r="39" spans="1:17" s="1" customFormat="1" ht="12.95" customHeight="1">
      <c r="A39" s="158"/>
      <c r="B39" s="12"/>
      <c r="C39" s="8"/>
      <c r="D39" s="8"/>
      <c r="E39" s="8"/>
      <c r="F39" s="176"/>
      <c r="G39" s="195"/>
      <c r="H39" s="8" t="s">
        <v>105</v>
      </c>
      <c r="I39" s="367">
        <f t="shared" ref="I39:N39" si="15">I8+I13+I16+I28+I34</f>
        <v>6136350</v>
      </c>
      <c r="J39" s="165">
        <f t="shared" si="15"/>
        <v>6136350</v>
      </c>
      <c r="K39" s="153">
        <f t="shared" ref="K39" si="16">K8+K13+K16+K28+K34</f>
        <v>5236557</v>
      </c>
      <c r="L39" s="370">
        <f t="shared" si="15"/>
        <v>4252266</v>
      </c>
      <c r="M39" s="165">
        <f t="shared" si="15"/>
        <v>1877986</v>
      </c>
      <c r="N39" s="774">
        <f t="shared" si="15"/>
        <v>6130252</v>
      </c>
      <c r="O39" s="953">
        <f>IF(J39=0,"",N39/J39*100)</f>
        <v>99.900624964351763</v>
      </c>
      <c r="P39" s="954">
        <f t="shared" si="2"/>
        <v>117.06646179923182</v>
      </c>
    </row>
    <row r="40" spans="1:17" s="1" customFormat="1" ht="12.95" customHeight="1">
      <c r="A40" s="158"/>
      <c r="B40" s="12"/>
      <c r="C40" s="8"/>
      <c r="D40" s="8"/>
      <c r="E40" s="8"/>
      <c r="F40" s="176"/>
      <c r="G40" s="195"/>
      <c r="H40" s="8" t="s">
        <v>92</v>
      </c>
      <c r="I40" s="15">
        <f t="shared" ref="I40:K41" si="17">I39</f>
        <v>6136350</v>
      </c>
      <c r="J40" s="15">
        <f t="shared" si="17"/>
        <v>6136350</v>
      </c>
      <c r="K40" s="153">
        <f t="shared" si="17"/>
        <v>5236557</v>
      </c>
      <c r="L40" s="370">
        <f t="shared" ref="L40:N41" si="18">L39</f>
        <v>4252266</v>
      </c>
      <c r="M40" s="165">
        <f t="shared" si="18"/>
        <v>1877986</v>
      </c>
      <c r="N40" s="774">
        <f t="shared" si="18"/>
        <v>6130252</v>
      </c>
      <c r="O40" s="953">
        <f>IF(J40=0,"",N40/J40*100)</f>
        <v>99.900624964351763</v>
      </c>
      <c r="P40" s="954">
        <f t="shared" si="2"/>
        <v>117.06646179923182</v>
      </c>
    </row>
    <row r="41" spans="1:17" s="1" customFormat="1" ht="12.95" customHeight="1">
      <c r="A41" s="158"/>
      <c r="B41" s="12"/>
      <c r="C41" s="8"/>
      <c r="D41" s="8"/>
      <c r="E41" s="8"/>
      <c r="F41" s="176"/>
      <c r="G41" s="195"/>
      <c r="H41" s="8" t="s">
        <v>93</v>
      </c>
      <c r="I41" s="15">
        <f t="shared" si="17"/>
        <v>6136350</v>
      </c>
      <c r="J41" s="15">
        <f t="shared" si="17"/>
        <v>6136350</v>
      </c>
      <c r="K41" s="153">
        <f t="shared" si="17"/>
        <v>5236557</v>
      </c>
      <c r="L41" s="370">
        <f t="shared" si="18"/>
        <v>4252266</v>
      </c>
      <c r="M41" s="165">
        <f t="shared" si="18"/>
        <v>1877986</v>
      </c>
      <c r="N41" s="774">
        <f t="shared" si="18"/>
        <v>6130252</v>
      </c>
      <c r="O41" s="953">
        <f>IF(J41=0,"",N41/J41*100)</f>
        <v>99.900624964351763</v>
      </c>
      <c r="P41" s="954">
        <f t="shared" si="2"/>
        <v>117.06646179923182</v>
      </c>
    </row>
    <row r="42" spans="1:17" s="1" customFormat="1" ht="12.95" customHeight="1" thickBot="1">
      <c r="A42" s="158"/>
      <c r="B42" s="16"/>
      <c r="C42" s="17"/>
      <c r="D42" s="17"/>
      <c r="E42" s="17"/>
      <c r="F42" s="178"/>
      <c r="G42" s="197"/>
      <c r="H42" s="17"/>
      <c r="I42" s="17"/>
      <c r="J42" s="17"/>
      <c r="K42" s="355"/>
      <c r="L42" s="16"/>
      <c r="M42" s="17"/>
      <c r="N42" s="800"/>
      <c r="O42" s="957"/>
      <c r="P42" s="958" t="str">
        <f t="shared" si="2"/>
        <v/>
      </c>
    </row>
    <row r="43" spans="1:17" ht="12.95" customHeight="1">
      <c r="F43" s="179"/>
      <c r="G43" s="198"/>
      <c r="L43" s="399"/>
      <c r="N43" s="253"/>
      <c r="P43" s="214" t="str">
        <f t="shared" si="2"/>
        <v/>
      </c>
    </row>
    <row r="44" spans="1:17" ht="12.95" customHeight="1">
      <c r="F44" s="179"/>
      <c r="G44" s="198"/>
      <c r="N44" s="253"/>
      <c r="P44" s="214" t="str">
        <f t="shared" si="2"/>
        <v/>
      </c>
    </row>
    <row r="45" spans="1:17" ht="12.95" customHeight="1">
      <c r="B45" s="45"/>
      <c r="F45" s="179"/>
      <c r="G45" s="198"/>
      <c r="N45" s="253"/>
      <c r="P45" s="214" t="str">
        <f t="shared" si="2"/>
        <v/>
      </c>
    </row>
    <row r="46" spans="1:17" ht="12.95" customHeight="1">
      <c r="B46" s="45"/>
      <c r="F46" s="179"/>
      <c r="G46" s="198"/>
      <c r="N46" s="253"/>
      <c r="P46" s="214" t="str">
        <f t="shared" si="2"/>
        <v/>
      </c>
    </row>
    <row r="47" spans="1:17" ht="12.95" customHeight="1">
      <c r="B47" s="45"/>
      <c r="F47" s="179"/>
      <c r="G47" s="198"/>
      <c r="N47" s="253"/>
      <c r="P47" s="214" t="str">
        <f t="shared" si="2"/>
        <v/>
      </c>
    </row>
    <row r="48" spans="1:17" ht="12.95" customHeight="1">
      <c r="B48" s="45"/>
      <c r="F48" s="179"/>
      <c r="G48" s="198"/>
      <c r="N48" s="253"/>
      <c r="P48" s="214" t="str">
        <f t="shared" si="2"/>
        <v/>
      </c>
    </row>
    <row r="49" spans="2:16" ht="12.95" customHeight="1">
      <c r="B49" s="45"/>
      <c r="F49" s="179"/>
      <c r="G49" s="198"/>
      <c r="N49" s="253"/>
      <c r="P49" s="214" t="str">
        <f t="shared" si="2"/>
        <v/>
      </c>
    </row>
    <row r="50" spans="2:16" ht="12.95" customHeight="1">
      <c r="F50" s="179"/>
      <c r="G50" s="198"/>
      <c r="N50" s="253"/>
      <c r="P50" s="214" t="str">
        <f t="shared" si="2"/>
        <v/>
      </c>
    </row>
    <row r="51" spans="2:16" ht="12.95" customHeight="1">
      <c r="F51" s="179"/>
      <c r="G51" s="198"/>
      <c r="N51" s="253"/>
      <c r="P51" s="214" t="str">
        <f t="shared" si="2"/>
        <v/>
      </c>
    </row>
    <row r="52" spans="2:16" ht="12.95" customHeight="1">
      <c r="F52" s="179"/>
      <c r="G52" s="198"/>
      <c r="N52" s="253"/>
      <c r="P52" s="214" t="str">
        <f t="shared" si="2"/>
        <v/>
      </c>
    </row>
    <row r="53" spans="2:16" ht="12.95" customHeight="1">
      <c r="F53" s="179"/>
      <c r="G53" s="198"/>
      <c r="N53" s="253"/>
      <c r="P53" s="214" t="str">
        <f t="shared" si="2"/>
        <v/>
      </c>
    </row>
    <row r="54" spans="2:16" ht="12.95" customHeight="1">
      <c r="F54" s="179"/>
      <c r="G54" s="198"/>
      <c r="N54" s="253"/>
    </row>
    <row r="55" spans="2:16" ht="12.95" customHeight="1">
      <c r="F55" s="179"/>
      <c r="G55" s="198"/>
      <c r="N55" s="253"/>
    </row>
    <row r="56" spans="2:16" ht="12.95" customHeight="1">
      <c r="F56" s="179"/>
      <c r="G56" s="198"/>
      <c r="N56" s="253"/>
    </row>
    <row r="57" spans="2:16" ht="12.95" customHeight="1">
      <c r="F57" s="179"/>
      <c r="G57" s="198"/>
      <c r="N57" s="253"/>
    </row>
    <row r="58" spans="2:16" ht="12.95" customHeight="1">
      <c r="F58" s="179"/>
      <c r="G58" s="198"/>
      <c r="N58" s="253"/>
    </row>
    <row r="59" spans="2:16" ht="12.95" customHeight="1">
      <c r="F59" s="179"/>
      <c r="G59" s="198"/>
      <c r="N59" s="253"/>
    </row>
    <row r="60" spans="2:16" ht="17.100000000000001" customHeight="1">
      <c r="F60" s="179"/>
      <c r="G60" s="198"/>
      <c r="N60" s="253"/>
    </row>
    <row r="61" spans="2:16" ht="17.100000000000001" customHeight="1">
      <c r="F61" s="179"/>
      <c r="G61" s="198"/>
      <c r="N61" s="253"/>
    </row>
    <row r="62" spans="2:16" ht="17.100000000000001" customHeight="1">
      <c r="F62" s="179"/>
      <c r="G62" s="198"/>
      <c r="N62" s="253"/>
    </row>
    <row r="63" spans="2:16" ht="14.25">
      <c r="F63" s="179"/>
      <c r="G63" s="198"/>
      <c r="N63" s="253"/>
    </row>
    <row r="64" spans="2:16" ht="14.25">
      <c r="F64" s="179"/>
      <c r="G64" s="198"/>
      <c r="N64" s="253"/>
    </row>
    <row r="65" spans="6:14" ht="14.25">
      <c r="F65" s="179"/>
      <c r="G65" s="198"/>
      <c r="N65" s="253"/>
    </row>
    <row r="66" spans="6:14" ht="14.25">
      <c r="F66" s="179"/>
      <c r="G66" s="198"/>
      <c r="N66" s="253"/>
    </row>
    <row r="67" spans="6:14" ht="14.25">
      <c r="F67" s="179"/>
      <c r="G67" s="198"/>
      <c r="N67" s="253"/>
    </row>
    <row r="68" spans="6:14" ht="14.25">
      <c r="F68" s="179"/>
      <c r="G68" s="198"/>
      <c r="N68" s="253"/>
    </row>
    <row r="69" spans="6:14" ht="14.25">
      <c r="F69" s="179"/>
      <c r="G69" s="198"/>
      <c r="N69" s="253"/>
    </row>
    <row r="70" spans="6:14" ht="14.25">
      <c r="F70" s="179"/>
      <c r="G70" s="198"/>
      <c r="N70" s="253"/>
    </row>
    <row r="71" spans="6:14" ht="14.25">
      <c r="F71" s="179"/>
      <c r="G71" s="198"/>
      <c r="N71" s="253"/>
    </row>
    <row r="72" spans="6:14" ht="14.25">
      <c r="F72" s="179"/>
      <c r="G72" s="198"/>
      <c r="N72" s="253"/>
    </row>
    <row r="73" spans="6:14" ht="14.25">
      <c r="F73" s="179"/>
      <c r="G73" s="198"/>
      <c r="N73" s="253"/>
    </row>
    <row r="74" spans="6:14" ht="14.25">
      <c r="F74" s="179"/>
      <c r="G74" s="179"/>
      <c r="N74" s="253"/>
    </row>
    <row r="75" spans="6:14" ht="14.25">
      <c r="F75" s="179"/>
      <c r="G75" s="179"/>
      <c r="N75" s="253"/>
    </row>
    <row r="76" spans="6:14" ht="14.25">
      <c r="F76" s="179"/>
      <c r="G76" s="179"/>
      <c r="N76" s="253"/>
    </row>
    <row r="77" spans="6:14" ht="14.25">
      <c r="F77" s="179"/>
      <c r="G77" s="179"/>
      <c r="N77" s="253"/>
    </row>
    <row r="78" spans="6:14" ht="14.25">
      <c r="F78" s="179"/>
      <c r="G78" s="179"/>
      <c r="N78" s="253"/>
    </row>
    <row r="79" spans="6:14" ht="14.25">
      <c r="F79" s="179"/>
      <c r="G79" s="179"/>
      <c r="N79" s="253"/>
    </row>
    <row r="80" spans="6:14" ht="14.25">
      <c r="F80" s="179"/>
      <c r="G80" s="179"/>
      <c r="N80" s="253"/>
    </row>
    <row r="81" spans="6:14" ht="14.25">
      <c r="F81" s="179"/>
      <c r="G81" s="179"/>
      <c r="N81" s="253"/>
    </row>
    <row r="82" spans="6:14" ht="14.25">
      <c r="F82" s="179"/>
      <c r="G82" s="179"/>
      <c r="N82" s="253"/>
    </row>
    <row r="83" spans="6:14" ht="14.25">
      <c r="F83" s="179"/>
      <c r="G83" s="179"/>
      <c r="N83" s="253"/>
    </row>
    <row r="84" spans="6:14" ht="14.25">
      <c r="F84" s="179"/>
      <c r="G84" s="179"/>
      <c r="N84" s="253"/>
    </row>
    <row r="85" spans="6:14" ht="14.25">
      <c r="F85" s="179"/>
      <c r="G85" s="179"/>
      <c r="N85" s="253"/>
    </row>
    <row r="86" spans="6:14" ht="14.25">
      <c r="F86" s="179"/>
      <c r="G86" s="179"/>
      <c r="N86" s="253"/>
    </row>
    <row r="87" spans="6:14" ht="14.25">
      <c r="F87" s="179"/>
      <c r="G87" s="179"/>
      <c r="N87" s="253"/>
    </row>
    <row r="88" spans="6:14" ht="14.25">
      <c r="F88" s="179"/>
      <c r="G88" s="179"/>
      <c r="N88" s="253"/>
    </row>
    <row r="89" spans="6:14" ht="14.25">
      <c r="F89" s="179"/>
      <c r="G89" s="179"/>
      <c r="N89" s="253"/>
    </row>
    <row r="90" spans="6:14" ht="14.25">
      <c r="F90" s="179"/>
      <c r="G90" s="179"/>
      <c r="N90" s="253"/>
    </row>
    <row r="91" spans="6:14">
      <c r="G91" s="179"/>
    </row>
    <row r="92" spans="6:14">
      <c r="G92" s="179"/>
    </row>
    <row r="93" spans="6:14">
      <c r="G93" s="179"/>
    </row>
    <row r="94" spans="6:14">
      <c r="G94" s="179"/>
    </row>
    <row r="95" spans="6:14">
      <c r="G95" s="179"/>
    </row>
    <row r="96" spans="6:14">
      <c r="G96" s="179"/>
    </row>
  </sheetData>
  <mergeCells count="15">
    <mergeCell ref="P4:P5"/>
    <mergeCell ref="B2:P2"/>
    <mergeCell ref="K4:K5"/>
    <mergeCell ref="O4:O5"/>
    <mergeCell ref="H4:H5"/>
    <mergeCell ref="H3:I3"/>
    <mergeCell ref="L4:N4"/>
    <mergeCell ref="B4:B5"/>
    <mergeCell ref="C4:C5"/>
    <mergeCell ref="D4:D5"/>
    <mergeCell ref="G4:G5"/>
    <mergeCell ref="F4:F5"/>
    <mergeCell ref="I4:I5"/>
    <mergeCell ref="J4:J5"/>
    <mergeCell ref="E4:E5"/>
  </mergeCells>
  <phoneticPr fontId="2" type="noConversion"/>
  <pageMargins left="0.64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21"/>
  <dimension ref="A1:S96"/>
  <sheetViews>
    <sheetView zoomScaleNormal="100" zoomScaleSheetLayoutView="100" workbookViewId="0">
      <selection activeCell="N39" sqref="N39"/>
    </sheetView>
  </sheetViews>
  <sheetFormatPr defaultColWidth="9.140625" defaultRowHeight="12.75"/>
  <cols>
    <col min="1" max="1" width="4.42578125" style="161" customWidth="1"/>
    <col min="2" max="2" width="4.7109375" style="9" customWidth="1"/>
    <col min="3" max="3" width="5.140625" style="9" customWidth="1"/>
    <col min="4" max="4" width="5" style="9" customWidth="1"/>
    <col min="5" max="5" width="5" style="161" customWidth="1"/>
    <col min="6" max="6" width="8.7109375" style="18" customWidth="1"/>
    <col min="7" max="7" width="8.7109375" style="166" customWidth="1"/>
    <col min="8" max="8" width="50.7109375" style="9" customWidth="1"/>
    <col min="9" max="10" width="14.7109375" style="51" customWidth="1"/>
    <col min="11" max="11" width="12.5703125" style="51" customWidth="1"/>
    <col min="12" max="13" width="14.7109375" style="51" customWidth="1"/>
    <col min="14" max="14" width="15.7109375" style="51" customWidth="1"/>
    <col min="15" max="16" width="7.7109375" style="214" customWidth="1"/>
    <col min="17" max="16384" width="9.140625" style="9"/>
  </cols>
  <sheetData>
    <row r="1" spans="1:18" ht="13.5" thickBot="1"/>
    <row r="2" spans="1:18" s="79" customFormat="1" ht="20.100000000000001" customHeight="1" thickTop="1" thickBot="1">
      <c r="A2" s="244"/>
      <c r="B2" s="1034" t="s">
        <v>634</v>
      </c>
      <c r="C2" s="1035"/>
      <c r="D2" s="1035"/>
      <c r="E2" s="1035"/>
      <c r="F2" s="1035"/>
      <c r="G2" s="1035"/>
      <c r="H2" s="1035"/>
      <c r="I2" s="1035"/>
      <c r="J2" s="1057"/>
      <c r="K2" s="1057"/>
      <c r="L2" s="1057"/>
      <c r="M2" s="1057"/>
      <c r="N2" s="1057"/>
      <c r="O2" s="1057"/>
      <c r="P2" s="1036"/>
      <c r="R2" s="244"/>
    </row>
    <row r="3" spans="1:18" s="1" customFormat="1" ht="8.1" customHeight="1" thickTop="1" thickBot="1">
      <c r="A3" s="158"/>
      <c r="E3" s="158"/>
      <c r="F3" s="2"/>
      <c r="G3" s="159"/>
      <c r="H3" s="1039"/>
      <c r="I3" s="1039"/>
      <c r="J3" s="139"/>
      <c r="K3" s="721"/>
      <c r="L3" s="74"/>
      <c r="M3" s="74"/>
      <c r="N3" s="74"/>
      <c r="O3" s="208"/>
      <c r="P3" s="208"/>
    </row>
    <row r="4" spans="1:18" s="1" customFormat="1" ht="39" customHeight="1">
      <c r="A4" s="158"/>
      <c r="B4" s="1043" t="s">
        <v>76</v>
      </c>
      <c r="C4" s="1045" t="s">
        <v>77</v>
      </c>
      <c r="D4" s="1047" t="s">
        <v>102</v>
      </c>
      <c r="E4" s="1062" t="s">
        <v>692</v>
      </c>
      <c r="F4" s="1058" t="s">
        <v>466</v>
      </c>
      <c r="G4" s="1048" t="s">
        <v>493</v>
      </c>
      <c r="H4" s="1050" t="s">
        <v>78</v>
      </c>
      <c r="I4" s="1059" t="s">
        <v>901</v>
      </c>
      <c r="J4" s="1068" t="s">
        <v>813</v>
      </c>
      <c r="K4" s="1037" t="s">
        <v>906</v>
      </c>
      <c r="L4" s="1040" t="s">
        <v>905</v>
      </c>
      <c r="M4" s="1041"/>
      <c r="N4" s="1042"/>
      <c r="O4" s="1054" t="s">
        <v>945</v>
      </c>
      <c r="P4" s="1032" t="s">
        <v>946</v>
      </c>
      <c r="R4" s="61"/>
    </row>
    <row r="5" spans="1:18" s="158" customFormat="1" ht="27" customHeight="1">
      <c r="B5" s="1044"/>
      <c r="C5" s="1046"/>
      <c r="D5" s="1046"/>
      <c r="E5" s="1049"/>
      <c r="F5" s="1051"/>
      <c r="G5" s="1049"/>
      <c r="H5" s="1051"/>
      <c r="I5" s="1051"/>
      <c r="J5" s="1051"/>
      <c r="K5" s="1038"/>
      <c r="L5" s="373" t="s">
        <v>526</v>
      </c>
      <c r="M5" s="242" t="s">
        <v>527</v>
      </c>
      <c r="N5" s="764" t="s">
        <v>319</v>
      </c>
      <c r="O5" s="1055"/>
      <c r="P5" s="1033"/>
    </row>
    <row r="6" spans="1:18" s="2" customFormat="1" ht="12.95" customHeight="1">
      <c r="A6" s="159"/>
      <c r="B6" s="328">
        <v>1</v>
      </c>
      <c r="C6" s="195">
        <v>2</v>
      </c>
      <c r="D6" s="195">
        <v>3</v>
      </c>
      <c r="E6" s="195">
        <v>4</v>
      </c>
      <c r="F6" s="195">
        <v>5</v>
      </c>
      <c r="G6" s="195">
        <v>6</v>
      </c>
      <c r="H6" s="195">
        <v>7</v>
      </c>
      <c r="I6" s="195">
        <v>8</v>
      </c>
      <c r="J6" s="195">
        <v>9</v>
      </c>
      <c r="K6" s="188">
        <v>10</v>
      </c>
      <c r="L6" s="328">
        <v>11</v>
      </c>
      <c r="M6" s="195">
        <v>12</v>
      </c>
      <c r="N6" s="810" t="s">
        <v>694</v>
      </c>
      <c r="O6" s="929" t="s">
        <v>814</v>
      </c>
      <c r="P6" s="930" t="s">
        <v>944</v>
      </c>
    </row>
    <row r="7" spans="1:18" s="2" customFormat="1" ht="12.95" customHeight="1">
      <c r="A7" s="159"/>
      <c r="B7" s="6" t="s">
        <v>124</v>
      </c>
      <c r="C7" s="7" t="s">
        <v>79</v>
      </c>
      <c r="D7" s="7" t="s">
        <v>80</v>
      </c>
      <c r="E7" s="415" t="s">
        <v>699</v>
      </c>
      <c r="F7" s="5"/>
      <c r="G7" s="160"/>
      <c r="H7" s="5"/>
      <c r="I7" s="378"/>
      <c r="J7" s="70"/>
      <c r="K7" s="726"/>
      <c r="L7" s="391"/>
      <c r="M7" s="70"/>
      <c r="N7" s="832"/>
      <c r="O7" s="951"/>
      <c r="P7" s="952"/>
    </row>
    <row r="8" spans="1:18" s="1" customFormat="1" ht="12.95" customHeight="1">
      <c r="A8" s="158"/>
      <c r="B8" s="12"/>
      <c r="C8" s="8"/>
      <c r="D8" s="8"/>
      <c r="E8" s="8"/>
      <c r="F8" s="176">
        <v>611000</v>
      </c>
      <c r="G8" s="195"/>
      <c r="H8" s="25" t="s">
        <v>140</v>
      </c>
      <c r="I8" s="236">
        <f t="shared" ref="I8:N8" si="0">SUM(I9:I12)</f>
        <v>353480</v>
      </c>
      <c r="J8" s="236">
        <f t="shared" si="0"/>
        <v>353480</v>
      </c>
      <c r="K8" s="226">
        <f t="shared" si="0"/>
        <v>241945</v>
      </c>
      <c r="L8" s="482">
        <f t="shared" si="0"/>
        <v>351371</v>
      </c>
      <c r="M8" s="236">
        <f t="shared" si="0"/>
        <v>0</v>
      </c>
      <c r="N8" s="812">
        <f t="shared" si="0"/>
        <v>351371</v>
      </c>
      <c r="O8" s="953">
        <f t="shared" ref="O8:O37" si="1">IF(J8=0,"",N8/J8*100)</f>
        <v>99.403360869073211</v>
      </c>
      <c r="P8" s="954">
        <f>IF(K8=0,"",N8/K8*100)</f>
        <v>145.2276343797144</v>
      </c>
    </row>
    <row r="9" spans="1:18" ht="12.95" customHeight="1">
      <c r="B9" s="10"/>
      <c r="C9" s="11"/>
      <c r="D9" s="11"/>
      <c r="E9" s="163"/>
      <c r="F9" s="177">
        <v>611100</v>
      </c>
      <c r="G9" s="196"/>
      <c r="H9" s="428" t="s">
        <v>161</v>
      </c>
      <c r="I9" s="237">
        <f>279400</f>
        <v>279400</v>
      </c>
      <c r="J9" s="237">
        <f>279400</f>
        <v>279400</v>
      </c>
      <c r="K9" s="224">
        <v>194199</v>
      </c>
      <c r="L9" s="360">
        <v>278061</v>
      </c>
      <c r="M9" s="237">
        <v>0</v>
      </c>
      <c r="N9" s="813">
        <f>SUM(L9:M9)</f>
        <v>278061</v>
      </c>
      <c r="O9" s="955">
        <f t="shared" si="1"/>
        <v>99.520758768790259</v>
      </c>
      <c r="P9" s="956">
        <f t="shared" ref="P9:P53" si="2">IF(K9=0,"",N9/K9*100)</f>
        <v>143.18353853521387</v>
      </c>
    </row>
    <row r="10" spans="1:18" ht="12.95" customHeight="1">
      <c r="B10" s="10"/>
      <c r="C10" s="11"/>
      <c r="D10" s="11"/>
      <c r="E10" s="163"/>
      <c r="F10" s="177">
        <v>611200</v>
      </c>
      <c r="G10" s="196"/>
      <c r="H10" s="24" t="s">
        <v>162</v>
      </c>
      <c r="I10" s="237">
        <f>64980+13*700</f>
        <v>74080</v>
      </c>
      <c r="J10" s="237">
        <f>64980+13*700</f>
        <v>74080</v>
      </c>
      <c r="K10" s="224">
        <v>47746</v>
      </c>
      <c r="L10" s="360">
        <v>73310</v>
      </c>
      <c r="M10" s="237">
        <v>0</v>
      </c>
      <c r="N10" s="813">
        <f t="shared" ref="N10:N11" si="3">SUM(L10:M10)</f>
        <v>73310</v>
      </c>
      <c r="O10" s="955">
        <f t="shared" si="1"/>
        <v>98.960583153347741</v>
      </c>
      <c r="P10" s="956">
        <f t="shared" si="2"/>
        <v>153.54165793993212</v>
      </c>
    </row>
    <row r="11" spans="1:18" ht="12.95" customHeight="1">
      <c r="B11" s="10"/>
      <c r="C11" s="11"/>
      <c r="D11" s="11"/>
      <c r="E11" s="163"/>
      <c r="F11" s="177">
        <v>611200</v>
      </c>
      <c r="G11" s="196"/>
      <c r="H11" s="435" t="s">
        <v>434</v>
      </c>
      <c r="I11" s="235">
        <v>0</v>
      </c>
      <c r="J11" s="235">
        <v>0</v>
      </c>
      <c r="K11" s="225">
        <v>0</v>
      </c>
      <c r="L11" s="357">
        <v>0</v>
      </c>
      <c r="M11" s="235">
        <v>0</v>
      </c>
      <c r="N11" s="813">
        <f t="shared" si="3"/>
        <v>0</v>
      </c>
      <c r="O11" s="955" t="str">
        <f t="shared" si="1"/>
        <v/>
      </c>
      <c r="P11" s="956" t="str">
        <f t="shared" si="2"/>
        <v/>
      </c>
      <c r="R11" s="50"/>
    </row>
    <row r="12" spans="1:18" ht="12.95" customHeight="1">
      <c r="B12" s="10"/>
      <c r="C12" s="11"/>
      <c r="D12" s="11"/>
      <c r="E12" s="163"/>
      <c r="F12" s="177"/>
      <c r="G12" s="196"/>
      <c r="H12" s="428"/>
      <c r="I12" s="237"/>
      <c r="J12" s="237"/>
      <c r="K12" s="224"/>
      <c r="L12" s="360"/>
      <c r="M12" s="237"/>
      <c r="N12" s="813"/>
      <c r="O12" s="955" t="str">
        <f t="shared" si="1"/>
        <v/>
      </c>
      <c r="P12" s="956" t="str">
        <f t="shared" si="2"/>
        <v/>
      </c>
    </row>
    <row r="13" spans="1:18" s="1" customFormat="1" ht="12.95" customHeight="1">
      <c r="A13" s="158"/>
      <c r="B13" s="12"/>
      <c r="C13" s="8"/>
      <c r="D13" s="8"/>
      <c r="E13" s="8"/>
      <c r="F13" s="176">
        <v>612000</v>
      </c>
      <c r="G13" s="195"/>
      <c r="H13" s="25" t="s">
        <v>139</v>
      </c>
      <c r="I13" s="236">
        <f t="shared" ref="I13:N13" si="4">I14</f>
        <v>29340</v>
      </c>
      <c r="J13" s="236">
        <f t="shared" si="4"/>
        <v>29340</v>
      </c>
      <c r="K13" s="226">
        <f t="shared" si="4"/>
        <v>20391</v>
      </c>
      <c r="L13" s="482">
        <f t="shared" si="4"/>
        <v>29196</v>
      </c>
      <c r="M13" s="236">
        <f t="shared" si="4"/>
        <v>0</v>
      </c>
      <c r="N13" s="812">
        <f t="shared" si="4"/>
        <v>29196</v>
      </c>
      <c r="O13" s="953">
        <f t="shared" si="1"/>
        <v>99.50920245398774</v>
      </c>
      <c r="P13" s="954">
        <f t="shared" si="2"/>
        <v>143.18081506547006</v>
      </c>
    </row>
    <row r="14" spans="1:18" ht="12.95" customHeight="1">
      <c r="B14" s="10"/>
      <c r="C14" s="11"/>
      <c r="D14" s="11"/>
      <c r="E14" s="163"/>
      <c r="F14" s="177">
        <v>612100</v>
      </c>
      <c r="G14" s="196"/>
      <c r="H14" s="430" t="s">
        <v>81</v>
      </c>
      <c r="I14" s="237">
        <f>29340</f>
        <v>29340</v>
      </c>
      <c r="J14" s="237">
        <f>29340</f>
        <v>29340</v>
      </c>
      <c r="K14" s="224">
        <v>20391</v>
      </c>
      <c r="L14" s="360">
        <v>29196</v>
      </c>
      <c r="M14" s="237">
        <v>0</v>
      </c>
      <c r="N14" s="813">
        <f>SUM(L14:M14)</f>
        <v>29196</v>
      </c>
      <c r="O14" s="955">
        <f t="shared" si="1"/>
        <v>99.50920245398774</v>
      </c>
      <c r="P14" s="956">
        <f t="shared" si="2"/>
        <v>143.18081506547006</v>
      </c>
    </row>
    <row r="15" spans="1:18" ht="12.95" customHeight="1">
      <c r="B15" s="10"/>
      <c r="C15" s="11"/>
      <c r="D15" s="11"/>
      <c r="E15" s="163"/>
      <c r="F15" s="177"/>
      <c r="G15" s="196"/>
      <c r="H15" s="24"/>
      <c r="I15" s="233"/>
      <c r="J15" s="233"/>
      <c r="K15" s="222"/>
      <c r="L15" s="359"/>
      <c r="M15" s="233"/>
      <c r="N15" s="776"/>
      <c r="O15" s="955" t="str">
        <f t="shared" si="1"/>
        <v/>
      </c>
      <c r="P15" s="956" t="str">
        <f t="shared" si="2"/>
        <v/>
      </c>
    </row>
    <row r="16" spans="1:18" s="1" customFormat="1" ht="12.95" customHeight="1">
      <c r="A16" s="158"/>
      <c r="B16" s="12"/>
      <c r="C16" s="8"/>
      <c r="D16" s="8"/>
      <c r="E16" s="8"/>
      <c r="F16" s="176">
        <v>613000</v>
      </c>
      <c r="G16" s="195"/>
      <c r="H16" s="25" t="s">
        <v>141</v>
      </c>
      <c r="I16" s="234">
        <f t="shared" ref="I16:N16" si="5">SUM(I17:I27)</f>
        <v>441500</v>
      </c>
      <c r="J16" s="234">
        <f t="shared" si="5"/>
        <v>441500</v>
      </c>
      <c r="K16" s="221">
        <f t="shared" si="5"/>
        <v>241910</v>
      </c>
      <c r="L16" s="483">
        <f t="shared" si="5"/>
        <v>428714</v>
      </c>
      <c r="M16" s="234">
        <f t="shared" si="5"/>
        <v>0</v>
      </c>
      <c r="N16" s="774">
        <f t="shared" si="5"/>
        <v>428714</v>
      </c>
      <c r="O16" s="953">
        <f t="shared" si="1"/>
        <v>97.103963759909391</v>
      </c>
      <c r="P16" s="954">
        <f t="shared" si="2"/>
        <v>177.22045388780953</v>
      </c>
    </row>
    <row r="17" spans="1:19" ht="12.95" customHeight="1">
      <c r="B17" s="10"/>
      <c r="C17" s="11"/>
      <c r="D17" s="11"/>
      <c r="E17" s="163"/>
      <c r="F17" s="177">
        <v>613100</v>
      </c>
      <c r="G17" s="196"/>
      <c r="H17" s="24" t="s">
        <v>82</v>
      </c>
      <c r="I17" s="237">
        <v>2000</v>
      </c>
      <c r="J17" s="237">
        <v>2000</v>
      </c>
      <c r="K17" s="224">
        <v>1590</v>
      </c>
      <c r="L17" s="359">
        <v>1358</v>
      </c>
      <c r="M17" s="233">
        <v>0</v>
      </c>
      <c r="N17" s="813">
        <f t="shared" ref="N17:N27" si="6">SUM(L17:M17)</f>
        <v>1358</v>
      </c>
      <c r="O17" s="955">
        <f t="shared" si="1"/>
        <v>67.900000000000006</v>
      </c>
      <c r="P17" s="956">
        <f t="shared" si="2"/>
        <v>85.408805031446548</v>
      </c>
    </row>
    <row r="18" spans="1:19" ht="12.95" customHeight="1">
      <c r="B18" s="10"/>
      <c r="C18" s="11"/>
      <c r="D18" s="11"/>
      <c r="E18" s="163"/>
      <c r="F18" s="177">
        <v>613200</v>
      </c>
      <c r="G18" s="196"/>
      <c r="H18" s="24" t="s">
        <v>83</v>
      </c>
      <c r="I18" s="237">
        <v>0</v>
      </c>
      <c r="J18" s="237">
        <v>0</v>
      </c>
      <c r="K18" s="224">
        <v>0</v>
      </c>
      <c r="L18" s="359">
        <v>0</v>
      </c>
      <c r="M18" s="233">
        <v>0</v>
      </c>
      <c r="N18" s="813">
        <f t="shared" si="6"/>
        <v>0</v>
      </c>
      <c r="O18" s="955" t="str">
        <f t="shared" si="1"/>
        <v/>
      </c>
      <c r="P18" s="956" t="str">
        <f t="shared" si="2"/>
        <v/>
      </c>
    </row>
    <row r="19" spans="1:19" ht="12.95" customHeight="1">
      <c r="B19" s="10"/>
      <c r="C19" s="11"/>
      <c r="D19" s="11"/>
      <c r="E19" s="163"/>
      <c r="F19" s="177">
        <v>613300</v>
      </c>
      <c r="G19" s="196"/>
      <c r="H19" s="428" t="s">
        <v>163</v>
      </c>
      <c r="I19" s="237">
        <v>6500</v>
      </c>
      <c r="J19" s="237">
        <v>8000</v>
      </c>
      <c r="K19" s="224">
        <v>7236</v>
      </c>
      <c r="L19" s="359">
        <v>7247</v>
      </c>
      <c r="M19" s="233">
        <v>0</v>
      </c>
      <c r="N19" s="813">
        <f t="shared" si="6"/>
        <v>7247</v>
      </c>
      <c r="O19" s="955">
        <f t="shared" si="1"/>
        <v>90.587500000000006</v>
      </c>
      <c r="P19" s="956">
        <f t="shared" si="2"/>
        <v>100.15201768933113</v>
      </c>
    </row>
    <row r="20" spans="1:19" ht="12.95" customHeight="1">
      <c r="B20" s="10"/>
      <c r="C20" s="11"/>
      <c r="D20" s="11"/>
      <c r="E20" s="163"/>
      <c r="F20" s="177">
        <v>613400</v>
      </c>
      <c r="G20" s="196"/>
      <c r="H20" s="24" t="s">
        <v>142</v>
      </c>
      <c r="I20" s="237">
        <v>1000</v>
      </c>
      <c r="J20" s="237">
        <v>2500</v>
      </c>
      <c r="K20" s="224">
        <v>0</v>
      </c>
      <c r="L20" s="359">
        <v>1817</v>
      </c>
      <c r="M20" s="233">
        <v>0</v>
      </c>
      <c r="N20" s="813">
        <f t="shared" si="6"/>
        <v>1817</v>
      </c>
      <c r="O20" s="955">
        <f t="shared" si="1"/>
        <v>72.680000000000007</v>
      </c>
      <c r="P20" s="956" t="str">
        <f t="shared" si="2"/>
        <v/>
      </c>
    </row>
    <row r="21" spans="1:19" ht="12.95" customHeight="1">
      <c r="B21" s="10"/>
      <c r="C21" s="11"/>
      <c r="D21" s="11"/>
      <c r="E21" s="163"/>
      <c r="F21" s="177">
        <v>613500</v>
      </c>
      <c r="G21" s="196"/>
      <c r="H21" s="24" t="s">
        <v>84</v>
      </c>
      <c r="I21" s="237">
        <v>0</v>
      </c>
      <c r="J21" s="237">
        <v>0</v>
      </c>
      <c r="K21" s="224">
        <v>0</v>
      </c>
      <c r="L21" s="360">
        <v>0</v>
      </c>
      <c r="M21" s="237">
        <v>0</v>
      </c>
      <c r="N21" s="813">
        <f t="shared" si="6"/>
        <v>0</v>
      </c>
      <c r="O21" s="955" t="str">
        <f t="shared" si="1"/>
        <v/>
      </c>
      <c r="P21" s="956" t="str">
        <f t="shared" si="2"/>
        <v/>
      </c>
    </row>
    <row r="22" spans="1:19" ht="12.95" customHeight="1">
      <c r="B22" s="10"/>
      <c r="C22" s="11"/>
      <c r="D22" s="11"/>
      <c r="E22" s="163"/>
      <c r="F22" s="177">
        <v>613600</v>
      </c>
      <c r="G22" s="196"/>
      <c r="H22" s="428" t="s">
        <v>164</v>
      </c>
      <c r="I22" s="237">
        <v>0</v>
      </c>
      <c r="J22" s="237">
        <v>0</v>
      </c>
      <c r="K22" s="224">
        <v>0</v>
      </c>
      <c r="L22" s="360">
        <v>0</v>
      </c>
      <c r="M22" s="237">
        <v>0</v>
      </c>
      <c r="N22" s="813">
        <f t="shared" si="6"/>
        <v>0</v>
      </c>
      <c r="O22" s="955" t="str">
        <f t="shared" si="1"/>
        <v/>
      </c>
      <c r="P22" s="956" t="str">
        <f t="shared" si="2"/>
        <v/>
      </c>
    </row>
    <row r="23" spans="1:19" ht="12.95" customHeight="1">
      <c r="B23" s="10"/>
      <c r="C23" s="11"/>
      <c r="D23" s="11"/>
      <c r="E23" s="411"/>
      <c r="F23" s="183">
        <v>613700</v>
      </c>
      <c r="G23" s="202"/>
      <c r="H23" s="24" t="s">
        <v>85</v>
      </c>
      <c r="I23" s="237">
        <v>2000</v>
      </c>
      <c r="J23" s="237">
        <v>2000</v>
      </c>
      <c r="K23" s="224">
        <v>2171</v>
      </c>
      <c r="L23" s="360">
        <v>1181</v>
      </c>
      <c r="M23" s="237">
        <v>0</v>
      </c>
      <c r="N23" s="813">
        <f t="shared" si="6"/>
        <v>1181</v>
      </c>
      <c r="O23" s="955">
        <f t="shared" si="1"/>
        <v>59.050000000000004</v>
      </c>
      <c r="P23" s="956">
        <f t="shared" si="2"/>
        <v>54.398894518654991</v>
      </c>
    </row>
    <row r="24" spans="1:19" ht="12.95" customHeight="1">
      <c r="B24" s="10"/>
      <c r="C24" s="11"/>
      <c r="D24" s="24"/>
      <c r="E24" s="24"/>
      <c r="F24" s="177">
        <v>613700</v>
      </c>
      <c r="G24" s="193" t="s">
        <v>510</v>
      </c>
      <c r="H24" s="456" t="s">
        <v>86</v>
      </c>
      <c r="I24" s="237">
        <v>400000</v>
      </c>
      <c r="J24" s="237">
        <v>397000</v>
      </c>
      <c r="K24" s="224">
        <v>190619</v>
      </c>
      <c r="L24" s="360">
        <v>388704</v>
      </c>
      <c r="M24" s="237"/>
      <c r="N24" s="813">
        <f t="shared" si="6"/>
        <v>388704</v>
      </c>
      <c r="O24" s="955">
        <f t="shared" si="1"/>
        <v>97.910327455919401</v>
      </c>
      <c r="P24" s="956">
        <f t="shared" si="2"/>
        <v>203.91671344409531</v>
      </c>
    </row>
    <row r="25" spans="1:19" ht="12.95" customHeight="1">
      <c r="B25" s="10"/>
      <c r="C25" s="11"/>
      <c r="D25" s="11"/>
      <c r="E25" s="410"/>
      <c r="F25" s="185">
        <v>613800</v>
      </c>
      <c r="G25" s="203"/>
      <c r="H25" s="24" t="s">
        <v>143</v>
      </c>
      <c r="I25" s="237">
        <v>0</v>
      </c>
      <c r="J25" s="237">
        <v>0</v>
      </c>
      <c r="K25" s="224">
        <v>0</v>
      </c>
      <c r="L25" s="360">
        <v>0</v>
      </c>
      <c r="M25" s="237">
        <v>0</v>
      </c>
      <c r="N25" s="813">
        <f t="shared" si="6"/>
        <v>0</v>
      </c>
      <c r="O25" s="955" t="str">
        <f t="shared" si="1"/>
        <v/>
      </c>
      <c r="P25" s="956" t="str">
        <f t="shared" si="2"/>
        <v/>
      </c>
      <c r="S25" s="51"/>
    </row>
    <row r="26" spans="1:19" ht="12.95" customHeight="1">
      <c r="B26" s="10"/>
      <c r="C26" s="11"/>
      <c r="D26" s="11"/>
      <c r="E26" s="163"/>
      <c r="F26" s="177">
        <v>613900</v>
      </c>
      <c r="G26" s="196"/>
      <c r="H26" s="24" t="s">
        <v>144</v>
      </c>
      <c r="I26" s="237">
        <v>30000</v>
      </c>
      <c r="J26" s="237">
        <v>30000</v>
      </c>
      <c r="K26" s="224">
        <v>40294</v>
      </c>
      <c r="L26" s="360">
        <v>28407</v>
      </c>
      <c r="M26" s="237">
        <v>0</v>
      </c>
      <c r="N26" s="813">
        <f t="shared" si="6"/>
        <v>28407</v>
      </c>
      <c r="O26" s="955">
        <f t="shared" si="1"/>
        <v>94.69</v>
      </c>
      <c r="P26" s="956">
        <f t="shared" si="2"/>
        <v>70.499329925050887</v>
      </c>
      <c r="Q26" s="58"/>
    </row>
    <row r="27" spans="1:19" ht="12.95" customHeight="1">
      <c r="B27" s="10"/>
      <c r="C27" s="11"/>
      <c r="D27" s="11"/>
      <c r="E27" s="163"/>
      <c r="F27" s="177">
        <v>613900</v>
      </c>
      <c r="G27" s="196"/>
      <c r="H27" s="435" t="s">
        <v>435</v>
      </c>
      <c r="I27" s="237">
        <v>0</v>
      </c>
      <c r="J27" s="237">
        <v>0</v>
      </c>
      <c r="K27" s="224">
        <v>0</v>
      </c>
      <c r="L27" s="360">
        <v>0</v>
      </c>
      <c r="M27" s="237">
        <v>0</v>
      </c>
      <c r="N27" s="813">
        <f t="shared" si="6"/>
        <v>0</v>
      </c>
      <c r="O27" s="955" t="str">
        <f t="shared" si="1"/>
        <v/>
      </c>
      <c r="P27" s="956" t="str">
        <f t="shared" si="2"/>
        <v/>
      </c>
    </row>
    <row r="28" spans="1:19" ht="12.95" customHeight="1">
      <c r="B28" s="10"/>
      <c r="C28" s="11"/>
      <c r="D28" s="11"/>
      <c r="E28" s="163"/>
      <c r="F28" s="177"/>
      <c r="G28" s="196"/>
      <c r="H28" s="24"/>
      <c r="I28" s="237"/>
      <c r="J28" s="237"/>
      <c r="K28" s="224"/>
      <c r="L28" s="360"/>
      <c r="M28" s="237"/>
      <c r="N28" s="776"/>
      <c r="O28" s="955" t="str">
        <f t="shared" si="1"/>
        <v/>
      </c>
      <c r="P28" s="956" t="str">
        <f t="shared" si="2"/>
        <v/>
      </c>
    </row>
    <row r="29" spans="1:19" s="1" customFormat="1" ht="12.95" customHeight="1">
      <c r="A29" s="158"/>
      <c r="B29" s="12"/>
      <c r="C29" s="8"/>
      <c r="D29" s="8"/>
      <c r="E29" s="8"/>
      <c r="F29" s="176">
        <v>614000</v>
      </c>
      <c r="G29" s="195"/>
      <c r="H29" s="25" t="s">
        <v>165</v>
      </c>
      <c r="I29" s="236">
        <f t="shared" ref="I29:J29" si="7">I30</f>
        <v>280000</v>
      </c>
      <c r="J29" s="236">
        <f t="shared" si="7"/>
        <v>280000</v>
      </c>
      <c r="K29" s="226">
        <f t="shared" ref="K29" si="8">SUM(K30:K30)</f>
        <v>300000</v>
      </c>
      <c r="L29" s="482">
        <f t="shared" ref="L29:N29" si="9">L30</f>
        <v>0</v>
      </c>
      <c r="M29" s="236">
        <f t="shared" si="9"/>
        <v>280000</v>
      </c>
      <c r="N29" s="774">
        <f t="shared" si="9"/>
        <v>280000</v>
      </c>
      <c r="O29" s="953">
        <f t="shared" si="1"/>
        <v>100</v>
      </c>
      <c r="P29" s="954">
        <f t="shared" si="2"/>
        <v>93.333333333333329</v>
      </c>
    </row>
    <row r="30" spans="1:19" ht="12.95" customHeight="1">
      <c r="B30" s="10"/>
      <c r="C30" s="11"/>
      <c r="D30" s="24"/>
      <c r="E30" s="412"/>
      <c r="F30" s="185">
        <v>614100</v>
      </c>
      <c r="G30" s="203" t="s">
        <v>511</v>
      </c>
      <c r="H30" s="457" t="s">
        <v>146</v>
      </c>
      <c r="I30" s="237">
        <v>280000</v>
      </c>
      <c r="J30" s="237">
        <v>280000</v>
      </c>
      <c r="K30" s="224">
        <v>300000</v>
      </c>
      <c r="L30" s="360">
        <v>0</v>
      </c>
      <c r="M30" s="237">
        <v>280000</v>
      </c>
      <c r="N30" s="813">
        <f t="shared" ref="N30" si="10">SUM(L30:M30)</f>
        <v>280000</v>
      </c>
      <c r="O30" s="955">
        <f t="shared" si="1"/>
        <v>100</v>
      </c>
      <c r="P30" s="956">
        <f t="shared" si="2"/>
        <v>93.333333333333329</v>
      </c>
    </row>
    <row r="31" spans="1:19" ht="12.95" customHeight="1">
      <c r="B31" s="10"/>
      <c r="C31" s="11"/>
      <c r="D31" s="11"/>
      <c r="E31" s="163"/>
      <c r="F31" s="177"/>
      <c r="G31" s="196"/>
      <c r="H31" s="24"/>
      <c r="I31" s="237"/>
      <c r="J31" s="237"/>
      <c r="K31" s="224"/>
      <c r="L31" s="360"/>
      <c r="M31" s="237"/>
      <c r="N31" s="776"/>
      <c r="O31" s="955" t="str">
        <f t="shared" si="1"/>
        <v/>
      </c>
      <c r="P31" s="956" t="str">
        <f t="shared" si="2"/>
        <v/>
      </c>
    </row>
    <row r="32" spans="1:19" s="1" customFormat="1" ht="12.95" customHeight="1">
      <c r="A32" s="158"/>
      <c r="B32" s="12"/>
      <c r="C32" s="8"/>
      <c r="D32" s="8"/>
      <c r="E32" s="8"/>
      <c r="F32" s="176">
        <v>821000</v>
      </c>
      <c r="G32" s="195"/>
      <c r="H32" s="25" t="s">
        <v>88</v>
      </c>
      <c r="I32" s="236">
        <f t="shared" ref="I32:J32" si="11">SUM(I33:I36)</f>
        <v>1986000</v>
      </c>
      <c r="J32" s="236">
        <f t="shared" si="11"/>
        <v>1986000</v>
      </c>
      <c r="K32" s="226">
        <f t="shared" ref="K32" si="12">SUM(K33:K36)</f>
        <v>1034141</v>
      </c>
      <c r="L32" s="482">
        <f t="shared" ref="L32:M32" si="13">SUM(L33:L36)</f>
        <v>4145</v>
      </c>
      <c r="M32" s="236">
        <f t="shared" si="13"/>
        <v>1964205</v>
      </c>
      <c r="N32" s="774">
        <f t="shared" ref="N32" si="14">SUM(N33:N36)</f>
        <v>1968350</v>
      </c>
      <c r="O32" s="953">
        <f t="shared" si="1"/>
        <v>99.111278952668684</v>
      </c>
      <c r="P32" s="954">
        <f t="shared" si="2"/>
        <v>190.33671423916081</v>
      </c>
    </row>
    <row r="33" spans="1:18" ht="12.95" customHeight="1">
      <c r="B33" s="10"/>
      <c r="C33" s="11"/>
      <c r="D33" s="11"/>
      <c r="E33" s="163"/>
      <c r="F33" s="177">
        <v>821200</v>
      </c>
      <c r="G33" s="196"/>
      <c r="H33" s="24" t="s">
        <v>89</v>
      </c>
      <c r="I33" s="237">
        <v>0</v>
      </c>
      <c r="J33" s="237">
        <v>0</v>
      </c>
      <c r="K33" s="224">
        <v>0</v>
      </c>
      <c r="L33" s="360">
        <v>0</v>
      </c>
      <c r="M33" s="237">
        <v>0</v>
      </c>
      <c r="N33" s="813">
        <f t="shared" ref="N33:N34" si="15">SUM(L33:M33)</f>
        <v>0</v>
      </c>
      <c r="O33" s="955" t="str">
        <f t="shared" si="1"/>
        <v/>
      </c>
      <c r="P33" s="956" t="str">
        <f t="shared" si="2"/>
        <v/>
      </c>
    </row>
    <row r="34" spans="1:18" ht="12.95" customHeight="1">
      <c r="B34" s="10"/>
      <c r="C34" s="11"/>
      <c r="D34" s="11"/>
      <c r="E34" s="163"/>
      <c r="F34" s="177">
        <v>821300</v>
      </c>
      <c r="G34" s="196"/>
      <c r="H34" s="24" t="s">
        <v>90</v>
      </c>
      <c r="I34" s="237">
        <v>6000</v>
      </c>
      <c r="J34" s="237">
        <v>6000</v>
      </c>
      <c r="K34" s="224">
        <v>5976</v>
      </c>
      <c r="L34" s="360">
        <v>4145</v>
      </c>
      <c r="M34" s="237">
        <v>0</v>
      </c>
      <c r="N34" s="813">
        <f t="shared" si="15"/>
        <v>4145</v>
      </c>
      <c r="O34" s="955">
        <f t="shared" si="1"/>
        <v>69.083333333333329</v>
      </c>
      <c r="P34" s="956">
        <f t="shared" si="2"/>
        <v>69.36077643908969</v>
      </c>
    </row>
    <row r="35" spans="1:18" s="161" customFormat="1" ht="12.95" customHeight="1">
      <c r="B35" s="162"/>
      <c r="C35" s="163"/>
      <c r="D35" s="163"/>
      <c r="E35" s="163"/>
      <c r="F35" s="180">
        <v>821500</v>
      </c>
      <c r="G35" s="199" t="s">
        <v>615</v>
      </c>
      <c r="H35" s="438" t="s">
        <v>614</v>
      </c>
      <c r="I35" s="237">
        <v>1410000</v>
      </c>
      <c r="J35" s="237">
        <v>1375000</v>
      </c>
      <c r="K35" s="224">
        <v>818662</v>
      </c>
      <c r="L35" s="360">
        <v>0</v>
      </c>
      <c r="M35" s="237">
        <v>1359513</v>
      </c>
      <c r="N35" s="813">
        <f t="shared" ref="N35" si="16">SUM(L35:M35)</f>
        <v>1359513</v>
      </c>
      <c r="O35" s="955">
        <f t="shared" si="1"/>
        <v>98.873672727272734</v>
      </c>
      <c r="P35" s="956">
        <f t="shared" si="2"/>
        <v>166.06523815689502</v>
      </c>
      <c r="Q35" s="869"/>
      <c r="R35" s="51"/>
    </row>
    <row r="36" spans="1:18" s="161" customFormat="1" ht="12.95" customHeight="1">
      <c r="B36" s="162"/>
      <c r="C36" s="163"/>
      <c r="D36" s="163"/>
      <c r="E36" s="163"/>
      <c r="F36" s="180">
        <v>821600</v>
      </c>
      <c r="G36" s="199" t="s">
        <v>616</v>
      </c>
      <c r="H36" s="438" t="s">
        <v>613</v>
      </c>
      <c r="I36" s="237">
        <v>570000</v>
      </c>
      <c r="J36" s="237">
        <v>605000</v>
      </c>
      <c r="K36" s="224">
        <v>209503</v>
      </c>
      <c r="L36" s="360">
        <v>0</v>
      </c>
      <c r="M36" s="237">
        <f>549420+55272</f>
        <v>604692</v>
      </c>
      <c r="N36" s="813">
        <f t="shared" ref="N36" si="17">SUM(L36:M36)</f>
        <v>604692</v>
      </c>
      <c r="O36" s="955">
        <f t="shared" si="1"/>
        <v>99.949090909090913</v>
      </c>
      <c r="P36" s="956">
        <f t="shared" si="2"/>
        <v>288.63166637231922</v>
      </c>
      <c r="Q36" s="401"/>
      <c r="R36" s="51"/>
    </row>
    <row r="37" spans="1:18" ht="12.95" customHeight="1">
      <c r="B37" s="10"/>
      <c r="C37" s="11"/>
      <c r="D37" s="11"/>
      <c r="E37" s="163"/>
      <c r="F37" s="177"/>
      <c r="G37" s="196"/>
      <c r="H37" s="24"/>
      <c r="I37" s="236"/>
      <c r="J37" s="236"/>
      <c r="K37" s="226"/>
      <c r="L37" s="482"/>
      <c r="M37" s="236"/>
      <c r="N37" s="774"/>
      <c r="O37" s="955" t="str">
        <f t="shared" si="1"/>
        <v/>
      </c>
      <c r="P37" s="956" t="str">
        <f t="shared" si="2"/>
        <v/>
      </c>
    </row>
    <row r="38" spans="1:18" s="1" customFormat="1" ht="12.95" customHeight="1">
      <c r="A38" s="158"/>
      <c r="B38" s="12"/>
      <c r="C38" s="8"/>
      <c r="D38" s="8"/>
      <c r="E38" s="8"/>
      <c r="F38" s="176"/>
      <c r="G38" s="195"/>
      <c r="H38" s="25" t="s">
        <v>91</v>
      </c>
      <c r="I38" s="377" t="s">
        <v>830</v>
      </c>
      <c r="J38" s="377" t="s">
        <v>830</v>
      </c>
      <c r="K38" s="486" t="s">
        <v>931</v>
      </c>
      <c r="L38" s="485" t="s">
        <v>947</v>
      </c>
      <c r="M38" s="236"/>
      <c r="N38" s="767" t="s">
        <v>947</v>
      </c>
      <c r="O38" s="955"/>
      <c r="P38" s="956"/>
    </row>
    <row r="39" spans="1:18" s="1" customFormat="1" ht="12.95" customHeight="1">
      <c r="A39" s="158"/>
      <c r="B39" s="12"/>
      <c r="C39" s="8"/>
      <c r="D39" s="8"/>
      <c r="E39" s="8"/>
      <c r="F39" s="176"/>
      <c r="G39" s="195"/>
      <c r="H39" s="8" t="s">
        <v>105</v>
      </c>
      <c r="I39" s="367">
        <f t="shared" ref="I39:N39" si="18">I8+I13+I16+I29+I32</f>
        <v>3090320</v>
      </c>
      <c r="J39" s="165">
        <f t="shared" si="18"/>
        <v>3090320</v>
      </c>
      <c r="K39" s="153">
        <f t="shared" ref="K39" si="19">K8+K13+K16+K29+K32</f>
        <v>1838387</v>
      </c>
      <c r="L39" s="370">
        <f t="shared" si="18"/>
        <v>813426</v>
      </c>
      <c r="M39" s="165">
        <f t="shared" si="18"/>
        <v>2244205</v>
      </c>
      <c r="N39" s="774">
        <f t="shared" si="18"/>
        <v>3057631</v>
      </c>
      <c r="O39" s="953">
        <f>IF(J39=0,"",N39/J39*100)</f>
        <v>98.942213104144543</v>
      </c>
      <c r="P39" s="954">
        <f t="shared" si="2"/>
        <v>166.32140022748203</v>
      </c>
    </row>
    <row r="40" spans="1:18" s="1" customFormat="1" ht="12.95" customHeight="1">
      <c r="A40" s="158"/>
      <c r="B40" s="12"/>
      <c r="C40" s="8"/>
      <c r="D40" s="8"/>
      <c r="E40" s="8"/>
      <c r="F40" s="176"/>
      <c r="G40" s="195"/>
      <c r="H40" s="8" t="s">
        <v>92</v>
      </c>
      <c r="I40" s="15">
        <f t="shared" ref="I40:K41" si="20">I39</f>
        <v>3090320</v>
      </c>
      <c r="J40" s="15">
        <f t="shared" si="20"/>
        <v>3090320</v>
      </c>
      <c r="K40" s="153">
        <f t="shared" si="20"/>
        <v>1838387</v>
      </c>
      <c r="L40" s="370">
        <f t="shared" ref="L40:N41" si="21">L39</f>
        <v>813426</v>
      </c>
      <c r="M40" s="165">
        <f t="shared" si="21"/>
        <v>2244205</v>
      </c>
      <c r="N40" s="774">
        <f t="shared" si="21"/>
        <v>3057631</v>
      </c>
      <c r="O40" s="953">
        <f>IF(J40=0,"",N40/J40*100)</f>
        <v>98.942213104144543</v>
      </c>
      <c r="P40" s="954">
        <f t="shared" si="2"/>
        <v>166.32140022748203</v>
      </c>
    </row>
    <row r="41" spans="1:18" s="1" customFormat="1" ht="12.95" customHeight="1">
      <c r="A41" s="158"/>
      <c r="B41" s="12"/>
      <c r="C41" s="8"/>
      <c r="D41" s="8"/>
      <c r="E41" s="8"/>
      <c r="F41" s="176"/>
      <c r="G41" s="195"/>
      <c r="H41" s="8" t="s">
        <v>93</v>
      </c>
      <c r="I41" s="15">
        <f t="shared" si="20"/>
        <v>3090320</v>
      </c>
      <c r="J41" s="15">
        <f t="shared" si="20"/>
        <v>3090320</v>
      </c>
      <c r="K41" s="153">
        <f t="shared" si="20"/>
        <v>1838387</v>
      </c>
      <c r="L41" s="370">
        <f t="shared" si="21"/>
        <v>813426</v>
      </c>
      <c r="M41" s="165">
        <f t="shared" si="21"/>
        <v>2244205</v>
      </c>
      <c r="N41" s="774">
        <f t="shared" si="21"/>
        <v>3057631</v>
      </c>
      <c r="O41" s="953">
        <f>IF(J41=0,"",N41/J41*100)</f>
        <v>98.942213104144543</v>
      </c>
      <c r="P41" s="954">
        <f t="shared" si="2"/>
        <v>166.32140022748203</v>
      </c>
    </row>
    <row r="42" spans="1:18" ht="12.95" customHeight="1" thickBot="1">
      <c r="B42" s="16"/>
      <c r="C42" s="17"/>
      <c r="D42" s="17"/>
      <c r="E42" s="17"/>
      <c r="F42" s="178"/>
      <c r="G42" s="197"/>
      <c r="H42" s="17"/>
      <c r="I42" s="31"/>
      <c r="J42" s="31"/>
      <c r="K42" s="725"/>
      <c r="L42" s="371"/>
      <c r="M42" s="31"/>
      <c r="N42" s="814"/>
      <c r="O42" s="957"/>
      <c r="P42" s="958" t="str">
        <f t="shared" si="2"/>
        <v/>
      </c>
    </row>
    <row r="43" spans="1:18" ht="12.95" customHeight="1">
      <c r="F43" s="179"/>
      <c r="G43" s="198"/>
      <c r="L43" s="864"/>
      <c r="N43" s="254"/>
      <c r="P43" s="214" t="str">
        <f t="shared" si="2"/>
        <v/>
      </c>
    </row>
    <row r="44" spans="1:18" ht="12.95" customHeight="1">
      <c r="B44" s="45"/>
      <c r="F44" s="179"/>
      <c r="G44" s="198"/>
      <c r="N44" s="254"/>
      <c r="P44" s="214" t="str">
        <f t="shared" si="2"/>
        <v/>
      </c>
    </row>
    <row r="45" spans="1:18" ht="12.95" customHeight="1">
      <c r="B45" s="45"/>
      <c r="F45" s="179"/>
      <c r="G45" s="198"/>
      <c r="N45" s="254"/>
      <c r="P45" s="214" t="str">
        <f t="shared" si="2"/>
        <v/>
      </c>
    </row>
    <row r="46" spans="1:18" ht="12.95" customHeight="1">
      <c r="B46" s="45"/>
      <c r="F46" s="179"/>
      <c r="G46" s="198"/>
      <c r="N46" s="254"/>
      <c r="P46" s="214" t="str">
        <f t="shared" si="2"/>
        <v/>
      </c>
    </row>
    <row r="47" spans="1:18" ht="12.95" customHeight="1">
      <c r="F47" s="179"/>
      <c r="G47" s="198"/>
      <c r="N47" s="254"/>
      <c r="P47" s="214" t="str">
        <f t="shared" si="2"/>
        <v/>
      </c>
    </row>
    <row r="48" spans="1:18" ht="12.95" customHeight="1">
      <c r="F48" s="179"/>
      <c r="G48" s="198"/>
      <c r="N48" s="254"/>
      <c r="P48" s="214" t="str">
        <f t="shared" si="2"/>
        <v/>
      </c>
    </row>
    <row r="49" spans="6:16" ht="12.95" customHeight="1">
      <c r="F49" s="179"/>
      <c r="G49" s="198"/>
      <c r="N49" s="254"/>
      <c r="P49" s="214" t="str">
        <f t="shared" si="2"/>
        <v/>
      </c>
    </row>
    <row r="50" spans="6:16" ht="12.95" customHeight="1">
      <c r="F50" s="179"/>
      <c r="G50" s="198"/>
      <c r="N50" s="254"/>
      <c r="P50" s="214" t="str">
        <f t="shared" si="2"/>
        <v/>
      </c>
    </row>
    <row r="51" spans="6:16" ht="12.95" customHeight="1">
      <c r="F51" s="179"/>
      <c r="G51" s="198"/>
      <c r="N51" s="254"/>
      <c r="P51" s="214" t="str">
        <f t="shared" si="2"/>
        <v/>
      </c>
    </row>
    <row r="52" spans="6:16" ht="12.95" customHeight="1">
      <c r="F52" s="179"/>
      <c r="G52" s="198"/>
      <c r="N52" s="254"/>
      <c r="P52" s="214" t="str">
        <f t="shared" si="2"/>
        <v/>
      </c>
    </row>
    <row r="53" spans="6:16" ht="12.95" customHeight="1">
      <c r="F53" s="179"/>
      <c r="G53" s="198"/>
      <c r="N53" s="254"/>
      <c r="P53" s="214" t="str">
        <f t="shared" si="2"/>
        <v/>
      </c>
    </row>
    <row r="54" spans="6:16" ht="12.95" customHeight="1">
      <c r="F54" s="179"/>
      <c r="G54" s="198"/>
      <c r="N54" s="254"/>
    </row>
    <row r="55" spans="6:16" ht="12.95" customHeight="1">
      <c r="F55" s="179"/>
      <c r="G55" s="198"/>
      <c r="N55" s="254"/>
    </row>
    <row r="56" spans="6:16" ht="12.95" customHeight="1">
      <c r="F56" s="179"/>
      <c r="G56" s="198"/>
      <c r="N56" s="254"/>
    </row>
    <row r="57" spans="6:16" ht="12.95" customHeight="1">
      <c r="F57" s="179"/>
      <c r="G57" s="198"/>
      <c r="N57" s="254"/>
    </row>
    <row r="58" spans="6:16" ht="12.95" customHeight="1">
      <c r="F58" s="179"/>
      <c r="G58" s="198"/>
      <c r="N58" s="254"/>
    </row>
    <row r="59" spans="6:16" ht="12.95" customHeight="1">
      <c r="F59" s="179"/>
      <c r="G59" s="198"/>
      <c r="N59" s="254"/>
    </row>
    <row r="60" spans="6:16" ht="17.100000000000001" customHeight="1">
      <c r="F60" s="179"/>
      <c r="G60" s="198"/>
      <c r="N60" s="254"/>
    </row>
    <row r="61" spans="6:16" ht="14.25">
      <c r="F61" s="179"/>
      <c r="G61" s="198"/>
      <c r="N61" s="254"/>
    </row>
    <row r="62" spans="6:16" ht="14.25">
      <c r="F62" s="179"/>
      <c r="G62" s="198"/>
      <c r="N62" s="254"/>
    </row>
    <row r="63" spans="6:16" ht="14.25">
      <c r="F63" s="179"/>
      <c r="G63" s="198"/>
      <c r="N63" s="254"/>
    </row>
    <row r="64" spans="6:16" ht="14.25">
      <c r="F64" s="179"/>
      <c r="G64" s="198"/>
      <c r="N64" s="254"/>
    </row>
    <row r="65" spans="6:14" ht="14.25">
      <c r="F65" s="179"/>
      <c r="G65" s="198"/>
      <c r="N65" s="254"/>
    </row>
    <row r="66" spans="6:14" ht="14.25">
      <c r="F66" s="179"/>
      <c r="G66" s="198"/>
      <c r="N66" s="254"/>
    </row>
    <row r="67" spans="6:14" ht="14.25">
      <c r="F67" s="179"/>
      <c r="G67" s="198"/>
      <c r="N67" s="254"/>
    </row>
    <row r="68" spans="6:14" ht="14.25">
      <c r="F68" s="179"/>
      <c r="G68" s="198"/>
      <c r="N68" s="254"/>
    </row>
    <row r="69" spans="6:14" ht="14.25">
      <c r="F69" s="179"/>
      <c r="G69" s="198"/>
      <c r="N69" s="254"/>
    </row>
    <row r="70" spans="6:14" ht="14.25">
      <c r="F70" s="179"/>
      <c r="G70" s="198"/>
      <c r="N70" s="254"/>
    </row>
    <row r="71" spans="6:14" ht="14.25">
      <c r="F71" s="179"/>
      <c r="G71" s="198"/>
      <c r="N71" s="254"/>
    </row>
    <row r="72" spans="6:14" ht="14.25">
      <c r="F72" s="179"/>
      <c r="G72" s="198"/>
      <c r="N72" s="254"/>
    </row>
    <row r="73" spans="6:14" ht="14.25">
      <c r="F73" s="179"/>
      <c r="G73" s="198"/>
      <c r="N73" s="254"/>
    </row>
    <row r="74" spans="6:14" ht="14.25">
      <c r="F74" s="179"/>
      <c r="G74" s="179"/>
      <c r="N74" s="254"/>
    </row>
    <row r="75" spans="6:14" ht="14.25">
      <c r="F75" s="179"/>
      <c r="G75" s="179"/>
      <c r="N75" s="254"/>
    </row>
    <row r="76" spans="6:14" ht="14.25">
      <c r="F76" s="179"/>
      <c r="G76" s="179"/>
      <c r="N76" s="254"/>
    </row>
    <row r="77" spans="6:14" ht="14.25">
      <c r="F77" s="179"/>
      <c r="G77" s="179"/>
      <c r="N77" s="254"/>
    </row>
    <row r="78" spans="6:14" ht="14.25">
      <c r="F78" s="179"/>
      <c r="G78" s="179"/>
      <c r="N78" s="254"/>
    </row>
    <row r="79" spans="6:14" ht="14.25">
      <c r="F79" s="179"/>
      <c r="G79" s="179"/>
      <c r="N79" s="254"/>
    </row>
    <row r="80" spans="6:14" ht="14.25">
      <c r="F80" s="179"/>
      <c r="G80" s="179"/>
      <c r="N80" s="254"/>
    </row>
    <row r="81" spans="6:14" ht="14.25">
      <c r="F81" s="179"/>
      <c r="G81" s="179"/>
      <c r="N81" s="254"/>
    </row>
    <row r="82" spans="6:14" ht="14.25">
      <c r="F82" s="179"/>
      <c r="G82" s="179"/>
      <c r="N82" s="254"/>
    </row>
    <row r="83" spans="6:14" ht="14.25">
      <c r="F83" s="179"/>
      <c r="G83" s="179"/>
      <c r="N83" s="254"/>
    </row>
    <row r="84" spans="6:14" ht="14.25">
      <c r="F84" s="179"/>
      <c r="G84" s="179"/>
      <c r="N84" s="254"/>
    </row>
    <row r="85" spans="6:14" ht="14.25">
      <c r="F85" s="179"/>
      <c r="G85" s="179"/>
      <c r="N85" s="254"/>
    </row>
    <row r="86" spans="6:14" ht="14.25">
      <c r="F86" s="179"/>
      <c r="G86" s="179"/>
      <c r="N86" s="254"/>
    </row>
    <row r="87" spans="6:14" ht="14.25">
      <c r="F87" s="179"/>
      <c r="G87" s="179"/>
      <c r="N87" s="254"/>
    </row>
    <row r="88" spans="6:14" ht="14.25">
      <c r="F88" s="179"/>
      <c r="G88" s="179"/>
      <c r="N88" s="254"/>
    </row>
    <row r="89" spans="6:14" ht="14.25">
      <c r="F89" s="179"/>
      <c r="G89" s="179"/>
      <c r="N89" s="254"/>
    </row>
    <row r="90" spans="6:14" ht="14.25">
      <c r="F90" s="179"/>
      <c r="G90" s="179"/>
      <c r="N90" s="254"/>
    </row>
    <row r="91" spans="6:14">
      <c r="G91" s="179"/>
    </row>
    <row r="92" spans="6:14">
      <c r="G92" s="179"/>
    </row>
    <row r="93" spans="6:14">
      <c r="G93" s="179"/>
    </row>
    <row r="94" spans="6:14">
      <c r="G94" s="179"/>
    </row>
    <row r="95" spans="6:14">
      <c r="G95" s="179"/>
    </row>
    <row r="96" spans="6:14">
      <c r="G96" s="179"/>
    </row>
  </sheetData>
  <mergeCells count="15">
    <mergeCell ref="P4:P5"/>
    <mergeCell ref="B2:P2"/>
    <mergeCell ref="K4:K5"/>
    <mergeCell ref="O4:O5"/>
    <mergeCell ref="H4:H5"/>
    <mergeCell ref="H3:I3"/>
    <mergeCell ref="L4:N4"/>
    <mergeCell ref="B4:B5"/>
    <mergeCell ref="C4:C5"/>
    <mergeCell ref="D4:D5"/>
    <mergeCell ref="G4:G5"/>
    <mergeCell ref="F4:F5"/>
    <mergeCell ref="I4:I5"/>
    <mergeCell ref="J4:J5"/>
    <mergeCell ref="E4:E5"/>
  </mergeCells>
  <phoneticPr fontId="2" type="noConversion"/>
  <pageMargins left="0.78740157480314965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22"/>
  <dimension ref="A1:S100"/>
  <sheetViews>
    <sheetView topLeftCell="A3" zoomScaleNormal="100" zoomScaleSheetLayoutView="100" workbookViewId="0">
      <selection activeCell="N43" sqref="N43"/>
    </sheetView>
  </sheetViews>
  <sheetFormatPr defaultColWidth="9.140625" defaultRowHeight="12.75"/>
  <cols>
    <col min="1" max="1" width="4.42578125" style="161" customWidth="1"/>
    <col min="2" max="2" width="4.7109375" style="9" customWidth="1"/>
    <col min="3" max="3" width="5.140625" style="9" customWidth="1"/>
    <col min="4" max="4" width="5" style="9" customWidth="1"/>
    <col min="5" max="5" width="5" style="161" customWidth="1"/>
    <col min="6" max="6" width="8.7109375" style="18" customWidth="1"/>
    <col min="7" max="7" width="8.7109375" style="166" customWidth="1"/>
    <col min="8" max="8" width="50.7109375" style="9" customWidth="1"/>
    <col min="9" max="10" width="14.7109375" style="9" customWidth="1"/>
    <col min="11" max="11" width="12.5703125" style="161" customWidth="1"/>
    <col min="12" max="13" width="14.7109375" style="161" customWidth="1"/>
    <col min="14" max="14" width="15.7109375" style="9" customWidth="1"/>
    <col min="15" max="16" width="7.7109375" style="214" customWidth="1"/>
    <col min="17" max="16384" width="9.140625" style="9"/>
  </cols>
  <sheetData>
    <row r="1" spans="1:18" ht="13.5" thickBot="1"/>
    <row r="2" spans="1:18" s="79" customFormat="1" ht="20.100000000000001" customHeight="1" thickTop="1" thickBot="1">
      <c r="A2" s="244"/>
      <c r="B2" s="1034" t="s">
        <v>635</v>
      </c>
      <c r="C2" s="1035"/>
      <c r="D2" s="1035"/>
      <c r="E2" s="1035"/>
      <c r="F2" s="1035"/>
      <c r="G2" s="1035"/>
      <c r="H2" s="1035"/>
      <c r="I2" s="1035"/>
      <c r="J2" s="1035"/>
      <c r="K2" s="1035"/>
      <c r="L2" s="1035"/>
      <c r="M2" s="1035"/>
      <c r="N2" s="1035"/>
      <c r="O2" s="1057"/>
      <c r="P2" s="1036"/>
      <c r="R2" s="244"/>
    </row>
    <row r="3" spans="1:18" s="1" customFormat="1" ht="8.1" customHeight="1" thickTop="1" thickBot="1">
      <c r="A3" s="158"/>
      <c r="E3" s="158"/>
      <c r="F3" s="2"/>
      <c r="G3" s="159"/>
      <c r="H3" s="1039"/>
      <c r="I3" s="1039"/>
      <c r="J3" s="139"/>
      <c r="K3" s="721"/>
      <c r="L3" s="74"/>
      <c r="M3" s="74"/>
      <c r="N3" s="74"/>
      <c r="O3" s="208"/>
      <c r="P3" s="208"/>
    </row>
    <row r="4" spans="1:18" s="1" customFormat="1" ht="39" customHeight="1">
      <c r="A4" s="158"/>
      <c r="B4" s="1043" t="s">
        <v>76</v>
      </c>
      <c r="C4" s="1045" t="s">
        <v>77</v>
      </c>
      <c r="D4" s="1047" t="s">
        <v>102</v>
      </c>
      <c r="E4" s="1062" t="s">
        <v>692</v>
      </c>
      <c r="F4" s="1058" t="s">
        <v>466</v>
      </c>
      <c r="G4" s="1048" t="s">
        <v>493</v>
      </c>
      <c r="H4" s="1050" t="s">
        <v>78</v>
      </c>
      <c r="I4" s="1059" t="s">
        <v>901</v>
      </c>
      <c r="J4" s="1068" t="s">
        <v>813</v>
      </c>
      <c r="K4" s="1037" t="s">
        <v>906</v>
      </c>
      <c r="L4" s="1040" t="s">
        <v>905</v>
      </c>
      <c r="M4" s="1041"/>
      <c r="N4" s="1042"/>
      <c r="O4" s="1054" t="s">
        <v>945</v>
      </c>
      <c r="P4" s="1032" t="s">
        <v>946</v>
      </c>
      <c r="R4" s="61"/>
    </row>
    <row r="5" spans="1:18" s="158" customFormat="1" ht="27" customHeight="1">
      <c r="B5" s="1044"/>
      <c r="C5" s="1046"/>
      <c r="D5" s="1046"/>
      <c r="E5" s="1049"/>
      <c r="F5" s="1051"/>
      <c r="G5" s="1049"/>
      <c r="H5" s="1051"/>
      <c r="I5" s="1051"/>
      <c r="J5" s="1051"/>
      <c r="K5" s="1038"/>
      <c r="L5" s="373" t="s">
        <v>526</v>
      </c>
      <c r="M5" s="242" t="s">
        <v>527</v>
      </c>
      <c r="N5" s="764" t="s">
        <v>319</v>
      </c>
      <c r="O5" s="1055"/>
      <c r="P5" s="1033"/>
    </row>
    <row r="6" spans="1:18" s="2" customFormat="1" ht="12.95" customHeight="1">
      <c r="A6" s="159"/>
      <c r="B6" s="328">
        <v>1</v>
      </c>
      <c r="C6" s="195">
        <v>2</v>
      </c>
      <c r="D6" s="195">
        <v>3</v>
      </c>
      <c r="E6" s="195">
        <v>4</v>
      </c>
      <c r="F6" s="195">
        <v>5</v>
      </c>
      <c r="G6" s="195">
        <v>6</v>
      </c>
      <c r="H6" s="195">
        <v>7</v>
      </c>
      <c r="I6" s="195">
        <v>8</v>
      </c>
      <c r="J6" s="195">
        <v>9</v>
      </c>
      <c r="K6" s="188">
        <v>10</v>
      </c>
      <c r="L6" s="328">
        <v>11</v>
      </c>
      <c r="M6" s="195">
        <v>12</v>
      </c>
      <c r="N6" s="810" t="s">
        <v>694</v>
      </c>
      <c r="O6" s="929" t="s">
        <v>814</v>
      </c>
      <c r="P6" s="930" t="s">
        <v>944</v>
      </c>
    </row>
    <row r="7" spans="1:18" s="2" customFormat="1" ht="12.95" customHeight="1">
      <c r="A7" s="159"/>
      <c r="B7" s="6" t="s">
        <v>125</v>
      </c>
      <c r="C7" s="7" t="s">
        <v>79</v>
      </c>
      <c r="D7" s="7" t="s">
        <v>80</v>
      </c>
      <c r="E7" s="415" t="s">
        <v>702</v>
      </c>
      <c r="F7" s="5"/>
      <c r="G7" s="160"/>
      <c r="H7" s="5"/>
      <c r="I7" s="366"/>
      <c r="J7" s="160"/>
      <c r="K7" s="173"/>
      <c r="L7" s="4"/>
      <c r="M7" s="160"/>
      <c r="N7" s="811"/>
      <c r="O7" s="951"/>
      <c r="P7" s="952"/>
    </row>
    <row r="8" spans="1:18" s="1" customFormat="1" ht="12.95" customHeight="1">
      <c r="A8" s="158"/>
      <c r="B8" s="12"/>
      <c r="C8" s="8"/>
      <c r="D8" s="8"/>
      <c r="E8" s="8"/>
      <c r="F8" s="176">
        <v>611000</v>
      </c>
      <c r="G8" s="195"/>
      <c r="H8" s="25" t="s">
        <v>140</v>
      </c>
      <c r="I8" s="236">
        <f t="shared" ref="I8:N8" si="0">SUM(I9:I12)</f>
        <v>861180</v>
      </c>
      <c r="J8" s="236">
        <f t="shared" si="0"/>
        <v>861280</v>
      </c>
      <c r="K8" s="226">
        <f t="shared" si="0"/>
        <v>707825</v>
      </c>
      <c r="L8" s="482">
        <f t="shared" si="0"/>
        <v>861263</v>
      </c>
      <c r="M8" s="236">
        <f t="shared" si="0"/>
        <v>0</v>
      </c>
      <c r="N8" s="812">
        <f t="shared" si="0"/>
        <v>861263</v>
      </c>
      <c r="O8" s="953">
        <f t="shared" ref="O8:O41" si="1">IF(J8=0,"",N8/J8*100)</f>
        <v>99.998026193572358</v>
      </c>
      <c r="P8" s="954">
        <f>IF(K8=0,"",N8/K8*100)</f>
        <v>121.67739201073711</v>
      </c>
    </row>
    <row r="9" spans="1:18" ht="12.95" customHeight="1">
      <c r="B9" s="10"/>
      <c r="C9" s="11"/>
      <c r="D9" s="11"/>
      <c r="E9" s="163"/>
      <c r="F9" s="177">
        <v>611100</v>
      </c>
      <c r="G9" s="196"/>
      <c r="H9" s="428" t="s">
        <v>161</v>
      </c>
      <c r="I9" s="235">
        <f>694980+700</f>
        <v>695680</v>
      </c>
      <c r="J9" s="235">
        <v>693720</v>
      </c>
      <c r="K9" s="225">
        <v>591913</v>
      </c>
      <c r="L9" s="357">
        <v>693709</v>
      </c>
      <c r="M9" s="235">
        <v>0</v>
      </c>
      <c r="N9" s="813">
        <f>SUM(L9:M9)</f>
        <v>693709</v>
      </c>
      <c r="O9" s="955">
        <f t="shared" si="1"/>
        <v>99.998414345845589</v>
      </c>
      <c r="P9" s="956">
        <f t="shared" ref="P9:P53" si="2">IF(K9=0,"",N9/K9*100)</f>
        <v>117.1977976493167</v>
      </c>
    </row>
    <row r="10" spans="1:18" ht="12.95" customHeight="1">
      <c r="B10" s="10"/>
      <c r="C10" s="11"/>
      <c r="D10" s="11"/>
      <c r="E10" s="163"/>
      <c r="F10" s="177">
        <v>611200</v>
      </c>
      <c r="G10" s="196"/>
      <c r="H10" s="24" t="s">
        <v>162</v>
      </c>
      <c r="I10" s="230">
        <f>144200+300+30*700</f>
        <v>165500</v>
      </c>
      <c r="J10" s="230">
        <v>167560</v>
      </c>
      <c r="K10" s="487">
        <v>115912</v>
      </c>
      <c r="L10" s="361">
        <v>167554</v>
      </c>
      <c r="M10" s="230">
        <v>0</v>
      </c>
      <c r="N10" s="813">
        <f t="shared" ref="N10:N11" si="3">SUM(L10:M10)</f>
        <v>167554</v>
      </c>
      <c r="O10" s="955">
        <f t="shared" si="1"/>
        <v>99.996419193124851</v>
      </c>
      <c r="P10" s="956">
        <f t="shared" si="2"/>
        <v>144.55276416591897</v>
      </c>
    </row>
    <row r="11" spans="1:18" ht="12.95" customHeight="1">
      <c r="B11" s="10"/>
      <c r="C11" s="11"/>
      <c r="D11" s="11"/>
      <c r="E11" s="163"/>
      <c r="F11" s="177">
        <v>611200</v>
      </c>
      <c r="G11" s="196"/>
      <c r="H11" s="435" t="s">
        <v>434</v>
      </c>
      <c r="I11" s="235">
        <v>0</v>
      </c>
      <c r="J11" s="235">
        <v>0</v>
      </c>
      <c r="K11" s="225">
        <v>0</v>
      </c>
      <c r="L11" s="357">
        <v>0</v>
      </c>
      <c r="M11" s="235">
        <v>0</v>
      </c>
      <c r="N11" s="813">
        <f t="shared" si="3"/>
        <v>0</v>
      </c>
      <c r="O11" s="955" t="str">
        <f t="shared" si="1"/>
        <v/>
      </c>
      <c r="P11" s="956" t="str">
        <f t="shared" si="2"/>
        <v/>
      </c>
      <c r="R11" s="50"/>
    </row>
    <row r="12" spans="1:18" ht="12.95" customHeight="1">
      <c r="B12" s="10"/>
      <c r="C12" s="11"/>
      <c r="D12" s="11"/>
      <c r="E12" s="163"/>
      <c r="F12" s="177"/>
      <c r="G12" s="196"/>
      <c r="H12" s="428"/>
      <c r="I12" s="235"/>
      <c r="J12" s="235"/>
      <c r="K12" s="225"/>
      <c r="L12" s="357"/>
      <c r="M12" s="235"/>
      <c r="N12" s="813"/>
      <c r="O12" s="955" t="str">
        <f t="shared" si="1"/>
        <v/>
      </c>
      <c r="P12" s="956" t="str">
        <f t="shared" si="2"/>
        <v/>
      </c>
    </row>
    <row r="13" spans="1:18" s="1" customFormat="1" ht="12.95" customHeight="1">
      <c r="A13" s="158"/>
      <c r="B13" s="12"/>
      <c r="C13" s="8"/>
      <c r="D13" s="8"/>
      <c r="E13" s="8"/>
      <c r="F13" s="176">
        <v>612000</v>
      </c>
      <c r="G13" s="195"/>
      <c r="H13" s="25" t="s">
        <v>139</v>
      </c>
      <c r="I13" s="236">
        <f t="shared" ref="I13:N13" si="4">I14</f>
        <v>73250</v>
      </c>
      <c r="J13" s="236">
        <f t="shared" si="4"/>
        <v>73150</v>
      </c>
      <c r="K13" s="226">
        <f t="shared" si="4"/>
        <v>62344</v>
      </c>
      <c r="L13" s="482">
        <f t="shared" si="4"/>
        <v>72906</v>
      </c>
      <c r="M13" s="236">
        <f t="shared" si="4"/>
        <v>0</v>
      </c>
      <c r="N13" s="812">
        <f t="shared" si="4"/>
        <v>72906</v>
      </c>
      <c r="O13" s="953">
        <f t="shared" si="1"/>
        <v>99.666438824333554</v>
      </c>
      <c r="P13" s="954">
        <f t="shared" si="2"/>
        <v>116.94148594892853</v>
      </c>
    </row>
    <row r="14" spans="1:18" ht="12.95" customHeight="1">
      <c r="B14" s="10"/>
      <c r="C14" s="11"/>
      <c r="D14" s="11"/>
      <c r="E14" s="163"/>
      <c r="F14" s="177">
        <v>612100</v>
      </c>
      <c r="G14" s="196"/>
      <c r="H14" s="430" t="s">
        <v>81</v>
      </c>
      <c r="I14" s="235">
        <f>73100+150</f>
        <v>73250</v>
      </c>
      <c r="J14" s="235">
        <v>73150</v>
      </c>
      <c r="K14" s="225">
        <v>62344</v>
      </c>
      <c r="L14" s="357">
        <v>72906</v>
      </c>
      <c r="M14" s="235">
        <v>0</v>
      </c>
      <c r="N14" s="813">
        <f>SUM(L14:M14)</f>
        <v>72906</v>
      </c>
      <c r="O14" s="955">
        <f t="shared" si="1"/>
        <v>99.666438824333554</v>
      </c>
      <c r="P14" s="956">
        <f t="shared" si="2"/>
        <v>116.94148594892853</v>
      </c>
    </row>
    <row r="15" spans="1:18" ht="12.95" customHeight="1">
      <c r="B15" s="10"/>
      <c r="C15" s="11"/>
      <c r="D15" s="11"/>
      <c r="E15" s="163"/>
      <c r="F15" s="177"/>
      <c r="G15" s="196"/>
      <c r="H15" s="24"/>
      <c r="I15" s="231"/>
      <c r="J15" s="231"/>
      <c r="K15" s="220"/>
      <c r="L15" s="358"/>
      <c r="M15" s="231"/>
      <c r="N15" s="776"/>
      <c r="O15" s="955" t="str">
        <f t="shared" si="1"/>
        <v/>
      </c>
      <c r="P15" s="956" t="str">
        <f t="shared" si="2"/>
        <v/>
      </c>
    </row>
    <row r="16" spans="1:18" s="1" customFormat="1" ht="12.95" customHeight="1">
      <c r="A16" s="158"/>
      <c r="B16" s="12"/>
      <c r="C16" s="8"/>
      <c r="D16" s="8"/>
      <c r="E16" s="8"/>
      <c r="F16" s="176">
        <v>613000</v>
      </c>
      <c r="G16" s="195"/>
      <c r="H16" s="25" t="s">
        <v>141</v>
      </c>
      <c r="I16" s="234">
        <f t="shared" ref="I16:N16" si="5">SUM(I17:I26)</f>
        <v>92350</v>
      </c>
      <c r="J16" s="234">
        <f t="shared" si="5"/>
        <v>92350</v>
      </c>
      <c r="K16" s="221">
        <f t="shared" si="5"/>
        <v>73230</v>
      </c>
      <c r="L16" s="483">
        <f t="shared" si="5"/>
        <v>85964</v>
      </c>
      <c r="M16" s="234">
        <f t="shared" si="5"/>
        <v>0</v>
      </c>
      <c r="N16" s="774">
        <f t="shared" si="5"/>
        <v>85964</v>
      </c>
      <c r="O16" s="953">
        <f t="shared" si="1"/>
        <v>93.085002707092585</v>
      </c>
      <c r="P16" s="954">
        <f t="shared" si="2"/>
        <v>117.38904820428786</v>
      </c>
    </row>
    <row r="17" spans="1:19" ht="12.95" customHeight="1">
      <c r="B17" s="10"/>
      <c r="C17" s="11"/>
      <c r="D17" s="11"/>
      <c r="E17" s="163"/>
      <c r="F17" s="177">
        <v>613100</v>
      </c>
      <c r="G17" s="196"/>
      <c r="H17" s="24" t="s">
        <v>82</v>
      </c>
      <c r="I17" s="235">
        <v>7300</v>
      </c>
      <c r="J17" s="235">
        <v>7300</v>
      </c>
      <c r="K17" s="225">
        <v>5395</v>
      </c>
      <c r="L17" s="357">
        <v>6283</v>
      </c>
      <c r="M17" s="235">
        <v>0</v>
      </c>
      <c r="N17" s="813">
        <f t="shared" ref="N17:N26" si="6">SUM(L17:M17)</f>
        <v>6283</v>
      </c>
      <c r="O17" s="955">
        <f t="shared" si="1"/>
        <v>86.06849315068493</v>
      </c>
      <c r="P17" s="956">
        <f t="shared" si="2"/>
        <v>116.45968489341982</v>
      </c>
    </row>
    <row r="18" spans="1:19" ht="12.95" customHeight="1">
      <c r="B18" s="10"/>
      <c r="C18" s="11"/>
      <c r="D18" s="11"/>
      <c r="E18" s="163"/>
      <c r="F18" s="177">
        <v>613200</v>
      </c>
      <c r="G18" s="196"/>
      <c r="H18" s="24" t="s">
        <v>83</v>
      </c>
      <c r="I18" s="235">
        <v>1500</v>
      </c>
      <c r="J18" s="235">
        <v>1500</v>
      </c>
      <c r="K18" s="225">
        <v>1142</v>
      </c>
      <c r="L18" s="357">
        <v>1083</v>
      </c>
      <c r="M18" s="235">
        <v>0</v>
      </c>
      <c r="N18" s="813">
        <f t="shared" si="6"/>
        <v>1083</v>
      </c>
      <c r="O18" s="955">
        <f t="shared" si="1"/>
        <v>72.2</v>
      </c>
      <c r="P18" s="956">
        <f t="shared" si="2"/>
        <v>94.833625218914193</v>
      </c>
    </row>
    <row r="19" spans="1:19" ht="12.95" customHeight="1">
      <c r="B19" s="10"/>
      <c r="C19" s="11"/>
      <c r="D19" s="11"/>
      <c r="E19" s="163"/>
      <c r="F19" s="177">
        <v>613300</v>
      </c>
      <c r="G19" s="196"/>
      <c r="H19" s="428" t="s">
        <v>163</v>
      </c>
      <c r="I19" s="235">
        <v>7000</v>
      </c>
      <c r="J19" s="235">
        <v>7000</v>
      </c>
      <c r="K19" s="225">
        <v>6214</v>
      </c>
      <c r="L19" s="357">
        <v>6869</v>
      </c>
      <c r="M19" s="235">
        <v>0</v>
      </c>
      <c r="N19" s="813">
        <f t="shared" si="6"/>
        <v>6869</v>
      </c>
      <c r="O19" s="955">
        <f t="shared" si="1"/>
        <v>98.128571428571433</v>
      </c>
      <c r="P19" s="956">
        <f t="shared" si="2"/>
        <v>110.54071451560992</v>
      </c>
    </row>
    <row r="20" spans="1:19" ht="12.95" customHeight="1">
      <c r="B20" s="10"/>
      <c r="C20" s="11"/>
      <c r="D20" s="11"/>
      <c r="E20" s="163"/>
      <c r="F20" s="177">
        <v>613400</v>
      </c>
      <c r="G20" s="196"/>
      <c r="H20" s="24" t="s">
        <v>142</v>
      </c>
      <c r="I20" s="235">
        <v>3500</v>
      </c>
      <c r="J20" s="235">
        <v>9000</v>
      </c>
      <c r="K20" s="225">
        <v>4170</v>
      </c>
      <c r="L20" s="357">
        <v>7758</v>
      </c>
      <c r="M20" s="235">
        <v>0</v>
      </c>
      <c r="N20" s="813">
        <f t="shared" si="6"/>
        <v>7758</v>
      </c>
      <c r="O20" s="955">
        <f t="shared" si="1"/>
        <v>86.2</v>
      </c>
      <c r="P20" s="956">
        <f t="shared" si="2"/>
        <v>186.0431654676259</v>
      </c>
    </row>
    <row r="21" spans="1:19" ht="12.95" customHeight="1">
      <c r="B21" s="10"/>
      <c r="C21" s="11"/>
      <c r="D21" s="11"/>
      <c r="E21" s="163"/>
      <c r="F21" s="177">
        <v>613500</v>
      </c>
      <c r="G21" s="196"/>
      <c r="H21" s="24" t="s">
        <v>84</v>
      </c>
      <c r="I21" s="235">
        <v>500</v>
      </c>
      <c r="J21" s="235">
        <v>500</v>
      </c>
      <c r="K21" s="225">
        <v>433</v>
      </c>
      <c r="L21" s="357">
        <v>323</v>
      </c>
      <c r="M21" s="235">
        <v>0</v>
      </c>
      <c r="N21" s="813">
        <f t="shared" si="6"/>
        <v>323</v>
      </c>
      <c r="O21" s="955">
        <f t="shared" si="1"/>
        <v>64.600000000000009</v>
      </c>
      <c r="P21" s="956">
        <f t="shared" si="2"/>
        <v>74.595842956120094</v>
      </c>
    </row>
    <row r="22" spans="1:19" ht="12.95" customHeight="1">
      <c r="B22" s="10"/>
      <c r="C22" s="11"/>
      <c r="D22" s="11"/>
      <c r="E22" s="163"/>
      <c r="F22" s="177">
        <v>613600</v>
      </c>
      <c r="G22" s="196"/>
      <c r="H22" s="428" t="s">
        <v>164</v>
      </c>
      <c r="I22" s="235">
        <v>5500</v>
      </c>
      <c r="J22" s="235">
        <v>5500</v>
      </c>
      <c r="K22" s="225">
        <v>5004</v>
      </c>
      <c r="L22" s="357">
        <v>5004</v>
      </c>
      <c r="M22" s="235">
        <v>0</v>
      </c>
      <c r="N22" s="813">
        <f t="shared" si="6"/>
        <v>5004</v>
      </c>
      <c r="O22" s="955">
        <f t="shared" si="1"/>
        <v>90.981818181818184</v>
      </c>
      <c r="P22" s="956">
        <f t="shared" si="2"/>
        <v>100</v>
      </c>
    </row>
    <row r="23" spans="1:19" ht="12.95" customHeight="1">
      <c r="B23" s="10"/>
      <c r="C23" s="11"/>
      <c r="D23" s="11"/>
      <c r="E23" s="163"/>
      <c r="F23" s="177">
        <v>613700</v>
      </c>
      <c r="G23" s="196"/>
      <c r="H23" s="24" t="s">
        <v>85</v>
      </c>
      <c r="I23" s="235">
        <v>9000</v>
      </c>
      <c r="J23" s="235">
        <v>10050</v>
      </c>
      <c r="K23" s="225">
        <v>4769</v>
      </c>
      <c r="L23" s="357">
        <v>10031</v>
      </c>
      <c r="M23" s="235">
        <v>0</v>
      </c>
      <c r="N23" s="813">
        <f t="shared" si="6"/>
        <v>10031</v>
      </c>
      <c r="O23" s="955">
        <f t="shared" si="1"/>
        <v>99.810945273631845</v>
      </c>
      <c r="P23" s="956">
        <f t="shared" si="2"/>
        <v>210.33759698049909</v>
      </c>
    </row>
    <row r="24" spans="1:19" ht="12.95" customHeight="1">
      <c r="B24" s="10"/>
      <c r="C24" s="11"/>
      <c r="D24" s="11"/>
      <c r="E24" s="163"/>
      <c r="F24" s="177">
        <v>613800</v>
      </c>
      <c r="G24" s="196"/>
      <c r="H24" s="24" t="s">
        <v>143</v>
      </c>
      <c r="I24" s="235">
        <v>50</v>
      </c>
      <c r="J24" s="235">
        <v>50</v>
      </c>
      <c r="K24" s="225">
        <v>45</v>
      </c>
      <c r="L24" s="357">
        <v>45</v>
      </c>
      <c r="M24" s="235">
        <v>0</v>
      </c>
      <c r="N24" s="813">
        <f t="shared" si="6"/>
        <v>45</v>
      </c>
      <c r="O24" s="955">
        <f t="shared" si="1"/>
        <v>90</v>
      </c>
      <c r="P24" s="956">
        <f t="shared" si="2"/>
        <v>100</v>
      </c>
    </row>
    <row r="25" spans="1:19" ht="12.95" customHeight="1">
      <c r="B25" s="10"/>
      <c r="C25" s="11"/>
      <c r="D25" s="11"/>
      <c r="E25" s="163"/>
      <c r="F25" s="177">
        <v>613900</v>
      </c>
      <c r="G25" s="196"/>
      <c r="H25" s="24" t="s">
        <v>144</v>
      </c>
      <c r="I25" s="235">
        <v>58000</v>
      </c>
      <c r="J25" s="235">
        <v>51450</v>
      </c>
      <c r="K25" s="225">
        <v>46058</v>
      </c>
      <c r="L25" s="357">
        <v>48568</v>
      </c>
      <c r="M25" s="235">
        <v>0</v>
      </c>
      <c r="N25" s="813">
        <f t="shared" si="6"/>
        <v>48568</v>
      </c>
      <c r="O25" s="955">
        <f t="shared" si="1"/>
        <v>94.398445092322646</v>
      </c>
      <c r="P25" s="956">
        <f t="shared" si="2"/>
        <v>105.44965044074863</v>
      </c>
      <c r="Q25" s="58"/>
    </row>
    <row r="26" spans="1:19" ht="12.95" customHeight="1">
      <c r="B26" s="10"/>
      <c r="C26" s="11"/>
      <c r="D26" s="11"/>
      <c r="E26" s="163"/>
      <c r="F26" s="177">
        <v>613900</v>
      </c>
      <c r="G26" s="196"/>
      <c r="H26" s="435" t="s">
        <v>435</v>
      </c>
      <c r="I26" s="235">
        <v>0</v>
      </c>
      <c r="J26" s="235">
        <v>0</v>
      </c>
      <c r="K26" s="225">
        <v>0</v>
      </c>
      <c r="L26" s="357">
        <v>0</v>
      </c>
      <c r="M26" s="235">
        <v>0</v>
      </c>
      <c r="N26" s="813">
        <f t="shared" si="6"/>
        <v>0</v>
      </c>
      <c r="O26" s="955" t="str">
        <f t="shared" si="1"/>
        <v/>
      </c>
      <c r="P26" s="956" t="str">
        <f t="shared" si="2"/>
        <v/>
      </c>
    </row>
    <row r="27" spans="1:19" ht="12.95" customHeight="1">
      <c r="B27" s="10"/>
      <c r="C27" s="11"/>
      <c r="D27" s="11"/>
      <c r="E27" s="163"/>
      <c r="F27" s="177"/>
      <c r="G27" s="196"/>
      <c r="H27" s="24"/>
      <c r="I27" s="236"/>
      <c r="J27" s="236"/>
      <c r="K27" s="226"/>
      <c r="L27" s="482"/>
      <c r="M27" s="236"/>
      <c r="N27" s="774"/>
      <c r="O27" s="955" t="str">
        <f t="shared" si="1"/>
        <v/>
      </c>
      <c r="P27" s="956" t="str">
        <f t="shared" si="2"/>
        <v/>
      </c>
    </row>
    <row r="28" spans="1:19" s="1" customFormat="1" ht="12.95" customHeight="1">
      <c r="A28" s="158"/>
      <c r="B28" s="12"/>
      <c r="C28" s="8"/>
      <c r="D28" s="8"/>
      <c r="E28" s="8"/>
      <c r="F28" s="176">
        <v>614000</v>
      </c>
      <c r="G28" s="195"/>
      <c r="H28" s="25" t="s">
        <v>165</v>
      </c>
      <c r="I28" s="236">
        <f t="shared" ref="I28:J28" si="7">SUM(I29:I32)</f>
        <v>2940000</v>
      </c>
      <c r="J28" s="236">
        <f t="shared" si="7"/>
        <v>2940000</v>
      </c>
      <c r="K28" s="226">
        <f t="shared" ref="K28" si="8">SUM(K29:K32)</f>
        <v>1357902</v>
      </c>
      <c r="L28" s="482">
        <f t="shared" ref="L28:M28" si="9">SUM(L29:L32)</f>
        <v>2148403</v>
      </c>
      <c r="M28" s="236">
        <f t="shared" si="9"/>
        <v>481311</v>
      </c>
      <c r="N28" s="774">
        <f t="shared" ref="N28" si="10">SUM(N29:N32)</f>
        <v>2629714</v>
      </c>
      <c r="O28" s="953">
        <f t="shared" si="1"/>
        <v>89.446054421768707</v>
      </c>
      <c r="P28" s="954">
        <f t="shared" si="2"/>
        <v>193.66007267092914</v>
      </c>
    </row>
    <row r="29" spans="1:19" s="1" customFormat="1" ht="12.95" customHeight="1">
      <c r="A29" s="158"/>
      <c r="B29" s="12"/>
      <c r="C29" s="8"/>
      <c r="D29" s="25"/>
      <c r="E29" s="25"/>
      <c r="F29" s="177">
        <v>614100</v>
      </c>
      <c r="G29" s="196" t="s">
        <v>513</v>
      </c>
      <c r="H29" s="432" t="s">
        <v>786</v>
      </c>
      <c r="I29" s="237">
        <v>100000</v>
      </c>
      <c r="J29" s="237">
        <v>100000</v>
      </c>
      <c r="K29" s="224">
        <v>99879</v>
      </c>
      <c r="L29" s="360">
        <v>0</v>
      </c>
      <c r="M29" s="237">
        <v>99908</v>
      </c>
      <c r="N29" s="813">
        <f t="shared" ref="N29:N32" si="11">SUM(L29:M29)</f>
        <v>99908</v>
      </c>
      <c r="O29" s="955">
        <f t="shared" si="1"/>
        <v>99.908000000000001</v>
      </c>
      <c r="P29" s="956">
        <f t="shared" si="2"/>
        <v>100.02903513251033</v>
      </c>
      <c r="Q29" s="158"/>
    </row>
    <row r="30" spans="1:19" ht="12.95" customHeight="1">
      <c r="B30" s="10"/>
      <c r="C30" s="11"/>
      <c r="D30" s="11"/>
      <c r="E30" s="163"/>
      <c r="F30" s="177">
        <v>614500</v>
      </c>
      <c r="G30" s="196" t="s">
        <v>512</v>
      </c>
      <c r="H30" s="452" t="s">
        <v>787</v>
      </c>
      <c r="I30" s="237">
        <v>2150000</v>
      </c>
      <c r="J30" s="237">
        <v>2150000</v>
      </c>
      <c r="K30" s="224">
        <v>1048510</v>
      </c>
      <c r="L30" s="360">
        <v>2148403</v>
      </c>
      <c r="M30" s="237">
        <v>0</v>
      </c>
      <c r="N30" s="813">
        <f t="shared" si="11"/>
        <v>2148403</v>
      </c>
      <c r="O30" s="955">
        <f t="shared" si="1"/>
        <v>99.925720930232558</v>
      </c>
      <c r="P30" s="956">
        <f t="shared" si="2"/>
        <v>204.90057319434243</v>
      </c>
      <c r="R30" s="51"/>
    </row>
    <row r="31" spans="1:19" ht="12.95" customHeight="1">
      <c r="B31" s="10"/>
      <c r="C31" s="11"/>
      <c r="D31" s="11"/>
      <c r="E31" s="163"/>
      <c r="F31" s="180">
        <v>614500</v>
      </c>
      <c r="G31" s="196" t="s">
        <v>514</v>
      </c>
      <c r="H31" s="452" t="s">
        <v>788</v>
      </c>
      <c r="I31" s="237">
        <v>490000</v>
      </c>
      <c r="J31" s="237">
        <v>490000</v>
      </c>
      <c r="K31" s="224">
        <v>167844</v>
      </c>
      <c r="L31" s="360"/>
      <c r="M31" s="237">
        <v>189436</v>
      </c>
      <c r="N31" s="813">
        <f t="shared" si="11"/>
        <v>189436</v>
      </c>
      <c r="O31" s="955">
        <f t="shared" si="1"/>
        <v>38.660408163265309</v>
      </c>
      <c r="P31" s="956">
        <f t="shared" si="2"/>
        <v>112.86432639832225</v>
      </c>
      <c r="Q31" s="869"/>
      <c r="R31" s="404"/>
      <c r="S31" s="401"/>
    </row>
    <row r="32" spans="1:19" ht="12.95" customHeight="1">
      <c r="B32" s="10"/>
      <c r="C32" s="11"/>
      <c r="D32" s="11"/>
      <c r="E32" s="163"/>
      <c r="F32" s="180">
        <v>614500</v>
      </c>
      <c r="G32" s="196" t="s">
        <v>515</v>
      </c>
      <c r="H32" s="458" t="s">
        <v>311</v>
      </c>
      <c r="I32" s="237">
        <v>200000</v>
      </c>
      <c r="J32" s="237">
        <v>200000</v>
      </c>
      <c r="K32" s="224">
        <v>41669</v>
      </c>
      <c r="L32" s="360">
        <v>0</v>
      </c>
      <c r="M32" s="237">
        <v>191967</v>
      </c>
      <c r="N32" s="813">
        <f t="shared" si="11"/>
        <v>191967</v>
      </c>
      <c r="O32" s="955">
        <f t="shared" si="1"/>
        <v>95.983499999999992</v>
      </c>
      <c r="P32" s="956">
        <f t="shared" si="2"/>
        <v>460.69500107993957</v>
      </c>
      <c r="Q32" s="401"/>
      <c r="R32" s="60"/>
    </row>
    <row r="33" spans="1:18" s="161" customFormat="1" ht="12.95" customHeight="1">
      <c r="B33" s="162"/>
      <c r="C33" s="163"/>
      <c r="D33" s="163"/>
      <c r="E33" s="163"/>
      <c r="F33" s="177"/>
      <c r="G33" s="196"/>
      <c r="H33" s="24"/>
      <c r="I33" s="236"/>
      <c r="J33" s="236"/>
      <c r="K33" s="226"/>
      <c r="L33" s="482"/>
      <c r="M33" s="236"/>
      <c r="N33" s="774"/>
      <c r="O33" s="955" t="str">
        <f t="shared" si="1"/>
        <v/>
      </c>
      <c r="P33" s="956" t="str">
        <f t="shared" si="2"/>
        <v/>
      </c>
      <c r="R33" s="404"/>
    </row>
    <row r="34" spans="1:18" s="158" customFormat="1" ht="12.95" customHeight="1">
      <c r="B34" s="164"/>
      <c r="C34" s="8"/>
      <c r="D34" s="8"/>
      <c r="E34" s="8"/>
      <c r="F34" s="176">
        <v>615000</v>
      </c>
      <c r="G34" s="195"/>
      <c r="H34" s="25" t="s">
        <v>87</v>
      </c>
      <c r="I34" s="236">
        <f t="shared" ref="I34:J34" si="12">SUM(I35:I36)</f>
        <v>550000</v>
      </c>
      <c r="J34" s="236">
        <f t="shared" si="12"/>
        <v>550000</v>
      </c>
      <c r="K34" s="226">
        <f t="shared" ref="K34" si="13">SUM(K35:K36)</f>
        <v>250000</v>
      </c>
      <c r="L34" s="482">
        <f t="shared" ref="L34:M34" si="14">SUM(L35:L36)</f>
        <v>0</v>
      </c>
      <c r="M34" s="236">
        <f t="shared" si="14"/>
        <v>550000</v>
      </c>
      <c r="N34" s="774">
        <f t="shared" ref="N34" si="15">SUM(N35:N36)</f>
        <v>550000</v>
      </c>
      <c r="O34" s="953">
        <f t="shared" si="1"/>
        <v>100</v>
      </c>
      <c r="P34" s="954">
        <f t="shared" si="2"/>
        <v>220.00000000000003</v>
      </c>
    </row>
    <row r="35" spans="1:18" s="158" customFormat="1" ht="12.95" customHeight="1">
      <c r="B35" s="164"/>
      <c r="C35" s="8"/>
      <c r="D35" s="25"/>
      <c r="E35" s="25"/>
      <c r="F35" s="180">
        <v>615100</v>
      </c>
      <c r="G35" s="199" t="s">
        <v>716</v>
      </c>
      <c r="H35" s="432" t="s">
        <v>663</v>
      </c>
      <c r="I35" s="237">
        <v>400000</v>
      </c>
      <c r="J35" s="237">
        <v>400000</v>
      </c>
      <c r="K35" s="224">
        <v>150000</v>
      </c>
      <c r="L35" s="360">
        <v>0</v>
      </c>
      <c r="M35" s="237">
        <f>250000+150000</f>
        <v>400000</v>
      </c>
      <c r="N35" s="813">
        <f t="shared" ref="N35" si="16">SUM(L35:M35)</f>
        <v>400000</v>
      </c>
      <c r="O35" s="955">
        <f t="shared" si="1"/>
        <v>100</v>
      </c>
      <c r="P35" s="956">
        <f t="shared" si="2"/>
        <v>266.66666666666663</v>
      </c>
      <c r="Q35" s="61"/>
    </row>
    <row r="36" spans="1:18" s="158" customFormat="1" ht="12.95" customHeight="1">
      <c r="B36" s="164"/>
      <c r="C36" s="8"/>
      <c r="D36" s="25"/>
      <c r="E36" s="25"/>
      <c r="F36" s="180">
        <v>615100</v>
      </c>
      <c r="G36" s="199" t="s">
        <v>717</v>
      </c>
      <c r="H36" s="432" t="s">
        <v>660</v>
      </c>
      <c r="I36" s="237">
        <v>150000</v>
      </c>
      <c r="J36" s="237">
        <v>150000</v>
      </c>
      <c r="K36" s="224">
        <v>100000</v>
      </c>
      <c r="L36" s="360">
        <v>0</v>
      </c>
      <c r="M36" s="237">
        <v>150000</v>
      </c>
      <c r="N36" s="813">
        <f t="shared" ref="N36" si="17">SUM(L36:M36)</f>
        <v>150000</v>
      </c>
      <c r="O36" s="955">
        <f t="shared" si="1"/>
        <v>100</v>
      </c>
      <c r="P36" s="956">
        <f t="shared" si="2"/>
        <v>150</v>
      </c>
    </row>
    <row r="37" spans="1:18" ht="12.95" customHeight="1">
      <c r="B37" s="10"/>
      <c r="C37" s="11"/>
      <c r="D37" s="11"/>
      <c r="E37" s="163"/>
      <c r="F37" s="177"/>
      <c r="G37" s="196"/>
      <c r="H37" s="428"/>
      <c r="I37" s="235"/>
      <c r="J37" s="235"/>
      <c r="K37" s="225"/>
      <c r="L37" s="357"/>
      <c r="M37" s="235"/>
      <c r="N37" s="776"/>
      <c r="O37" s="955" t="str">
        <f t="shared" si="1"/>
        <v/>
      </c>
      <c r="P37" s="956" t="str">
        <f t="shared" si="2"/>
        <v/>
      </c>
    </row>
    <row r="38" spans="1:18" s="1" customFormat="1" ht="12.95" customHeight="1">
      <c r="A38" s="158"/>
      <c r="B38" s="12"/>
      <c r="C38" s="8"/>
      <c r="D38" s="8"/>
      <c r="E38" s="8"/>
      <c r="F38" s="176">
        <v>821000</v>
      </c>
      <c r="G38" s="195"/>
      <c r="H38" s="25" t="s">
        <v>88</v>
      </c>
      <c r="I38" s="236">
        <f t="shared" ref="I38:N38" si="18">SUM(I39:I41)</f>
        <v>38000</v>
      </c>
      <c r="J38" s="236">
        <f t="shared" si="18"/>
        <v>38000</v>
      </c>
      <c r="K38" s="226">
        <f t="shared" si="18"/>
        <v>8179</v>
      </c>
      <c r="L38" s="482">
        <f t="shared" si="18"/>
        <v>14751</v>
      </c>
      <c r="M38" s="236">
        <f t="shared" si="18"/>
        <v>0</v>
      </c>
      <c r="N38" s="774">
        <f t="shared" si="18"/>
        <v>14751</v>
      </c>
      <c r="O38" s="953">
        <f t="shared" si="1"/>
        <v>38.818421052631578</v>
      </c>
      <c r="P38" s="954">
        <f t="shared" si="2"/>
        <v>180.35212128622081</v>
      </c>
    </row>
    <row r="39" spans="1:18" ht="12.95" customHeight="1">
      <c r="B39" s="10"/>
      <c r="C39" s="11"/>
      <c r="D39" s="11"/>
      <c r="E39" s="163"/>
      <c r="F39" s="177">
        <v>821200</v>
      </c>
      <c r="G39" s="196"/>
      <c r="H39" s="24" t="s">
        <v>89</v>
      </c>
      <c r="I39" s="235">
        <v>0</v>
      </c>
      <c r="J39" s="235">
        <v>0</v>
      </c>
      <c r="K39" s="225">
        <v>0</v>
      </c>
      <c r="L39" s="357">
        <v>0</v>
      </c>
      <c r="M39" s="235">
        <v>0</v>
      </c>
      <c r="N39" s="813">
        <f t="shared" ref="N39:N40" si="19">SUM(L39:M39)</f>
        <v>0</v>
      </c>
      <c r="O39" s="955" t="str">
        <f t="shared" si="1"/>
        <v/>
      </c>
      <c r="P39" s="956" t="str">
        <f t="shared" si="2"/>
        <v/>
      </c>
    </row>
    <row r="40" spans="1:18" ht="12.95" customHeight="1">
      <c r="B40" s="10"/>
      <c r="C40" s="11"/>
      <c r="D40" s="11"/>
      <c r="E40" s="163"/>
      <c r="F40" s="177">
        <v>821300</v>
      </c>
      <c r="G40" s="196"/>
      <c r="H40" s="24" t="s">
        <v>90</v>
      </c>
      <c r="I40" s="235">
        <v>38000</v>
      </c>
      <c r="J40" s="235">
        <v>38000</v>
      </c>
      <c r="K40" s="225">
        <v>8179</v>
      </c>
      <c r="L40" s="357">
        <v>14751</v>
      </c>
      <c r="M40" s="235">
        <v>0</v>
      </c>
      <c r="N40" s="813">
        <f t="shared" si="19"/>
        <v>14751</v>
      </c>
      <c r="O40" s="955">
        <f t="shared" si="1"/>
        <v>38.818421052631578</v>
      </c>
      <c r="P40" s="956">
        <f t="shared" si="2"/>
        <v>180.35212128622081</v>
      </c>
      <c r="Q40" s="401"/>
    </row>
    <row r="41" spans="1:18" ht="12.95" customHeight="1">
      <c r="B41" s="10"/>
      <c r="C41" s="11"/>
      <c r="D41" s="11"/>
      <c r="E41" s="163"/>
      <c r="F41" s="177"/>
      <c r="G41" s="196"/>
      <c r="H41" s="428"/>
      <c r="I41" s="235"/>
      <c r="J41" s="235"/>
      <c r="K41" s="225"/>
      <c r="L41" s="357"/>
      <c r="M41" s="235"/>
      <c r="N41" s="776"/>
      <c r="O41" s="955" t="str">
        <f t="shared" si="1"/>
        <v/>
      </c>
      <c r="P41" s="956" t="str">
        <f t="shared" si="2"/>
        <v/>
      </c>
    </row>
    <row r="42" spans="1:18" s="1" customFormat="1" ht="12.95" customHeight="1">
      <c r="A42" s="158"/>
      <c r="B42" s="12"/>
      <c r="C42" s="8"/>
      <c r="D42" s="8"/>
      <c r="E42" s="8"/>
      <c r="F42" s="176"/>
      <c r="G42" s="195"/>
      <c r="H42" s="25" t="s">
        <v>91</v>
      </c>
      <c r="I42" s="394" t="s">
        <v>849</v>
      </c>
      <c r="J42" s="394" t="s">
        <v>849</v>
      </c>
      <c r="K42" s="727" t="s">
        <v>835</v>
      </c>
      <c r="L42" s="485" t="s">
        <v>948</v>
      </c>
      <c r="M42" s="394"/>
      <c r="N42" s="767" t="s">
        <v>948</v>
      </c>
      <c r="O42" s="955"/>
      <c r="P42" s="956"/>
    </row>
    <row r="43" spans="1:18" s="1" customFormat="1" ht="12.95" customHeight="1">
      <c r="A43" s="158"/>
      <c r="B43" s="12"/>
      <c r="C43" s="8"/>
      <c r="D43" s="8"/>
      <c r="E43" s="8"/>
      <c r="F43" s="176"/>
      <c r="G43" s="195"/>
      <c r="H43" s="8" t="s">
        <v>105</v>
      </c>
      <c r="I43" s="367">
        <f t="shared" ref="I43:N43" si="20">I8+I13+I16+I28+I34+I38</f>
        <v>4554780</v>
      </c>
      <c r="J43" s="165">
        <f t="shared" si="20"/>
        <v>4554780</v>
      </c>
      <c r="K43" s="153">
        <f t="shared" ref="K43" si="21">K8+K13+K16+K28+K34+K38</f>
        <v>2459480</v>
      </c>
      <c r="L43" s="370">
        <f t="shared" si="20"/>
        <v>3183287</v>
      </c>
      <c r="M43" s="165">
        <f t="shared" si="20"/>
        <v>1031311</v>
      </c>
      <c r="N43" s="774">
        <f t="shared" si="20"/>
        <v>4214598</v>
      </c>
      <c r="O43" s="953">
        <f t="shared" ref="O43:O45" si="22">IF(J43=0,"",N43/J43*100)</f>
        <v>92.53131874645976</v>
      </c>
      <c r="P43" s="954">
        <f t="shared" si="2"/>
        <v>171.36134467448403</v>
      </c>
    </row>
    <row r="44" spans="1:18" s="1" customFormat="1" ht="12.95" customHeight="1">
      <c r="A44" s="158"/>
      <c r="B44" s="12"/>
      <c r="C44" s="8"/>
      <c r="D44" s="8"/>
      <c r="E44" s="8"/>
      <c r="F44" s="176"/>
      <c r="G44" s="195"/>
      <c r="H44" s="8" t="s">
        <v>92</v>
      </c>
      <c r="I44" s="15">
        <f t="shared" ref="I44:K45" si="23">I43</f>
        <v>4554780</v>
      </c>
      <c r="J44" s="15">
        <f t="shared" si="23"/>
        <v>4554780</v>
      </c>
      <c r="K44" s="153">
        <f t="shared" si="23"/>
        <v>2459480</v>
      </c>
      <c r="L44" s="370">
        <f t="shared" ref="L44:N45" si="24">L43</f>
        <v>3183287</v>
      </c>
      <c r="M44" s="165">
        <f t="shared" si="24"/>
        <v>1031311</v>
      </c>
      <c r="N44" s="774">
        <f t="shared" si="24"/>
        <v>4214598</v>
      </c>
      <c r="O44" s="953">
        <f t="shared" si="22"/>
        <v>92.53131874645976</v>
      </c>
      <c r="P44" s="954">
        <f t="shared" si="2"/>
        <v>171.36134467448403</v>
      </c>
    </row>
    <row r="45" spans="1:18" s="1" customFormat="1" ht="12.95" customHeight="1">
      <c r="A45" s="158"/>
      <c r="B45" s="12"/>
      <c r="C45" s="8"/>
      <c r="D45" s="8"/>
      <c r="E45" s="8"/>
      <c r="F45" s="176"/>
      <c r="G45" s="195"/>
      <c r="H45" s="8" t="s">
        <v>93</v>
      </c>
      <c r="I45" s="15">
        <f t="shared" si="23"/>
        <v>4554780</v>
      </c>
      <c r="J45" s="15">
        <f t="shared" si="23"/>
        <v>4554780</v>
      </c>
      <c r="K45" s="153">
        <f t="shared" si="23"/>
        <v>2459480</v>
      </c>
      <c r="L45" s="370">
        <f t="shared" si="24"/>
        <v>3183287</v>
      </c>
      <c r="M45" s="165">
        <f t="shared" si="24"/>
        <v>1031311</v>
      </c>
      <c r="N45" s="774">
        <f t="shared" si="24"/>
        <v>4214598</v>
      </c>
      <c r="O45" s="953">
        <f t="shared" si="22"/>
        <v>92.53131874645976</v>
      </c>
      <c r="P45" s="954">
        <f t="shared" si="2"/>
        <v>171.36134467448403</v>
      </c>
    </row>
    <row r="46" spans="1:18" ht="12.95" customHeight="1" thickBot="1">
      <c r="B46" s="16"/>
      <c r="C46" s="17"/>
      <c r="D46" s="17"/>
      <c r="E46" s="17"/>
      <c r="F46" s="178"/>
      <c r="G46" s="197"/>
      <c r="H46" s="17"/>
      <c r="I46" s="31"/>
      <c r="J46" s="31"/>
      <c r="K46" s="725"/>
      <c r="L46" s="371"/>
      <c r="M46" s="31"/>
      <c r="N46" s="814"/>
      <c r="O46" s="957"/>
      <c r="P46" s="958" t="str">
        <f t="shared" si="2"/>
        <v/>
      </c>
    </row>
    <row r="47" spans="1:18" ht="12.95" customHeight="1">
      <c r="F47" s="179"/>
      <c r="G47" s="198"/>
      <c r="L47" s="399"/>
      <c r="N47" s="253"/>
      <c r="P47" s="214" t="str">
        <f t="shared" si="2"/>
        <v/>
      </c>
    </row>
    <row r="48" spans="1:18" ht="12.95" customHeight="1">
      <c r="B48" s="45"/>
      <c r="F48" s="179"/>
      <c r="G48" s="198"/>
      <c r="N48" s="253"/>
      <c r="P48" s="214" t="str">
        <f t="shared" si="2"/>
        <v/>
      </c>
    </row>
    <row r="49" spans="2:16" ht="12.95" customHeight="1">
      <c r="B49" s="45"/>
      <c r="F49" s="179"/>
      <c r="G49" s="198"/>
      <c r="N49" s="253"/>
      <c r="P49" s="214" t="str">
        <f t="shared" si="2"/>
        <v/>
      </c>
    </row>
    <row r="50" spans="2:16" ht="12.95" customHeight="1">
      <c r="B50" s="45"/>
      <c r="F50" s="179"/>
      <c r="G50" s="198"/>
      <c r="N50" s="253"/>
      <c r="P50" s="214" t="str">
        <f t="shared" si="2"/>
        <v/>
      </c>
    </row>
    <row r="51" spans="2:16" ht="12.95" customHeight="1">
      <c r="F51" s="179"/>
      <c r="G51" s="198"/>
      <c r="N51" s="253"/>
      <c r="P51" s="214" t="str">
        <f t="shared" si="2"/>
        <v/>
      </c>
    </row>
    <row r="52" spans="2:16" ht="12.95" customHeight="1">
      <c r="F52" s="179"/>
      <c r="G52" s="198"/>
      <c r="N52" s="253"/>
      <c r="P52" s="214" t="str">
        <f t="shared" si="2"/>
        <v/>
      </c>
    </row>
    <row r="53" spans="2:16" ht="12.95" customHeight="1">
      <c r="F53" s="179"/>
      <c r="G53" s="198"/>
      <c r="N53" s="253"/>
      <c r="P53" s="214" t="str">
        <f t="shared" si="2"/>
        <v/>
      </c>
    </row>
    <row r="54" spans="2:16" ht="12.95" customHeight="1">
      <c r="F54" s="179"/>
      <c r="G54" s="198"/>
      <c r="N54" s="253"/>
    </row>
    <row r="55" spans="2:16" ht="12.95" customHeight="1">
      <c r="F55" s="179"/>
      <c r="G55" s="198"/>
      <c r="N55" s="253"/>
    </row>
    <row r="56" spans="2:16" ht="12.95" customHeight="1">
      <c r="F56" s="179"/>
      <c r="G56" s="198"/>
      <c r="N56" s="253"/>
    </row>
    <row r="57" spans="2:16" ht="12.95" customHeight="1">
      <c r="F57" s="179"/>
      <c r="G57" s="198"/>
      <c r="N57" s="253"/>
    </row>
    <row r="58" spans="2:16" ht="12.95" customHeight="1">
      <c r="F58" s="179"/>
      <c r="G58" s="198"/>
      <c r="N58" s="253"/>
    </row>
    <row r="59" spans="2:16" ht="12.95" customHeight="1">
      <c r="F59" s="179"/>
      <c r="G59" s="198"/>
      <c r="N59" s="253"/>
    </row>
    <row r="60" spans="2:16" ht="12.95" customHeight="1">
      <c r="F60" s="179"/>
      <c r="G60" s="198"/>
      <c r="N60" s="253"/>
    </row>
    <row r="61" spans="2:16" ht="12.95" customHeight="1">
      <c r="F61" s="179"/>
      <c r="G61" s="198"/>
      <c r="N61" s="253"/>
    </row>
    <row r="62" spans="2:16" ht="12.95" customHeight="1">
      <c r="F62" s="179"/>
      <c r="G62" s="198"/>
      <c r="N62" s="253"/>
    </row>
    <row r="63" spans="2:16" ht="12.95" customHeight="1">
      <c r="F63" s="179"/>
      <c r="G63" s="198"/>
      <c r="N63" s="253"/>
    </row>
    <row r="64" spans="2:16" ht="17.100000000000001" customHeight="1">
      <c r="F64" s="179"/>
      <c r="G64" s="198"/>
      <c r="N64" s="253"/>
    </row>
    <row r="65" spans="6:14" ht="14.25">
      <c r="F65" s="179"/>
      <c r="G65" s="198"/>
      <c r="N65" s="253"/>
    </row>
    <row r="66" spans="6:14" ht="14.25">
      <c r="F66" s="179"/>
      <c r="G66" s="198"/>
      <c r="N66" s="253"/>
    </row>
    <row r="67" spans="6:14" ht="14.25">
      <c r="F67" s="179"/>
      <c r="G67" s="198"/>
      <c r="N67" s="253"/>
    </row>
    <row r="68" spans="6:14" ht="14.25">
      <c r="F68" s="179"/>
      <c r="G68" s="198"/>
      <c r="N68" s="253"/>
    </row>
    <row r="69" spans="6:14" ht="14.25">
      <c r="F69" s="179"/>
      <c r="G69" s="198"/>
      <c r="N69" s="253"/>
    </row>
    <row r="70" spans="6:14" ht="14.25">
      <c r="F70" s="179"/>
      <c r="G70" s="198"/>
      <c r="N70" s="253"/>
    </row>
    <row r="71" spans="6:14" ht="14.25">
      <c r="F71" s="179"/>
      <c r="G71" s="198"/>
      <c r="N71" s="253"/>
    </row>
    <row r="72" spans="6:14" ht="14.25">
      <c r="F72" s="179"/>
      <c r="G72" s="198"/>
      <c r="N72" s="253"/>
    </row>
    <row r="73" spans="6:14" ht="14.25">
      <c r="F73" s="179"/>
      <c r="G73" s="198"/>
      <c r="N73" s="253"/>
    </row>
    <row r="74" spans="6:14" ht="14.25">
      <c r="F74" s="179"/>
      <c r="G74" s="198"/>
      <c r="N74" s="253"/>
    </row>
    <row r="75" spans="6:14" ht="14.25">
      <c r="F75" s="179"/>
      <c r="G75" s="198"/>
      <c r="N75" s="253"/>
    </row>
    <row r="76" spans="6:14" ht="14.25">
      <c r="F76" s="179"/>
      <c r="G76" s="198"/>
      <c r="N76" s="253"/>
    </row>
    <row r="77" spans="6:14" ht="14.25">
      <c r="F77" s="179"/>
      <c r="G77" s="198"/>
      <c r="N77" s="253"/>
    </row>
    <row r="78" spans="6:14" ht="14.25">
      <c r="F78" s="179"/>
      <c r="G78" s="179"/>
      <c r="N78" s="253"/>
    </row>
    <row r="79" spans="6:14" ht="14.25">
      <c r="F79" s="179"/>
      <c r="G79" s="179"/>
      <c r="N79" s="253"/>
    </row>
    <row r="80" spans="6:14" ht="14.25">
      <c r="F80" s="179"/>
      <c r="G80" s="179"/>
      <c r="N80" s="253"/>
    </row>
    <row r="81" spans="6:14" ht="14.25">
      <c r="F81" s="179"/>
      <c r="G81" s="179"/>
      <c r="N81" s="253"/>
    </row>
    <row r="82" spans="6:14" ht="14.25">
      <c r="F82" s="179"/>
      <c r="G82" s="179"/>
      <c r="N82" s="253"/>
    </row>
    <row r="83" spans="6:14" ht="14.25">
      <c r="F83" s="179"/>
      <c r="G83" s="179"/>
      <c r="N83" s="253"/>
    </row>
    <row r="84" spans="6:14" ht="14.25">
      <c r="F84" s="179"/>
      <c r="G84" s="179"/>
      <c r="N84" s="253"/>
    </row>
    <row r="85" spans="6:14" ht="14.25">
      <c r="F85" s="179"/>
      <c r="G85" s="179"/>
      <c r="N85" s="253"/>
    </row>
    <row r="86" spans="6:14" ht="14.25">
      <c r="F86" s="179"/>
      <c r="G86" s="179"/>
      <c r="N86" s="253"/>
    </row>
    <row r="87" spans="6:14" ht="14.25">
      <c r="F87" s="179"/>
      <c r="G87" s="179"/>
      <c r="N87" s="253"/>
    </row>
    <row r="88" spans="6:14" ht="14.25">
      <c r="F88" s="179"/>
      <c r="G88" s="179"/>
      <c r="N88" s="253"/>
    </row>
    <row r="89" spans="6:14" ht="14.25">
      <c r="F89" s="179"/>
      <c r="G89" s="179"/>
      <c r="N89" s="253"/>
    </row>
    <row r="90" spans="6:14" ht="14.25">
      <c r="F90" s="179"/>
      <c r="G90" s="179"/>
      <c r="N90" s="253"/>
    </row>
    <row r="91" spans="6:14" ht="14.25">
      <c r="F91" s="179"/>
      <c r="G91" s="179"/>
      <c r="N91" s="253"/>
    </row>
    <row r="92" spans="6:14" ht="14.25">
      <c r="F92" s="179"/>
      <c r="G92" s="179"/>
      <c r="N92" s="253"/>
    </row>
    <row r="93" spans="6:14" ht="14.25">
      <c r="F93" s="179"/>
      <c r="G93" s="179"/>
      <c r="N93" s="253"/>
    </row>
    <row r="94" spans="6:14" ht="14.25">
      <c r="F94" s="179"/>
      <c r="G94" s="179"/>
      <c r="N94" s="253"/>
    </row>
    <row r="95" spans="6:14">
      <c r="G95" s="179"/>
    </row>
    <row r="96" spans="6:14">
      <c r="G96" s="179"/>
    </row>
    <row r="97" spans="7:7">
      <c r="G97" s="179"/>
    </row>
    <row r="98" spans="7:7">
      <c r="G98" s="179"/>
    </row>
    <row r="99" spans="7:7">
      <c r="G99" s="179"/>
    </row>
    <row r="100" spans="7:7">
      <c r="G100" s="179"/>
    </row>
  </sheetData>
  <mergeCells count="15">
    <mergeCell ref="P4:P5"/>
    <mergeCell ref="B2:P2"/>
    <mergeCell ref="K4:K5"/>
    <mergeCell ref="O4:O5"/>
    <mergeCell ref="H4:H5"/>
    <mergeCell ref="H3:I3"/>
    <mergeCell ref="L4:N4"/>
    <mergeCell ref="B4:B5"/>
    <mergeCell ref="C4:C5"/>
    <mergeCell ref="D4:D5"/>
    <mergeCell ref="G4:G5"/>
    <mergeCell ref="F4:F5"/>
    <mergeCell ref="I4:I5"/>
    <mergeCell ref="J4:J5"/>
    <mergeCell ref="E4:E5"/>
  </mergeCells>
  <phoneticPr fontId="2" type="noConversion"/>
  <pageMargins left="0.78740157480314965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23"/>
  <dimension ref="A1:R87"/>
  <sheetViews>
    <sheetView topLeftCell="A4" zoomScaleNormal="100" zoomScaleSheetLayoutView="100" workbookViewId="0">
      <selection activeCell="N46" sqref="N46"/>
    </sheetView>
  </sheetViews>
  <sheetFormatPr defaultColWidth="9.140625" defaultRowHeight="12.75"/>
  <cols>
    <col min="1" max="1" width="4.42578125" style="161" customWidth="1"/>
    <col min="2" max="2" width="4.7109375" style="9" customWidth="1"/>
    <col min="3" max="3" width="5.140625" style="9" customWidth="1"/>
    <col min="4" max="4" width="5" style="9" customWidth="1"/>
    <col min="5" max="5" width="5" style="161" customWidth="1"/>
    <col min="6" max="6" width="8.7109375" style="18" customWidth="1"/>
    <col min="7" max="7" width="8.7109375" style="166" customWidth="1"/>
    <col min="8" max="8" width="50.7109375" style="9" customWidth="1"/>
    <col min="9" max="10" width="14.7109375" style="9" customWidth="1"/>
    <col min="11" max="11" width="12.5703125" style="161" customWidth="1"/>
    <col min="12" max="13" width="14.7109375" style="161" customWidth="1"/>
    <col min="14" max="14" width="15.7109375" style="9" customWidth="1"/>
    <col min="15" max="16" width="7.7109375" style="214" customWidth="1"/>
    <col min="17" max="16384" width="9.140625" style="9"/>
  </cols>
  <sheetData>
    <row r="1" spans="1:18" ht="13.5" thickBot="1"/>
    <row r="2" spans="1:18" s="79" customFormat="1" ht="20.100000000000001" customHeight="1" thickTop="1" thickBot="1">
      <c r="A2" s="244"/>
      <c r="B2" s="1034" t="s">
        <v>636</v>
      </c>
      <c r="C2" s="1035"/>
      <c r="D2" s="1035"/>
      <c r="E2" s="1035"/>
      <c r="F2" s="1035"/>
      <c r="G2" s="1035"/>
      <c r="H2" s="1035"/>
      <c r="I2" s="1035"/>
      <c r="J2" s="1057"/>
      <c r="K2" s="1057"/>
      <c r="L2" s="1057"/>
      <c r="M2" s="1057"/>
      <c r="N2" s="1057"/>
      <c r="O2" s="1057"/>
      <c r="P2" s="1036"/>
      <c r="R2" s="244"/>
    </row>
    <row r="3" spans="1:18" s="1" customFormat="1" ht="8.1" customHeight="1" thickTop="1" thickBot="1">
      <c r="A3" s="158"/>
      <c r="E3" s="158"/>
      <c r="F3" s="2"/>
      <c r="G3" s="159"/>
      <c r="H3" s="1039"/>
      <c r="I3" s="1039"/>
      <c r="J3" s="139"/>
      <c r="K3" s="721"/>
      <c r="L3" s="74"/>
      <c r="M3" s="74"/>
      <c r="N3" s="74"/>
      <c r="O3" s="208"/>
      <c r="P3" s="208"/>
    </row>
    <row r="4" spans="1:18" s="1" customFormat="1" ht="39" customHeight="1">
      <c r="A4" s="158"/>
      <c r="B4" s="1043" t="s">
        <v>76</v>
      </c>
      <c r="C4" s="1045" t="s">
        <v>77</v>
      </c>
      <c r="D4" s="1047" t="s">
        <v>102</v>
      </c>
      <c r="E4" s="1062" t="s">
        <v>692</v>
      </c>
      <c r="F4" s="1058" t="s">
        <v>466</v>
      </c>
      <c r="G4" s="1048" t="s">
        <v>493</v>
      </c>
      <c r="H4" s="1050" t="s">
        <v>78</v>
      </c>
      <c r="I4" s="1059" t="s">
        <v>901</v>
      </c>
      <c r="J4" s="1068" t="s">
        <v>813</v>
      </c>
      <c r="K4" s="1037" t="s">
        <v>906</v>
      </c>
      <c r="L4" s="1040" t="s">
        <v>905</v>
      </c>
      <c r="M4" s="1041"/>
      <c r="N4" s="1042"/>
      <c r="O4" s="1054" t="s">
        <v>945</v>
      </c>
      <c r="P4" s="1032" t="s">
        <v>946</v>
      </c>
      <c r="R4" s="61"/>
    </row>
    <row r="5" spans="1:18" s="158" customFormat="1" ht="27" customHeight="1">
      <c r="B5" s="1044"/>
      <c r="C5" s="1046"/>
      <c r="D5" s="1046"/>
      <c r="E5" s="1049"/>
      <c r="F5" s="1051"/>
      <c r="G5" s="1049"/>
      <c r="H5" s="1051"/>
      <c r="I5" s="1051"/>
      <c r="J5" s="1051"/>
      <c r="K5" s="1038"/>
      <c r="L5" s="373" t="s">
        <v>526</v>
      </c>
      <c r="M5" s="242" t="s">
        <v>527</v>
      </c>
      <c r="N5" s="764" t="s">
        <v>319</v>
      </c>
      <c r="O5" s="1055"/>
      <c r="P5" s="1033"/>
    </row>
    <row r="6" spans="1:18" s="344" customFormat="1" ht="11.1" customHeight="1">
      <c r="B6" s="328">
        <v>1</v>
      </c>
      <c r="C6" s="195">
        <v>2</v>
      </c>
      <c r="D6" s="195">
        <v>3</v>
      </c>
      <c r="E6" s="195">
        <v>4</v>
      </c>
      <c r="F6" s="195">
        <v>5</v>
      </c>
      <c r="G6" s="195">
        <v>6</v>
      </c>
      <c r="H6" s="195">
        <v>7</v>
      </c>
      <c r="I6" s="195">
        <v>8</v>
      </c>
      <c r="J6" s="195">
        <v>9</v>
      </c>
      <c r="K6" s="188">
        <v>10</v>
      </c>
      <c r="L6" s="328">
        <v>11</v>
      </c>
      <c r="M6" s="195">
        <v>12</v>
      </c>
      <c r="N6" s="810" t="s">
        <v>694</v>
      </c>
      <c r="O6" s="929" t="s">
        <v>814</v>
      </c>
      <c r="P6" s="930" t="s">
        <v>944</v>
      </c>
    </row>
    <row r="7" spans="1:18" s="2" customFormat="1" ht="12.95" customHeight="1">
      <c r="A7" s="159"/>
      <c r="B7" s="6" t="s">
        <v>126</v>
      </c>
      <c r="C7" s="7" t="s">
        <v>79</v>
      </c>
      <c r="D7" s="7" t="s">
        <v>80</v>
      </c>
      <c r="E7" s="415" t="s">
        <v>703</v>
      </c>
      <c r="F7" s="5"/>
      <c r="G7" s="160"/>
      <c r="H7" s="5"/>
      <c r="I7" s="366"/>
      <c r="J7" s="160"/>
      <c r="K7" s="173"/>
      <c r="L7" s="4"/>
      <c r="M7" s="160"/>
      <c r="N7" s="811"/>
      <c r="O7" s="951"/>
      <c r="P7" s="952"/>
    </row>
    <row r="8" spans="1:18" s="1" customFormat="1" ht="12.95" customHeight="1">
      <c r="A8" s="158"/>
      <c r="B8" s="12"/>
      <c r="C8" s="8"/>
      <c r="D8" s="8"/>
      <c r="E8" s="8"/>
      <c r="F8" s="176">
        <v>611000</v>
      </c>
      <c r="G8" s="195"/>
      <c r="H8" s="25" t="s">
        <v>140</v>
      </c>
      <c r="I8" s="374">
        <f t="shared" ref="I8:N8" si="0">SUM(I9:I12)</f>
        <v>455830</v>
      </c>
      <c r="J8" s="374">
        <f t="shared" si="0"/>
        <v>455830</v>
      </c>
      <c r="K8" s="730">
        <f t="shared" si="0"/>
        <v>356064</v>
      </c>
      <c r="L8" s="488">
        <f t="shared" si="0"/>
        <v>452191</v>
      </c>
      <c r="M8" s="374">
        <f t="shared" si="0"/>
        <v>0</v>
      </c>
      <c r="N8" s="812">
        <f t="shared" si="0"/>
        <v>452191</v>
      </c>
      <c r="O8" s="953">
        <f t="shared" ref="O8:O39" si="1">IF(J8=0,"",N8/J8*100)</f>
        <v>99.201676063444708</v>
      </c>
      <c r="P8" s="954">
        <f>IF(K8=0,"",N8/K8*100)</f>
        <v>126.99711287858362</v>
      </c>
    </row>
    <row r="9" spans="1:18" ht="12.95" customHeight="1">
      <c r="B9" s="10"/>
      <c r="C9" s="11"/>
      <c r="D9" s="11"/>
      <c r="E9" s="163"/>
      <c r="F9" s="177">
        <v>611100</v>
      </c>
      <c r="G9" s="196"/>
      <c r="H9" s="428" t="s">
        <v>161</v>
      </c>
      <c r="I9" s="229">
        <f>376530+500</f>
        <v>377030</v>
      </c>
      <c r="J9" s="229">
        <f>376530+500</f>
        <v>377030</v>
      </c>
      <c r="K9" s="731">
        <v>302945</v>
      </c>
      <c r="L9" s="362">
        <v>374709</v>
      </c>
      <c r="M9" s="229">
        <v>0</v>
      </c>
      <c r="N9" s="813">
        <f>SUM(L9:M9)</f>
        <v>374709</v>
      </c>
      <c r="O9" s="955">
        <f t="shared" si="1"/>
        <v>99.384399119433468</v>
      </c>
      <c r="P9" s="956">
        <f t="shared" ref="P9:P53" si="2">IF(K9=0,"",N9/K9*100)</f>
        <v>123.6887883939329</v>
      </c>
    </row>
    <row r="10" spans="1:18" ht="12.95" customHeight="1">
      <c r="B10" s="10"/>
      <c r="C10" s="11"/>
      <c r="D10" s="11"/>
      <c r="E10" s="163"/>
      <c r="F10" s="177">
        <v>611200</v>
      </c>
      <c r="G10" s="196"/>
      <c r="H10" s="24" t="s">
        <v>162</v>
      </c>
      <c r="I10" s="229">
        <f>68700+300+14*700</f>
        <v>78800</v>
      </c>
      <c r="J10" s="229">
        <f>68700+300+14*700</f>
        <v>78800</v>
      </c>
      <c r="K10" s="731">
        <v>53119</v>
      </c>
      <c r="L10" s="362">
        <v>77482</v>
      </c>
      <c r="M10" s="229">
        <v>0</v>
      </c>
      <c r="N10" s="813">
        <f t="shared" ref="N10:N11" si="3">SUM(L10:M10)</f>
        <v>77482</v>
      </c>
      <c r="O10" s="955">
        <f t="shared" si="1"/>
        <v>98.327411167512693</v>
      </c>
      <c r="P10" s="956">
        <f t="shared" si="2"/>
        <v>145.86494474670079</v>
      </c>
      <c r="R10" s="51"/>
    </row>
    <row r="11" spans="1:18" ht="12.95" customHeight="1">
      <c r="B11" s="10"/>
      <c r="C11" s="11"/>
      <c r="D11" s="11"/>
      <c r="E11" s="163"/>
      <c r="F11" s="177">
        <v>611200</v>
      </c>
      <c r="G11" s="196"/>
      <c r="H11" s="435" t="s">
        <v>434</v>
      </c>
      <c r="I11" s="375">
        <v>0</v>
      </c>
      <c r="J11" s="375">
        <v>0</v>
      </c>
      <c r="K11" s="732">
        <v>0</v>
      </c>
      <c r="L11" s="489">
        <v>0</v>
      </c>
      <c r="M11" s="375">
        <v>0</v>
      </c>
      <c r="N11" s="813">
        <f t="shared" si="3"/>
        <v>0</v>
      </c>
      <c r="O11" s="955" t="str">
        <f t="shared" si="1"/>
        <v/>
      </c>
      <c r="P11" s="956" t="str">
        <f t="shared" si="2"/>
        <v/>
      </c>
      <c r="R11" s="50"/>
    </row>
    <row r="12" spans="1:18" ht="8.1" customHeight="1">
      <c r="B12" s="10"/>
      <c r="C12" s="11"/>
      <c r="D12" s="11"/>
      <c r="E12" s="163"/>
      <c r="F12" s="177"/>
      <c r="G12" s="196"/>
      <c r="H12" s="428"/>
      <c r="I12" s="229"/>
      <c r="J12" s="229"/>
      <c r="K12" s="731"/>
      <c r="L12" s="362"/>
      <c r="M12" s="229"/>
      <c r="N12" s="813"/>
      <c r="O12" s="955" t="str">
        <f t="shared" si="1"/>
        <v/>
      </c>
      <c r="P12" s="956" t="str">
        <f t="shared" si="2"/>
        <v/>
      </c>
    </row>
    <row r="13" spans="1:18" s="1" customFormat="1" ht="12.95" customHeight="1">
      <c r="A13" s="158"/>
      <c r="B13" s="12"/>
      <c r="C13" s="8"/>
      <c r="D13" s="8"/>
      <c r="E13" s="8"/>
      <c r="F13" s="176">
        <v>612000</v>
      </c>
      <c r="G13" s="195"/>
      <c r="H13" s="25" t="s">
        <v>139</v>
      </c>
      <c r="I13" s="374">
        <f t="shared" ref="I13:N13" si="4">I14</f>
        <v>39790</v>
      </c>
      <c r="J13" s="374">
        <f t="shared" si="4"/>
        <v>39790</v>
      </c>
      <c r="K13" s="730">
        <f t="shared" si="4"/>
        <v>32038</v>
      </c>
      <c r="L13" s="488">
        <f t="shared" si="4"/>
        <v>39462</v>
      </c>
      <c r="M13" s="374">
        <f t="shared" si="4"/>
        <v>0</v>
      </c>
      <c r="N13" s="812">
        <f t="shared" si="4"/>
        <v>39462</v>
      </c>
      <c r="O13" s="953">
        <f t="shared" si="1"/>
        <v>99.175672279467193</v>
      </c>
      <c r="P13" s="954">
        <f t="shared" si="2"/>
        <v>123.17248267682129</v>
      </c>
    </row>
    <row r="14" spans="1:18" ht="12.95" customHeight="1">
      <c r="B14" s="10"/>
      <c r="C14" s="11"/>
      <c r="D14" s="11"/>
      <c r="E14" s="163"/>
      <c r="F14" s="177">
        <v>612100</v>
      </c>
      <c r="G14" s="196"/>
      <c r="H14" s="430" t="s">
        <v>81</v>
      </c>
      <c r="I14" s="229">
        <f>39690+100</f>
        <v>39790</v>
      </c>
      <c r="J14" s="229">
        <f>39690+100</f>
        <v>39790</v>
      </c>
      <c r="K14" s="731">
        <v>32038</v>
      </c>
      <c r="L14" s="362">
        <v>39462</v>
      </c>
      <c r="M14" s="229">
        <v>0</v>
      </c>
      <c r="N14" s="813">
        <f>SUM(L14:M14)</f>
        <v>39462</v>
      </c>
      <c r="O14" s="955">
        <f t="shared" si="1"/>
        <v>99.175672279467193</v>
      </c>
      <c r="P14" s="956">
        <f t="shared" si="2"/>
        <v>123.17248267682129</v>
      </c>
    </row>
    <row r="15" spans="1:18" ht="8.1" customHeight="1">
      <c r="B15" s="10"/>
      <c r="C15" s="11"/>
      <c r="D15" s="11"/>
      <c r="E15" s="163"/>
      <c r="F15" s="177"/>
      <c r="G15" s="196"/>
      <c r="H15" s="24"/>
      <c r="I15" s="237"/>
      <c r="J15" s="237"/>
      <c r="K15" s="224"/>
      <c r="L15" s="360"/>
      <c r="M15" s="237"/>
      <c r="N15" s="776"/>
      <c r="O15" s="955" t="str">
        <f t="shared" si="1"/>
        <v/>
      </c>
      <c r="P15" s="956" t="str">
        <f t="shared" si="2"/>
        <v/>
      </c>
    </row>
    <row r="16" spans="1:18" s="1" customFormat="1" ht="12.95" customHeight="1">
      <c r="A16" s="158"/>
      <c r="B16" s="12"/>
      <c r="C16" s="8"/>
      <c r="D16" s="8"/>
      <c r="E16" s="8"/>
      <c r="F16" s="176">
        <v>613000</v>
      </c>
      <c r="G16" s="195"/>
      <c r="H16" s="25" t="s">
        <v>141</v>
      </c>
      <c r="I16" s="236">
        <f>SUM(I17:I29)</f>
        <v>132840</v>
      </c>
      <c r="J16" s="236">
        <f>SUM(J17:J29)</f>
        <v>132840</v>
      </c>
      <c r="K16" s="226">
        <f>SUM(K17:K28)</f>
        <v>126617</v>
      </c>
      <c r="L16" s="482">
        <f>SUM(L17:L29)</f>
        <v>121286</v>
      </c>
      <c r="M16" s="236">
        <f>SUM(M17:M29)</f>
        <v>5640</v>
      </c>
      <c r="N16" s="774">
        <f>SUM(N17:N29)</f>
        <v>126926</v>
      </c>
      <c r="O16" s="953">
        <f t="shared" si="1"/>
        <v>95.548027702499255</v>
      </c>
      <c r="P16" s="954">
        <f t="shared" si="2"/>
        <v>100.24404305898894</v>
      </c>
    </row>
    <row r="17" spans="1:17" ht="12.95" customHeight="1">
      <c r="B17" s="10"/>
      <c r="C17" s="11"/>
      <c r="D17" s="11"/>
      <c r="E17" s="163"/>
      <c r="F17" s="177">
        <v>613100</v>
      </c>
      <c r="G17" s="196"/>
      <c r="H17" s="24" t="s">
        <v>82</v>
      </c>
      <c r="I17" s="237">
        <v>7000</v>
      </c>
      <c r="J17" s="237">
        <v>7000</v>
      </c>
      <c r="K17" s="224">
        <v>3791</v>
      </c>
      <c r="L17" s="360">
        <v>6746</v>
      </c>
      <c r="M17" s="237">
        <v>0</v>
      </c>
      <c r="N17" s="813">
        <f t="shared" ref="N17:N29" si="5">SUM(L17:M17)</f>
        <v>6746</v>
      </c>
      <c r="O17" s="955">
        <f t="shared" si="1"/>
        <v>96.371428571428581</v>
      </c>
      <c r="P17" s="956">
        <f t="shared" si="2"/>
        <v>177.94777103666578</v>
      </c>
    </row>
    <row r="18" spans="1:17" ht="12.95" customHeight="1">
      <c r="B18" s="10"/>
      <c r="C18" s="11"/>
      <c r="D18" s="11"/>
      <c r="E18" s="163"/>
      <c r="F18" s="177">
        <v>613200</v>
      </c>
      <c r="G18" s="196"/>
      <c r="H18" s="24" t="s">
        <v>83</v>
      </c>
      <c r="I18" s="237">
        <v>0</v>
      </c>
      <c r="J18" s="237">
        <v>0</v>
      </c>
      <c r="K18" s="224">
        <v>0</v>
      </c>
      <c r="L18" s="360">
        <v>0</v>
      </c>
      <c r="M18" s="237">
        <v>0</v>
      </c>
      <c r="N18" s="813">
        <f t="shared" si="5"/>
        <v>0</v>
      </c>
      <c r="O18" s="955" t="str">
        <f t="shared" si="1"/>
        <v/>
      </c>
      <c r="P18" s="956" t="str">
        <f t="shared" si="2"/>
        <v/>
      </c>
    </row>
    <row r="19" spans="1:17" ht="12.95" customHeight="1">
      <c r="B19" s="10"/>
      <c r="C19" s="11"/>
      <c r="D19" s="11"/>
      <c r="E19" s="163"/>
      <c r="F19" s="177">
        <v>613300</v>
      </c>
      <c r="G19" s="196"/>
      <c r="H19" s="428" t="s">
        <v>163</v>
      </c>
      <c r="I19" s="237">
        <v>3700</v>
      </c>
      <c r="J19" s="237">
        <v>3700</v>
      </c>
      <c r="K19" s="224">
        <v>3156</v>
      </c>
      <c r="L19" s="360">
        <v>3022</v>
      </c>
      <c r="M19" s="237">
        <v>0</v>
      </c>
      <c r="N19" s="813">
        <f t="shared" si="5"/>
        <v>3022</v>
      </c>
      <c r="O19" s="955">
        <f t="shared" si="1"/>
        <v>81.675675675675677</v>
      </c>
      <c r="P19" s="956">
        <f t="shared" si="2"/>
        <v>95.754119138149548</v>
      </c>
    </row>
    <row r="20" spans="1:17" ht="12.75" customHeight="1">
      <c r="B20" s="10"/>
      <c r="C20" s="11"/>
      <c r="D20" s="11"/>
      <c r="E20" s="163"/>
      <c r="F20" s="177">
        <v>613400</v>
      </c>
      <c r="G20" s="196"/>
      <c r="H20" s="24" t="s">
        <v>142</v>
      </c>
      <c r="I20" s="237">
        <v>22140</v>
      </c>
      <c r="J20" s="237">
        <v>22140</v>
      </c>
      <c r="K20" s="224">
        <v>17318</v>
      </c>
      <c r="L20" s="360">
        <f>21907-5640</f>
        <v>16267</v>
      </c>
      <c r="M20" s="237">
        <v>5640</v>
      </c>
      <c r="N20" s="813">
        <f t="shared" si="5"/>
        <v>21907</v>
      </c>
      <c r="O20" s="955">
        <f t="shared" si="1"/>
        <v>98.947606142728091</v>
      </c>
      <c r="P20" s="956">
        <f t="shared" si="2"/>
        <v>126.49844092851367</v>
      </c>
    </row>
    <row r="21" spans="1:17" s="161" customFormat="1" ht="27" customHeight="1">
      <c r="B21" s="162"/>
      <c r="C21" s="163"/>
      <c r="D21" s="163"/>
      <c r="E21" s="560" t="s">
        <v>711</v>
      </c>
      <c r="F21" s="181">
        <v>613400</v>
      </c>
      <c r="G21" s="561" t="s">
        <v>811</v>
      </c>
      <c r="H21" s="455" t="s">
        <v>803</v>
      </c>
      <c r="I21" s="396">
        <v>0</v>
      </c>
      <c r="J21" s="396">
        <v>0</v>
      </c>
      <c r="K21" s="246">
        <v>0</v>
      </c>
      <c r="L21" s="500">
        <v>0</v>
      </c>
      <c r="M21" s="396">
        <v>0</v>
      </c>
      <c r="N21" s="837">
        <f t="shared" ref="N21" si="6">SUM(L21:M21)</f>
        <v>0</v>
      </c>
      <c r="O21" s="955" t="str">
        <f t="shared" ref="O21" si="7">IF(J21=0,"",N21/J21*100)</f>
        <v/>
      </c>
      <c r="P21" s="956" t="str">
        <f t="shared" si="2"/>
        <v/>
      </c>
    </row>
    <row r="22" spans="1:17" ht="12.95" customHeight="1">
      <c r="B22" s="10"/>
      <c r="C22" s="11"/>
      <c r="D22" s="11"/>
      <c r="E22" s="163"/>
      <c r="F22" s="177">
        <v>613500</v>
      </c>
      <c r="G22" s="196"/>
      <c r="H22" s="24" t="s">
        <v>84</v>
      </c>
      <c r="I22" s="237">
        <v>0</v>
      </c>
      <c r="J22" s="237">
        <v>0</v>
      </c>
      <c r="K22" s="224">
        <v>0</v>
      </c>
      <c r="L22" s="360">
        <v>0</v>
      </c>
      <c r="M22" s="237">
        <v>0</v>
      </c>
      <c r="N22" s="813">
        <f t="shared" si="5"/>
        <v>0</v>
      </c>
      <c r="O22" s="955" t="str">
        <f t="shared" si="1"/>
        <v/>
      </c>
      <c r="P22" s="956" t="str">
        <f t="shared" si="2"/>
        <v/>
      </c>
    </row>
    <row r="23" spans="1:17" ht="12.95" customHeight="1">
      <c r="B23" s="10"/>
      <c r="C23" s="11"/>
      <c r="D23" s="11"/>
      <c r="E23" s="163"/>
      <c r="F23" s="177">
        <v>613600</v>
      </c>
      <c r="G23" s="196"/>
      <c r="H23" s="428" t="s">
        <v>164</v>
      </c>
      <c r="I23" s="237">
        <v>0</v>
      </c>
      <c r="J23" s="237">
        <v>0</v>
      </c>
      <c r="K23" s="224">
        <v>0</v>
      </c>
      <c r="L23" s="360">
        <v>0</v>
      </c>
      <c r="M23" s="237">
        <v>0</v>
      </c>
      <c r="N23" s="813">
        <f t="shared" si="5"/>
        <v>0</v>
      </c>
      <c r="O23" s="955" t="str">
        <f t="shared" si="1"/>
        <v/>
      </c>
      <c r="P23" s="956" t="str">
        <f t="shared" si="2"/>
        <v/>
      </c>
    </row>
    <row r="24" spans="1:17" ht="12.95" customHeight="1">
      <c r="B24" s="10"/>
      <c r="C24" s="11"/>
      <c r="D24" s="11"/>
      <c r="E24" s="163"/>
      <c r="F24" s="177">
        <v>613700</v>
      </c>
      <c r="G24" s="196"/>
      <c r="H24" s="24" t="s">
        <v>85</v>
      </c>
      <c r="I24" s="237">
        <v>5000</v>
      </c>
      <c r="J24" s="237">
        <v>5000</v>
      </c>
      <c r="K24" s="224">
        <v>2516</v>
      </c>
      <c r="L24" s="360">
        <v>4756</v>
      </c>
      <c r="M24" s="237">
        <v>0</v>
      </c>
      <c r="N24" s="813">
        <f t="shared" si="5"/>
        <v>4756</v>
      </c>
      <c r="O24" s="955">
        <f t="shared" si="1"/>
        <v>95.12</v>
      </c>
      <c r="P24" s="956">
        <f t="shared" si="2"/>
        <v>189.03020667726551</v>
      </c>
    </row>
    <row r="25" spans="1:17" ht="12.95" customHeight="1">
      <c r="B25" s="10"/>
      <c r="C25" s="11"/>
      <c r="D25" s="11"/>
      <c r="E25" s="163"/>
      <c r="F25" s="177">
        <v>613800</v>
      </c>
      <c r="G25" s="196"/>
      <c r="H25" s="24" t="s">
        <v>143</v>
      </c>
      <c r="I25" s="237">
        <v>0</v>
      </c>
      <c r="J25" s="237">
        <v>0</v>
      </c>
      <c r="K25" s="224">
        <v>0</v>
      </c>
      <c r="L25" s="360">
        <v>0</v>
      </c>
      <c r="M25" s="237">
        <v>0</v>
      </c>
      <c r="N25" s="813">
        <f t="shared" si="5"/>
        <v>0</v>
      </c>
      <c r="O25" s="955" t="str">
        <f t="shared" si="1"/>
        <v/>
      </c>
      <c r="P25" s="956" t="str">
        <f t="shared" si="2"/>
        <v/>
      </c>
    </row>
    <row r="26" spans="1:17" ht="12.95" customHeight="1">
      <c r="B26" s="10"/>
      <c r="C26" s="11"/>
      <c r="D26" s="11"/>
      <c r="E26" s="163"/>
      <c r="F26" s="177">
        <v>613800</v>
      </c>
      <c r="G26" s="196"/>
      <c r="H26" s="428" t="s">
        <v>152</v>
      </c>
      <c r="I26" s="237">
        <v>0</v>
      </c>
      <c r="J26" s="237">
        <v>0</v>
      </c>
      <c r="K26" s="224">
        <v>0</v>
      </c>
      <c r="L26" s="360">
        <v>0</v>
      </c>
      <c r="M26" s="237">
        <v>0</v>
      </c>
      <c r="N26" s="813">
        <f t="shared" si="5"/>
        <v>0</v>
      </c>
      <c r="O26" s="955" t="str">
        <f t="shared" si="1"/>
        <v/>
      </c>
      <c r="P26" s="956" t="str">
        <f t="shared" si="2"/>
        <v/>
      </c>
    </row>
    <row r="27" spans="1:17" ht="12.95" customHeight="1">
      <c r="B27" s="10"/>
      <c r="C27" s="11"/>
      <c r="D27" s="11"/>
      <c r="E27" s="163"/>
      <c r="F27" s="177">
        <v>613900</v>
      </c>
      <c r="G27" s="196"/>
      <c r="H27" s="428" t="s">
        <v>144</v>
      </c>
      <c r="I27" s="237">
        <v>40000</v>
      </c>
      <c r="J27" s="237">
        <v>40000</v>
      </c>
      <c r="K27" s="224">
        <v>48406</v>
      </c>
      <c r="L27" s="360">
        <v>38840</v>
      </c>
      <c r="M27" s="237">
        <v>0</v>
      </c>
      <c r="N27" s="813">
        <f t="shared" si="5"/>
        <v>38840</v>
      </c>
      <c r="O27" s="955">
        <f t="shared" si="1"/>
        <v>97.1</v>
      </c>
      <c r="P27" s="956">
        <f t="shared" si="2"/>
        <v>80.237987026401683</v>
      </c>
    </row>
    <row r="28" spans="1:17" ht="12.95" customHeight="1">
      <c r="B28" s="10"/>
      <c r="C28" s="11"/>
      <c r="D28" s="11"/>
      <c r="E28" s="163"/>
      <c r="F28" s="177">
        <v>613900</v>
      </c>
      <c r="G28" s="196" t="s">
        <v>516</v>
      </c>
      <c r="H28" s="428" t="s">
        <v>147</v>
      </c>
      <c r="I28" s="237">
        <v>55000</v>
      </c>
      <c r="J28" s="237">
        <v>55000</v>
      </c>
      <c r="K28" s="224">
        <v>51430</v>
      </c>
      <c r="L28" s="360">
        <v>51655</v>
      </c>
      <c r="M28" s="237">
        <v>0</v>
      </c>
      <c r="N28" s="813">
        <f t="shared" si="5"/>
        <v>51655</v>
      </c>
      <c r="O28" s="955">
        <f t="shared" si="1"/>
        <v>93.918181818181822</v>
      </c>
      <c r="P28" s="956">
        <f t="shared" si="2"/>
        <v>100.43748784755979</v>
      </c>
    </row>
    <row r="29" spans="1:17" ht="12.95" customHeight="1">
      <c r="B29" s="10"/>
      <c r="C29" s="11"/>
      <c r="D29" s="11"/>
      <c r="E29" s="163"/>
      <c r="F29" s="177">
        <v>613900</v>
      </c>
      <c r="G29" s="196"/>
      <c r="H29" s="435" t="s">
        <v>435</v>
      </c>
      <c r="I29" s="237">
        <v>0</v>
      </c>
      <c r="J29" s="237">
        <v>0</v>
      </c>
      <c r="K29" s="224">
        <v>0</v>
      </c>
      <c r="L29" s="360">
        <v>0</v>
      </c>
      <c r="M29" s="237">
        <v>0</v>
      </c>
      <c r="N29" s="813">
        <f t="shared" si="5"/>
        <v>0</v>
      </c>
      <c r="O29" s="955" t="str">
        <f t="shared" si="1"/>
        <v/>
      </c>
      <c r="P29" s="956" t="str">
        <f t="shared" si="2"/>
        <v/>
      </c>
    </row>
    <row r="30" spans="1:17" ht="8.1" customHeight="1">
      <c r="B30" s="10"/>
      <c r="C30" s="11"/>
      <c r="D30" s="11"/>
      <c r="E30" s="163"/>
      <c r="F30" s="177"/>
      <c r="G30" s="196"/>
      <c r="H30" s="24"/>
      <c r="I30" s="237"/>
      <c r="J30" s="237"/>
      <c r="K30" s="224"/>
      <c r="L30" s="360"/>
      <c r="M30" s="237"/>
      <c r="N30" s="776"/>
      <c r="O30" s="955" t="str">
        <f t="shared" si="1"/>
        <v/>
      </c>
      <c r="P30" s="956" t="str">
        <f t="shared" si="2"/>
        <v/>
      </c>
    </row>
    <row r="31" spans="1:17" s="1" customFormat="1" ht="12.95" customHeight="1">
      <c r="A31" s="158"/>
      <c r="B31" s="12"/>
      <c r="C31" s="8"/>
      <c r="D31" s="8"/>
      <c r="E31" s="417"/>
      <c r="F31" s="176">
        <v>614000</v>
      </c>
      <c r="G31" s="195"/>
      <c r="H31" s="25" t="s">
        <v>165</v>
      </c>
      <c r="I31" s="236">
        <f>SUM(I32:I39)</f>
        <v>1977500</v>
      </c>
      <c r="J31" s="236">
        <f>SUM(J32:J39)</f>
        <v>1977500</v>
      </c>
      <c r="K31" s="226">
        <f t="shared" ref="K31" si="8">SUM(K32:K39)</f>
        <v>1592211</v>
      </c>
      <c r="L31" s="482">
        <f>SUM(L32:L39)</f>
        <v>1919277</v>
      </c>
      <c r="M31" s="236">
        <f>SUM(M32:M39)</f>
        <v>0</v>
      </c>
      <c r="N31" s="774">
        <f>SUM(N32:N39)</f>
        <v>1919277</v>
      </c>
      <c r="O31" s="953">
        <f t="shared" si="1"/>
        <v>97.055726927939318</v>
      </c>
      <c r="P31" s="954">
        <f t="shared" si="2"/>
        <v>120.54162419428079</v>
      </c>
    </row>
    <row r="32" spans="1:17" s="79" customFormat="1" ht="12.75" customHeight="1">
      <c r="B32" s="75"/>
      <c r="C32" s="76"/>
      <c r="D32" s="77"/>
      <c r="E32" s="418" t="s">
        <v>704</v>
      </c>
      <c r="F32" s="181">
        <v>614100</v>
      </c>
      <c r="G32" s="200" t="s">
        <v>517</v>
      </c>
      <c r="H32" s="544" t="s">
        <v>763</v>
      </c>
      <c r="I32" s="396">
        <v>165000</v>
      </c>
      <c r="J32" s="396">
        <v>165000</v>
      </c>
      <c r="K32" s="246">
        <v>131914</v>
      </c>
      <c r="L32" s="500">
        <v>149427</v>
      </c>
      <c r="M32" s="396">
        <v>0</v>
      </c>
      <c r="N32" s="813">
        <f t="shared" ref="N32:N37" si="9">SUM(L32:M32)</f>
        <v>149427</v>
      </c>
      <c r="O32" s="955">
        <f t="shared" si="1"/>
        <v>90.561818181818182</v>
      </c>
      <c r="P32" s="956">
        <f t="shared" si="2"/>
        <v>113.27607380566127</v>
      </c>
      <c r="Q32" s="78"/>
    </row>
    <row r="33" spans="1:17" ht="12.75" customHeight="1">
      <c r="B33" s="10"/>
      <c r="C33" s="11"/>
      <c r="D33" s="11"/>
      <c r="E33" s="419"/>
      <c r="F33" s="182">
        <v>614100</v>
      </c>
      <c r="G33" s="201" t="s">
        <v>518</v>
      </c>
      <c r="H33" s="452" t="s">
        <v>785</v>
      </c>
      <c r="I33" s="237">
        <v>370000</v>
      </c>
      <c r="J33" s="237">
        <v>370000</v>
      </c>
      <c r="K33" s="224">
        <v>335497</v>
      </c>
      <c r="L33" s="360">
        <v>337450</v>
      </c>
      <c r="M33" s="237">
        <v>0</v>
      </c>
      <c r="N33" s="813">
        <f t="shared" si="9"/>
        <v>337450</v>
      </c>
      <c r="O33" s="955">
        <f t="shared" si="1"/>
        <v>91.202702702702695</v>
      </c>
      <c r="P33" s="956">
        <f t="shared" si="2"/>
        <v>100.58212144967018</v>
      </c>
    </row>
    <row r="34" spans="1:17" ht="12.95" customHeight="1">
      <c r="B34" s="10"/>
      <c r="C34" s="11"/>
      <c r="D34" s="11"/>
      <c r="E34" s="420" t="s">
        <v>704</v>
      </c>
      <c r="F34" s="177">
        <v>614200</v>
      </c>
      <c r="G34" s="196" t="s">
        <v>519</v>
      </c>
      <c r="H34" s="452" t="s">
        <v>104</v>
      </c>
      <c r="I34" s="237">
        <v>152500</v>
      </c>
      <c r="J34" s="237">
        <v>152500</v>
      </c>
      <c r="K34" s="224">
        <v>149800</v>
      </c>
      <c r="L34" s="360">
        <v>152400</v>
      </c>
      <c r="M34" s="237">
        <v>0</v>
      </c>
      <c r="N34" s="813">
        <f t="shared" si="9"/>
        <v>152400</v>
      </c>
      <c r="O34" s="955">
        <f t="shared" si="1"/>
        <v>99.934426229508205</v>
      </c>
      <c r="P34" s="956">
        <f t="shared" si="2"/>
        <v>101.73564753004005</v>
      </c>
    </row>
    <row r="35" spans="1:17" s="79" customFormat="1" ht="27.75" customHeight="1">
      <c r="B35" s="75"/>
      <c r="C35" s="76"/>
      <c r="D35" s="76"/>
      <c r="E35" s="421" t="s">
        <v>707</v>
      </c>
      <c r="F35" s="181">
        <v>614200</v>
      </c>
      <c r="G35" s="200" t="s">
        <v>520</v>
      </c>
      <c r="H35" s="545" t="s">
        <v>596</v>
      </c>
      <c r="I35" s="396">
        <v>20000</v>
      </c>
      <c r="J35" s="396">
        <v>20000</v>
      </c>
      <c r="K35" s="246">
        <v>15000</v>
      </c>
      <c r="L35" s="500">
        <v>10000</v>
      </c>
      <c r="M35" s="396">
        <v>0</v>
      </c>
      <c r="N35" s="837">
        <f t="shared" si="9"/>
        <v>10000</v>
      </c>
      <c r="O35" s="955">
        <f t="shared" si="1"/>
        <v>50</v>
      </c>
      <c r="P35" s="956">
        <f t="shared" si="2"/>
        <v>66.666666666666657</v>
      </c>
    </row>
    <row r="36" spans="1:17" ht="12.95" customHeight="1">
      <c r="B36" s="10"/>
      <c r="C36" s="11"/>
      <c r="D36" s="11"/>
      <c r="E36" s="420" t="s">
        <v>708</v>
      </c>
      <c r="F36" s="177">
        <v>614300</v>
      </c>
      <c r="G36" s="196" t="s">
        <v>521</v>
      </c>
      <c r="H36" s="452" t="s">
        <v>764</v>
      </c>
      <c r="I36" s="237">
        <v>370000</v>
      </c>
      <c r="J36" s="237">
        <v>370000</v>
      </c>
      <c r="K36" s="224">
        <f>300000+20000</f>
        <v>320000</v>
      </c>
      <c r="L36" s="360">
        <v>370000</v>
      </c>
      <c r="M36" s="237">
        <v>0</v>
      </c>
      <c r="N36" s="813">
        <f t="shared" si="9"/>
        <v>370000</v>
      </c>
      <c r="O36" s="955">
        <f t="shared" si="1"/>
        <v>100</v>
      </c>
      <c r="P36" s="956">
        <f t="shared" si="2"/>
        <v>115.625</v>
      </c>
    </row>
    <row r="37" spans="1:17" ht="12.95" customHeight="1">
      <c r="B37" s="10"/>
      <c r="C37" s="11"/>
      <c r="D37" s="11"/>
      <c r="E37" s="420" t="s">
        <v>709</v>
      </c>
      <c r="F37" s="177">
        <v>614300</v>
      </c>
      <c r="G37" s="196" t="s">
        <v>522</v>
      </c>
      <c r="H37" s="452" t="s">
        <v>765</v>
      </c>
      <c r="I37" s="237">
        <f>380000+10000</f>
        <v>390000</v>
      </c>
      <c r="J37" s="237">
        <f>380000+10000</f>
        <v>390000</v>
      </c>
      <c r="K37" s="224">
        <v>250000</v>
      </c>
      <c r="L37" s="360">
        <v>390000</v>
      </c>
      <c r="M37" s="237">
        <v>0</v>
      </c>
      <c r="N37" s="813">
        <f t="shared" si="9"/>
        <v>390000</v>
      </c>
      <c r="O37" s="955">
        <f t="shared" si="1"/>
        <v>100</v>
      </c>
      <c r="P37" s="956">
        <f t="shared" si="2"/>
        <v>156</v>
      </c>
      <c r="Q37" s="58"/>
    </row>
    <row r="38" spans="1:17" s="161" customFormat="1" ht="12.95" customHeight="1">
      <c r="B38" s="162"/>
      <c r="C38" s="163"/>
      <c r="D38" s="163"/>
      <c r="E38" s="419" t="s">
        <v>706</v>
      </c>
      <c r="F38" s="182">
        <v>614300</v>
      </c>
      <c r="G38" s="201" t="s">
        <v>608</v>
      </c>
      <c r="H38" s="546" t="s">
        <v>766</v>
      </c>
      <c r="I38" s="237">
        <v>350000</v>
      </c>
      <c r="J38" s="237">
        <v>350000</v>
      </c>
      <c r="K38" s="224">
        <f>300000+10000</f>
        <v>310000</v>
      </c>
      <c r="L38" s="360">
        <v>350000</v>
      </c>
      <c r="M38" s="237">
        <v>0</v>
      </c>
      <c r="N38" s="813">
        <f t="shared" ref="N38:N39" si="10">SUM(L38:M38)</f>
        <v>350000</v>
      </c>
      <c r="O38" s="955">
        <f t="shared" si="1"/>
        <v>100</v>
      </c>
      <c r="P38" s="956">
        <f t="shared" si="2"/>
        <v>112.90322580645163</v>
      </c>
    </row>
    <row r="39" spans="1:17" s="161" customFormat="1" ht="12.95" customHeight="1">
      <c r="B39" s="162"/>
      <c r="C39" s="163"/>
      <c r="D39" s="163"/>
      <c r="E39" s="419" t="s">
        <v>705</v>
      </c>
      <c r="F39" s="182">
        <v>614300</v>
      </c>
      <c r="G39" s="201" t="s">
        <v>609</v>
      </c>
      <c r="H39" s="546" t="s">
        <v>767</v>
      </c>
      <c r="I39" s="237">
        <v>160000</v>
      </c>
      <c r="J39" s="237">
        <v>160000</v>
      </c>
      <c r="K39" s="224">
        <v>80000</v>
      </c>
      <c r="L39" s="360">
        <v>160000</v>
      </c>
      <c r="M39" s="237">
        <v>0</v>
      </c>
      <c r="N39" s="813">
        <f t="shared" si="10"/>
        <v>160000</v>
      </c>
      <c r="O39" s="955">
        <f t="shared" si="1"/>
        <v>100</v>
      </c>
      <c r="P39" s="956">
        <f t="shared" si="2"/>
        <v>200</v>
      </c>
    </row>
    <row r="40" spans="1:17" ht="8.1" customHeight="1">
      <c r="B40" s="10"/>
      <c r="C40" s="11"/>
      <c r="D40" s="11"/>
      <c r="E40" s="420"/>
      <c r="F40" s="177"/>
      <c r="G40" s="196"/>
      <c r="H40" s="458"/>
      <c r="I40" s="237"/>
      <c r="J40" s="237"/>
      <c r="K40" s="224"/>
      <c r="L40" s="360"/>
      <c r="M40" s="237"/>
      <c r="N40" s="776"/>
      <c r="O40" s="955" t="str">
        <f>IF(J40=0,"",N40/J40*100)</f>
        <v/>
      </c>
      <c r="P40" s="956" t="str">
        <f t="shared" si="2"/>
        <v/>
      </c>
      <c r="Q40" s="58"/>
    </row>
    <row r="41" spans="1:17" s="1" customFormat="1" ht="12.95" customHeight="1">
      <c r="A41" s="158"/>
      <c r="B41" s="12"/>
      <c r="C41" s="8"/>
      <c r="D41" s="8"/>
      <c r="E41" s="417"/>
      <c r="F41" s="176">
        <v>821000</v>
      </c>
      <c r="G41" s="195"/>
      <c r="H41" s="25" t="s">
        <v>88</v>
      </c>
      <c r="I41" s="236">
        <f t="shared" ref="I41:N41" si="11">SUM(I42:I43)</f>
        <v>522180</v>
      </c>
      <c r="J41" s="236">
        <f t="shared" si="11"/>
        <v>522180</v>
      </c>
      <c r="K41" s="226">
        <f t="shared" si="11"/>
        <v>259445</v>
      </c>
      <c r="L41" s="482">
        <f t="shared" si="11"/>
        <v>10949</v>
      </c>
      <c r="M41" s="236">
        <f t="shared" si="11"/>
        <v>510383</v>
      </c>
      <c r="N41" s="774">
        <f t="shared" si="11"/>
        <v>521332</v>
      </c>
      <c r="O41" s="953">
        <f>IF(J41=0,"",N41/J41*100)</f>
        <v>99.83760389137845</v>
      </c>
      <c r="P41" s="954">
        <f t="shared" si="2"/>
        <v>200.9412399545183</v>
      </c>
    </row>
    <row r="42" spans="1:17" ht="12.95" customHeight="1">
      <c r="B42" s="10"/>
      <c r="C42" s="11"/>
      <c r="D42" s="11"/>
      <c r="E42" s="420"/>
      <c r="F42" s="177">
        <v>821200</v>
      </c>
      <c r="G42" s="196"/>
      <c r="H42" s="24" t="s">
        <v>89</v>
      </c>
      <c r="I42" s="235">
        <v>469380</v>
      </c>
      <c r="J42" s="235">
        <v>469380</v>
      </c>
      <c r="K42" s="225">
        <v>249453</v>
      </c>
      <c r="L42" s="357">
        <v>0</v>
      </c>
      <c r="M42" s="235">
        <f>242993+225593</f>
        <v>468586</v>
      </c>
      <c r="N42" s="813">
        <f t="shared" ref="N42:N43" si="12">SUM(L42:M42)</f>
        <v>468586</v>
      </c>
      <c r="O42" s="955">
        <f>IF(J42=0,"",N42/J42*100)</f>
        <v>99.830840683454767</v>
      </c>
      <c r="P42" s="956">
        <f t="shared" si="2"/>
        <v>187.84540574777614</v>
      </c>
    </row>
    <row r="43" spans="1:17" ht="12.95" customHeight="1">
      <c r="B43" s="10"/>
      <c r="C43" s="11"/>
      <c r="D43" s="11"/>
      <c r="E43" s="420"/>
      <c r="F43" s="177">
        <v>821300</v>
      </c>
      <c r="G43" s="196"/>
      <c r="H43" s="24" t="s">
        <v>90</v>
      </c>
      <c r="I43" s="237">
        <v>52800</v>
      </c>
      <c r="J43" s="237">
        <v>52800</v>
      </c>
      <c r="K43" s="224">
        <v>9992</v>
      </c>
      <c r="L43" s="360">
        <f>52746-41797</f>
        <v>10949</v>
      </c>
      <c r="M43" s="237">
        <f>20000+21797</f>
        <v>41797</v>
      </c>
      <c r="N43" s="813">
        <f t="shared" si="12"/>
        <v>52746</v>
      </c>
      <c r="O43" s="955">
        <f>IF(J43=0,"",N43/J43*100)</f>
        <v>99.89772727272728</v>
      </c>
      <c r="P43" s="956">
        <f t="shared" si="2"/>
        <v>527.88230584467578</v>
      </c>
      <c r="Q43" s="401"/>
    </row>
    <row r="44" spans="1:17" ht="8.1" customHeight="1">
      <c r="B44" s="10"/>
      <c r="C44" s="11"/>
      <c r="D44" s="11"/>
      <c r="E44" s="163"/>
      <c r="F44" s="177"/>
      <c r="G44" s="196"/>
      <c r="H44" s="428"/>
      <c r="I44" s="235"/>
      <c r="J44" s="235"/>
      <c r="K44" s="225"/>
      <c r="L44" s="357"/>
      <c r="M44" s="235"/>
      <c r="N44" s="776"/>
      <c r="O44" s="955" t="str">
        <f>IF(J44=0,"",N44/J44*100)</f>
        <v/>
      </c>
      <c r="P44" s="956" t="str">
        <f t="shared" si="2"/>
        <v/>
      </c>
    </row>
    <row r="45" spans="1:17" s="1" customFormat="1" ht="12.95" customHeight="1">
      <c r="A45" s="158"/>
      <c r="B45" s="12"/>
      <c r="C45" s="8"/>
      <c r="D45" s="8"/>
      <c r="E45" s="8"/>
      <c r="F45" s="176"/>
      <c r="G45" s="195"/>
      <c r="H45" s="25" t="s">
        <v>91</v>
      </c>
      <c r="I45" s="394" t="s">
        <v>836</v>
      </c>
      <c r="J45" s="394" t="s">
        <v>836</v>
      </c>
      <c r="K45" s="727" t="s">
        <v>836</v>
      </c>
      <c r="L45" s="498" t="s">
        <v>826</v>
      </c>
      <c r="M45" s="232"/>
      <c r="N45" s="767" t="s">
        <v>826</v>
      </c>
      <c r="O45" s="955"/>
      <c r="P45" s="956"/>
    </row>
    <row r="46" spans="1:17" s="1" customFormat="1" ht="12.95" customHeight="1">
      <c r="A46" s="158"/>
      <c r="B46" s="12"/>
      <c r="C46" s="8"/>
      <c r="D46" s="8"/>
      <c r="E46" s="8"/>
      <c r="F46" s="176"/>
      <c r="G46" s="195"/>
      <c r="H46" s="8" t="s">
        <v>105</v>
      </c>
      <c r="I46" s="367">
        <f t="shared" ref="I46:N46" si="13">I8+I13+I16+I31+I41</f>
        <v>3128140</v>
      </c>
      <c r="J46" s="165">
        <f t="shared" si="13"/>
        <v>3128140</v>
      </c>
      <c r="K46" s="153">
        <f t="shared" si="13"/>
        <v>2366375</v>
      </c>
      <c r="L46" s="370">
        <f t="shared" si="13"/>
        <v>2543165</v>
      </c>
      <c r="M46" s="165">
        <f t="shared" si="13"/>
        <v>516023</v>
      </c>
      <c r="N46" s="774">
        <f t="shared" si="13"/>
        <v>3059188</v>
      </c>
      <c r="O46" s="953">
        <f>IF(J46=0,"",N46/J46*100)</f>
        <v>97.795750829566458</v>
      </c>
      <c r="P46" s="954">
        <f t="shared" si="2"/>
        <v>129.27739686228935</v>
      </c>
    </row>
    <row r="47" spans="1:17" s="1" customFormat="1" ht="12.95" customHeight="1">
      <c r="A47" s="158"/>
      <c r="B47" s="12"/>
      <c r="C47" s="8"/>
      <c r="D47" s="8"/>
      <c r="E47" s="8"/>
      <c r="F47" s="176"/>
      <c r="G47" s="195"/>
      <c r="H47" s="8" t="s">
        <v>92</v>
      </c>
      <c r="I47" s="11"/>
      <c r="J47" s="11"/>
      <c r="K47" s="354"/>
      <c r="L47" s="162"/>
      <c r="M47" s="163"/>
      <c r="N47" s="820"/>
      <c r="O47" s="959"/>
      <c r="P47" s="960" t="str">
        <f t="shared" si="2"/>
        <v/>
      </c>
    </row>
    <row r="48" spans="1:17" s="1" customFormat="1" ht="12.95" customHeight="1">
      <c r="A48" s="158"/>
      <c r="B48" s="12"/>
      <c r="C48" s="8"/>
      <c r="D48" s="8"/>
      <c r="E48" s="8"/>
      <c r="F48" s="176"/>
      <c r="G48" s="195"/>
      <c r="H48" s="8" t="s">
        <v>93</v>
      </c>
      <c r="I48" s="11"/>
      <c r="J48" s="11"/>
      <c r="K48" s="354"/>
      <c r="L48" s="162"/>
      <c r="M48" s="163"/>
      <c r="N48" s="820"/>
      <c r="O48" s="959"/>
      <c r="P48" s="960" t="str">
        <f t="shared" si="2"/>
        <v/>
      </c>
    </row>
    <row r="49" spans="2:16" ht="8.1" customHeight="1" thickBot="1">
      <c r="B49" s="16"/>
      <c r="C49" s="17"/>
      <c r="D49" s="17"/>
      <c r="E49" s="17"/>
      <c r="F49" s="178"/>
      <c r="G49" s="197"/>
      <c r="H49" s="17"/>
      <c r="I49" s="17"/>
      <c r="J49" s="17"/>
      <c r="K49" s="355"/>
      <c r="L49" s="16"/>
      <c r="M49" s="17"/>
      <c r="N49" s="800"/>
      <c r="O49" s="957"/>
      <c r="P49" s="958" t="str">
        <f t="shared" si="2"/>
        <v/>
      </c>
    </row>
    <row r="50" spans="2:16" ht="12.95" customHeight="1">
      <c r="F50" s="179"/>
      <c r="G50" s="198"/>
      <c r="L50" s="399"/>
      <c r="N50" s="253"/>
      <c r="P50" s="214" t="str">
        <f t="shared" si="2"/>
        <v/>
      </c>
    </row>
    <row r="51" spans="2:16" ht="17.100000000000001" customHeight="1">
      <c r="F51" s="179"/>
      <c r="G51" s="198"/>
      <c r="N51" s="548"/>
      <c r="P51" s="214" t="str">
        <f t="shared" si="2"/>
        <v/>
      </c>
    </row>
    <row r="52" spans="2:16" ht="17.100000000000001" customHeight="1">
      <c r="B52" s="45"/>
      <c r="F52" s="179"/>
      <c r="G52" s="198"/>
      <c r="N52" s="253"/>
      <c r="P52" s="214" t="str">
        <f t="shared" si="2"/>
        <v/>
      </c>
    </row>
    <row r="53" spans="2:16" ht="17.100000000000001" customHeight="1">
      <c r="B53" s="45"/>
      <c r="F53" s="179"/>
      <c r="G53" s="198"/>
      <c r="N53" s="253"/>
      <c r="P53" s="214" t="str">
        <f t="shared" si="2"/>
        <v/>
      </c>
    </row>
    <row r="54" spans="2:16" ht="14.25">
      <c r="B54" s="45"/>
      <c r="F54" s="179"/>
      <c r="G54" s="198"/>
      <c r="N54" s="253"/>
    </row>
    <row r="55" spans="2:16" ht="14.25">
      <c r="B55" s="45"/>
      <c r="F55" s="179"/>
      <c r="G55" s="198"/>
      <c r="N55" s="253"/>
    </row>
    <row r="56" spans="2:16" ht="14.25">
      <c r="F56" s="179"/>
      <c r="G56" s="198"/>
      <c r="N56" s="253"/>
    </row>
    <row r="57" spans="2:16" ht="14.25">
      <c r="F57" s="179"/>
      <c r="G57" s="198"/>
      <c r="N57" s="253"/>
    </row>
    <row r="58" spans="2:16" ht="14.25">
      <c r="F58" s="179"/>
      <c r="G58" s="198"/>
      <c r="N58" s="253"/>
    </row>
    <row r="59" spans="2:16" ht="14.25">
      <c r="F59" s="179"/>
      <c r="G59" s="198"/>
      <c r="N59" s="253"/>
    </row>
    <row r="60" spans="2:16" ht="14.25">
      <c r="F60" s="179"/>
      <c r="G60" s="198"/>
      <c r="N60" s="253"/>
    </row>
    <row r="61" spans="2:16" ht="14.25">
      <c r="F61" s="179"/>
      <c r="G61" s="198"/>
      <c r="N61" s="253"/>
    </row>
    <row r="62" spans="2:16" ht="14.25">
      <c r="F62" s="179"/>
      <c r="G62" s="198"/>
      <c r="N62" s="253"/>
    </row>
    <row r="63" spans="2:16" ht="14.25">
      <c r="F63" s="179"/>
      <c r="G63" s="198"/>
      <c r="N63" s="253"/>
    </row>
    <row r="64" spans="2:16" ht="14.25">
      <c r="F64" s="179"/>
      <c r="G64" s="198"/>
      <c r="N64" s="253"/>
    </row>
    <row r="65" spans="6:14" ht="14.25">
      <c r="F65" s="179"/>
      <c r="G65" s="179"/>
      <c r="N65" s="253"/>
    </row>
    <row r="66" spans="6:14" ht="14.25">
      <c r="F66" s="179"/>
      <c r="G66" s="179"/>
      <c r="N66" s="253"/>
    </row>
    <row r="67" spans="6:14" ht="14.25">
      <c r="F67" s="179"/>
      <c r="G67" s="179"/>
      <c r="N67" s="253"/>
    </row>
    <row r="68" spans="6:14" ht="14.25">
      <c r="F68" s="179"/>
      <c r="G68" s="179"/>
      <c r="N68" s="253"/>
    </row>
    <row r="69" spans="6:14" ht="14.25">
      <c r="F69" s="179"/>
      <c r="G69" s="179"/>
      <c r="N69" s="253"/>
    </row>
    <row r="70" spans="6:14" ht="14.25">
      <c r="F70" s="179"/>
      <c r="G70" s="179"/>
      <c r="N70" s="253"/>
    </row>
    <row r="71" spans="6:14" ht="14.25">
      <c r="F71" s="179"/>
      <c r="G71" s="179"/>
      <c r="N71" s="253"/>
    </row>
    <row r="72" spans="6:14" ht="14.25">
      <c r="F72" s="179"/>
      <c r="G72" s="179"/>
      <c r="N72" s="253"/>
    </row>
    <row r="73" spans="6:14" ht="14.25">
      <c r="F73" s="179"/>
      <c r="G73" s="179"/>
      <c r="N73" s="253"/>
    </row>
    <row r="74" spans="6:14" ht="14.25">
      <c r="F74" s="179"/>
      <c r="G74" s="179"/>
      <c r="N74" s="253"/>
    </row>
    <row r="75" spans="6:14" ht="14.25">
      <c r="F75" s="179"/>
      <c r="G75" s="179"/>
      <c r="N75" s="253"/>
    </row>
    <row r="76" spans="6:14" ht="14.25">
      <c r="F76" s="179"/>
      <c r="G76" s="179"/>
      <c r="N76" s="253"/>
    </row>
    <row r="77" spans="6:14" ht="14.25">
      <c r="F77" s="179"/>
      <c r="G77" s="179"/>
      <c r="N77" s="253"/>
    </row>
    <row r="78" spans="6:14" ht="14.25">
      <c r="F78" s="179"/>
      <c r="G78" s="179"/>
      <c r="N78" s="253"/>
    </row>
    <row r="79" spans="6:14" ht="14.25">
      <c r="F79" s="179"/>
      <c r="G79" s="179"/>
      <c r="N79" s="253"/>
    </row>
    <row r="80" spans="6:14" ht="14.25">
      <c r="F80" s="179"/>
      <c r="G80" s="179"/>
      <c r="N80" s="253"/>
    </row>
    <row r="81" spans="6:14" ht="14.25">
      <c r="F81" s="179"/>
      <c r="G81" s="179"/>
      <c r="N81" s="253"/>
    </row>
    <row r="82" spans="6:14">
      <c r="G82" s="179"/>
    </row>
    <row r="83" spans="6:14">
      <c r="G83" s="179"/>
    </row>
    <row r="84" spans="6:14">
      <c r="G84" s="179"/>
    </row>
    <row r="85" spans="6:14">
      <c r="G85" s="179"/>
    </row>
    <row r="86" spans="6:14">
      <c r="G86" s="179"/>
    </row>
    <row r="87" spans="6:14">
      <c r="G87" s="179"/>
    </row>
  </sheetData>
  <mergeCells count="15">
    <mergeCell ref="P4:P5"/>
    <mergeCell ref="B2:P2"/>
    <mergeCell ref="K4:K5"/>
    <mergeCell ref="O4:O5"/>
    <mergeCell ref="H4:H5"/>
    <mergeCell ref="H3:I3"/>
    <mergeCell ref="L4:N4"/>
    <mergeCell ref="B4:B5"/>
    <mergeCell ref="C4:C5"/>
    <mergeCell ref="D4:D5"/>
    <mergeCell ref="G4:G5"/>
    <mergeCell ref="F4:F5"/>
    <mergeCell ref="I4:I5"/>
    <mergeCell ref="J4:J5"/>
    <mergeCell ref="E4:E5"/>
  </mergeCells>
  <phoneticPr fontId="2" type="noConversion"/>
  <pageMargins left="0.78740157480314965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25"/>
  <dimension ref="A1:T96"/>
  <sheetViews>
    <sheetView zoomScaleNormal="100" zoomScaleSheetLayoutView="100" workbookViewId="0">
      <selection activeCell="N32" sqref="N32"/>
    </sheetView>
  </sheetViews>
  <sheetFormatPr defaultColWidth="9.140625" defaultRowHeight="12.75"/>
  <cols>
    <col min="1" max="1" width="4.42578125" style="161" customWidth="1"/>
    <col min="2" max="2" width="4.7109375" style="9" customWidth="1"/>
    <col min="3" max="3" width="5.140625" style="9" customWidth="1"/>
    <col min="4" max="4" width="5" style="9" customWidth="1"/>
    <col min="5" max="5" width="5" style="161" customWidth="1"/>
    <col min="6" max="6" width="8.7109375" style="18" customWidth="1"/>
    <col min="7" max="7" width="8.7109375" style="166" customWidth="1"/>
    <col min="8" max="8" width="50.7109375" style="9" customWidth="1"/>
    <col min="9" max="10" width="14.7109375" style="51" customWidth="1"/>
    <col min="11" max="11" width="12.5703125" style="51" customWidth="1"/>
    <col min="12" max="13" width="14.7109375" style="51" customWidth="1"/>
    <col min="14" max="14" width="15.7109375" style="51" customWidth="1"/>
    <col min="15" max="16" width="7.7109375" style="214" customWidth="1"/>
    <col min="17" max="17" width="9.140625" style="9"/>
    <col min="18" max="18" width="10.140625" style="9" bestFit="1" customWidth="1"/>
    <col min="19" max="16384" width="9.140625" style="9"/>
  </cols>
  <sheetData>
    <row r="1" spans="1:20" ht="13.5" thickBot="1"/>
    <row r="2" spans="1:20" s="79" customFormat="1" ht="20.100000000000001" customHeight="1" thickTop="1" thickBot="1">
      <c r="B2" s="1034" t="s">
        <v>666</v>
      </c>
      <c r="C2" s="1057"/>
      <c r="D2" s="1057"/>
      <c r="E2" s="1057"/>
      <c r="F2" s="1057"/>
      <c r="G2" s="1057"/>
      <c r="H2" s="1057"/>
      <c r="I2" s="1057"/>
      <c r="J2" s="1057"/>
      <c r="K2" s="1057"/>
      <c r="L2" s="1057"/>
      <c r="M2" s="1057"/>
      <c r="N2" s="1057"/>
      <c r="O2" s="1057"/>
      <c r="P2" s="1036"/>
      <c r="R2" s="244"/>
    </row>
    <row r="3" spans="1:20" s="1" customFormat="1" ht="8.1" customHeight="1" thickTop="1" thickBot="1">
      <c r="A3" s="158"/>
      <c r="B3" s="400"/>
      <c r="C3" s="400"/>
      <c r="D3" s="400"/>
      <c r="E3" s="400"/>
      <c r="F3" s="400"/>
      <c r="G3" s="400"/>
      <c r="H3" s="400"/>
      <c r="I3" s="400"/>
      <c r="J3" s="400"/>
      <c r="K3" s="400"/>
      <c r="L3" s="400"/>
      <c r="M3" s="400"/>
      <c r="N3" s="400"/>
      <c r="O3" s="400"/>
      <c r="P3" s="400"/>
    </row>
    <row r="4" spans="1:20" s="1" customFormat="1" ht="39" customHeight="1">
      <c r="A4" s="158"/>
      <c r="B4" s="1043" t="s">
        <v>76</v>
      </c>
      <c r="C4" s="1045" t="s">
        <v>77</v>
      </c>
      <c r="D4" s="1047" t="s">
        <v>102</v>
      </c>
      <c r="E4" s="1062" t="s">
        <v>692</v>
      </c>
      <c r="F4" s="1058" t="s">
        <v>466</v>
      </c>
      <c r="G4" s="1048" t="s">
        <v>493</v>
      </c>
      <c r="H4" s="1050" t="s">
        <v>78</v>
      </c>
      <c r="I4" s="1069" t="s">
        <v>901</v>
      </c>
      <c r="J4" s="1068" t="s">
        <v>813</v>
      </c>
      <c r="K4" s="1037" t="s">
        <v>906</v>
      </c>
      <c r="L4" s="1040" t="s">
        <v>905</v>
      </c>
      <c r="M4" s="1041"/>
      <c r="N4" s="1042"/>
      <c r="O4" s="1054" t="s">
        <v>945</v>
      </c>
      <c r="P4" s="1032" t="s">
        <v>946</v>
      </c>
      <c r="R4" s="61"/>
    </row>
    <row r="5" spans="1:20" s="158" customFormat="1" ht="27" customHeight="1">
      <c r="B5" s="1044"/>
      <c r="C5" s="1046"/>
      <c r="D5" s="1046"/>
      <c r="E5" s="1049"/>
      <c r="F5" s="1051"/>
      <c r="G5" s="1049"/>
      <c r="H5" s="1051"/>
      <c r="I5" s="1061"/>
      <c r="J5" s="1051"/>
      <c r="K5" s="1038"/>
      <c r="L5" s="373" t="s">
        <v>526</v>
      </c>
      <c r="M5" s="242" t="s">
        <v>527</v>
      </c>
      <c r="N5" s="764" t="s">
        <v>319</v>
      </c>
      <c r="O5" s="1055"/>
      <c r="P5" s="1033"/>
    </row>
    <row r="6" spans="1:20" s="2" customFormat="1" ht="12.95" customHeight="1">
      <c r="A6" s="159"/>
      <c r="B6" s="328">
        <v>1</v>
      </c>
      <c r="C6" s="195">
        <v>2</v>
      </c>
      <c r="D6" s="195">
        <v>3</v>
      </c>
      <c r="E6" s="195">
        <v>4</v>
      </c>
      <c r="F6" s="195">
        <v>5</v>
      </c>
      <c r="G6" s="195">
        <v>6</v>
      </c>
      <c r="H6" s="195">
        <v>7</v>
      </c>
      <c r="I6" s="329">
        <v>8</v>
      </c>
      <c r="J6" s="195">
        <v>9</v>
      </c>
      <c r="K6" s="188">
        <v>10</v>
      </c>
      <c r="L6" s="328">
        <v>11</v>
      </c>
      <c r="M6" s="195">
        <v>12</v>
      </c>
      <c r="N6" s="810" t="s">
        <v>694</v>
      </c>
      <c r="O6" s="929" t="s">
        <v>814</v>
      </c>
      <c r="P6" s="930" t="s">
        <v>944</v>
      </c>
    </row>
    <row r="7" spans="1:20" s="2" customFormat="1" ht="12.95" customHeight="1">
      <c r="A7" s="159"/>
      <c r="B7" s="6" t="s">
        <v>126</v>
      </c>
      <c r="C7" s="7" t="s">
        <v>119</v>
      </c>
      <c r="D7" s="7" t="s">
        <v>108</v>
      </c>
      <c r="E7" s="415" t="s">
        <v>710</v>
      </c>
      <c r="F7" s="5"/>
      <c r="G7" s="160"/>
      <c r="H7" s="5"/>
      <c r="I7" s="378"/>
      <c r="J7" s="70"/>
      <c r="K7" s="726"/>
      <c r="L7" s="391"/>
      <c r="M7" s="70"/>
      <c r="N7" s="832"/>
      <c r="O7" s="951"/>
      <c r="P7" s="952"/>
    </row>
    <row r="8" spans="1:20" s="1" customFormat="1" ht="12.95" customHeight="1">
      <c r="A8" s="158"/>
      <c r="B8" s="12"/>
      <c r="C8" s="8"/>
      <c r="D8" s="8"/>
      <c r="E8" s="8"/>
      <c r="F8" s="176">
        <v>611000</v>
      </c>
      <c r="G8" s="195"/>
      <c r="H8" s="25" t="s">
        <v>140</v>
      </c>
      <c r="I8" s="236">
        <f t="shared" ref="I8:N8" si="0">SUM(I9:I12)</f>
        <v>1277280</v>
      </c>
      <c r="J8" s="236">
        <f t="shared" si="0"/>
        <v>1277280</v>
      </c>
      <c r="K8" s="226">
        <f t="shared" si="0"/>
        <v>1125381</v>
      </c>
      <c r="L8" s="482">
        <f t="shared" si="0"/>
        <v>1266235</v>
      </c>
      <c r="M8" s="236">
        <f t="shared" si="0"/>
        <v>0</v>
      </c>
      <c r="N8" s="812">
        <f t="shared" si="0"/>
        <v>1266235</v>
      </c>
      <c r="O8" s="953">
        <f t="shared" ref="O8:O31" si="1">IF(J8=0,"",N8/J8*100)</f>
        <v>99.135271827633716</v>
      </c>
      <c r="P8" s="954">
        <f>IF(K8=0,"",N8/K8*100)</f>
        <v>112.51611676401147</v>
      </c>
      <c r="R8" s="52"/>
      <c r="S8" s="52"/>
    </row>
    <row r="9" spans="1:20" ht="12.95" customHeight="1">
      <c r="B9" s="10"/>
      <c r="C9" s="11"/>
      <c r="D9" s="11"/>
      <c r="E9" s="163"/>
      <c r="F9" s="177">
        <v>611100</v>
      </c>
      <c r="G9" s="196"/>
      <c r="H9" s="428" t="s">
        <v>161</v>
      </c>
      <c r="I9" s="237">
        <f>1021900+3000+3380</f>
        <v>1028280</v>
      </c>
      <c r="J9" s="237">
        <f>1021900+3000+3380</f>
        <v>1028280</v>
      </c>
      <c r="K9" s="224">
        <v>931328</v>
      </c>
      <c r="L9" s="360">
        <v>1022464</v>
      </c>
      <c r="M9" s="237">
        <v>0</v>
      </c>
      <c r="N9" s="813">
        <f>SUM(L9:M9)</f>
        <v>1022464</v>
      </c>
      <c r="O9" s="955">
        <f t="shared" si="1"/>
        <v>99.434395300890813</v>
      </c>
      <c r="P9" s="956">
        <f t="shared" ref="P9:P53" si="2">IF(K9=0,"",N9/K9*100)</f>
        <v>109.78559648158328</v>
      </c>
      <c r="R9" s="51"/>
    </row>
    <row r="10" spans="1:20" ht="12.95" customHeight="1">
      <c r="B10" s="10"/>
      <c r="C10" s="11"/>
      <c r="D10" s="11"/>
      <c r="E10" s="163"/>
      <c r="F10" s="177">
        <v>611200</v>
      </c>
      <c r="G10" s="196"/>
      <c r="H10" s="24" t="s">
        <v>162</v>
      </c>
      <c r="I10" s="237">
        <f>215300+1500+46*700</f>
        <v>249000</v>
      </c>
      <c r="J10" s="237">
        <f>215300+1500+46*700</f>
        <v>249000</v>
      </c>
      <c r="K10" s="224">
        <v>194053</v>
      </c>
      <c r="L10" s="360">
        <v>243771</v>
      </c>
      <c r="M10" s="237">
        <v>0</v>
      </c>
      <c r="N10" s="813">
        <f t="shared" ref="N10:N11" si="3">SUM(L10:M10)</f>
        <v>243771</v>
      </c>
      <c r="O10" s="955">
        <f t="shared" si="1"/>
        <v>97.899999999999991</v>
      </c>
      <c r="P10" s="956">
        <f t="shared" si="2"/>
        <v>125.62083554492844</v>
      </c>
      <c r="R10" s="51"/>
      <c r="T10" s="401"/>
    </row>
    <row r="11" spans="1:20" ht="12.95" customHeight="1">
      <c r="B11" s="10"/>
      <c r="C11" s="11"/>
      <c r="D11" s="11"/>
      <c r="E11" s="163"/>
      <c r="F11" s="177">
        <v>611200</v>
      </c>
      <c r="G11" s="196"/>
      <c r="H11" s="435" t="s">
        <v>434</v>
      </c>
      <c r="I11" s="235">
        <v>0</v>
      </c>
      <c r="J11" s="235">
        <v>0</v>
      </c>
      <c r="K11" s="225">
        <v>0</v>
      </c>
      <c r="L11" s="357">
        <v>0</v>
      </c>
      <c r="M11" s="235">
        <v>0</v>
      </c>
      <c r="N11" s="813">
        <f t="shared" si="3"/>
        <v>0</v>
      </c>
      <c r="O11" s="955" t="str">
        <f t="shared" si="1"/>
        <v/>
      </c>
      <c r="P11" s="956" t="str">
        <f t="shared" si="2"/>
        <v/>
      </c>
      <c r="R11" s="50"/>
    </row>
    <row r="12" spans="1:20" ht="12.95" customHeight="1">
      <c r="B12" s="10"/>
      <c r="C12" s="11"/>
      <c r="D12" s="11"/>
      <c r="E12" s="163"/>
      <c r="F12" s="177"/>
      <c r="G12" s="196"/>
      <c r="H12" s="428"/>
      <c r="I12" s="237"/>
      <c r="J12" s="237"/>
      <c r="K12" s="224"/>
      <c r="L12" s="360"/>
      <c r="M12" s="237"/>
      <c r="N12" s="813"/>
      <c r="O12" s="955" t="str">
        <f t="shared" si="1"/>
        <v/>
      </c>
      <c r="P12" s="956" t="str">
        <f t="shared" si="2"/>
        <v/>
      </c>
    </row>
    <row r="13" spans="1:20" s="1" customFormat="1" ht="12.95" customHeight="1">
      <c r="A13" s="158"/>
      <c r="B13" s="12"/>
      <c r="C13" s="8"/>
      <c r="D13" s="8"/>
      <c r="E13" s="8"/>
      <c r="F13" s="176">
        <v>612000</v>
      </c>
      <c r="G13" s="195"/>
      <c r="H13" s="25" t="s">
        <v>139</v>
      </c>
      <c r="I13" s="236">
        <f t="shared" ref="I13:N13" si="4">I14</f>
        <v>115400</v>
      </c>
      <c r="J13" s="236">
        <f t="shared" si="4"/>
        <v>115400</v>
      </c>
      <c r="K13" s="226">
        <f t="shared" si="4"/>
        <v>97678</v>
      </c>
      <c r="L13" s="482">
        <f t="shared" si="4"/>
        <v>114194</v>
      </c>
      <c r="M13" s="236">
        <f t="shared" si="4"/>
        <v>0</v>
      </c>
      <c r="N13" s="812">
        <f t="shared" si="4"/>
        <v>114194</v>
      </c>
      <c r="O13" s="953">
        <f t="shared" si="1"/>
        <v>98.954939341421138</v>
      </c>
      <c r="P13" s="954">
        <f t="shared" si="2"/>
        <v>116.90861811257396</v>
      </c>
    </row>
    <row r="14" spans="1:20" ht="12.95" customHeight="1">
      <c r="B14" s="10"/>
      <c r="C14" s="11"/>
      <c r="D14" s="11"/>
      <c r="E14" s="163"/>
      <c r="F14" s="177">
        <v>612100</v>
      </c>
      <c r="G14" s="196"/>
      <c r="H14" s="430" t="s">
        <v>81</v>
      </c>
      <c r="I14" s="237">
        <f>115200+200</f>
        <v>115400</v>
      </c>
      <c r="J14" s="237">
        <f>115200+200</f>
        <v>115400</v>
      </c>
      <c r="K14" s="224">
        <v>97678</v>
      </c>
      <c r="L14" s="360">
        <v>114194</v>
      </c>
      <c r="M14" s="237">
        <v>0</v>
      </c>
      <c r="N14" s="813">
        <f>SUM(L14:M14)</f>
        <v>114194</v>
      </c>
      <c r="O14" s="955">
        <f t="shared" si="1"/>
        <v>98.954939341421138</v>
      </c>
      <c r="P14" s="956">
        <f t="shared" si="2"/>
        <v>116.90861811257396</v>
      </c>
      <c r="R14" s="51"/>
    </row>
    <row r="15" spans="1:20" ht="12.95" customHeight="1">
      <c r="B15" s="10"/>
      <c r="C15" s="11"/>
      <c r="D15" s="11"/>
      <c r="E15" s="163"/>
      <c r="F15" s="177"/>
      <c r="G15" s="196"/>
      <c r="H15" s="24"/>
      <c r="I15" s="233"/>
      <c r="J15" s="233"/>
      <c r="K15" s="222"/>
      <c r="L15" s="359"/>
      <c r="M15" s="233"/>
      <c r="N15" s="776"/>
      <c r="O15" s="955" t="str">
        <f t="shared" si="1"/>
        <v/>
      </c>
      <c r="P15" s="956" t="str">
        <f t="shared" si="2"/>
        <v/>
      </c>
    </row>
    <row r="16" spans="1:20" s="1" customFormat="1" ht="12.95" customHeight="1">
      <c r="A16" s="158"/>
      <c r="B16" s="12"/>
      <c r="C16" s="8"/>
      <c r="D16" s="8"/>
      <c r="E16" s="8"/>
      <c r="F16" s="176">
        <v>613000</v>
      </c>
      <c r="G16" s="195"/>
      <c r="H16" s="25" t="s">
        <v>141</v>
      </c>
      <c r="I16" s="234">
        <f t="shared" ref="I16:N16" si="5">SUM(I17:I26)</f>
        <v>187580</v>
      </c>
      <c r="J16" s="234">
        <f t="shared" si="5"/>
        <v>187580</v>
      </c>
      <c r="K16" s="221">
        <f t="shared" si="5"/>
        <v>132338</v>
      </c>
      <c r="L16" s="483">
        <f t="shared" si="5"/>
        <v>150750</v>
      </c>
      <c r="M16" s="234">
        <f t="shared" si="5"/>
        <v>0</v>
      </c>
      <c r="N16" s="774">
        <f t="shared" si="5"/>
        <v>150750</v>
      </c>
      <c r="O16" s="953">
        <f t="shared" si="1"/>
        <v>80.365710630131147</v>
      </c>
      <c r="P16" s="954">
        <f t="shared" si="2"/>
        <v>113.91285949613868</v>
      </c>
    </row>
    <row r="17" spans="1:17" ht="12.95" customHeight="1">
      <c r="B17" s="10"/>
      <c r="C17" s="11"/>
      <c r="D17" s="11"/>
      <c r="E17" s="163"/>
      <c r="F17" s="177">
        <v>613100</v>
      </c>
      <c r="G17" s="196"/>
      <c r="H17" s="24" t="s">
        <v>82</v>
      </c>
      <c r="I17" s="237">
        <v>5500</v>
      </c>
      <c r="J17" s="237">
        <v>5500</v>
      </c>
      <c r="K17" s="224">
        <v>1727</v>
      </c>
      <c r="L17" s="359">
        <v>4915</v>
      </c>
      <c r="M17" s="233">
        <v>0</v>
      </c>
      <c r="N17" s="813">
        <f t="shared" ref="N17:N26" si="6">SUM(L17:M17)</f>
        <v>4915</v>
      </c>
      <c r="O17" s="955">
        <f t="shared" si="1"/>
        <v>89.363636363636374</v>
      </c>
      <c r="P17" s="956">
        <f t="shared" si="2"/>
        <v>284.59756803705847</v>
      </c>
    </row>
    <row r="18" spans="1:17" ht="12.95" customHeight="1">
      <c r="B18" s="10"/>
      <c r="C18" s="11"/>
      <c r="D18" s="11"/>
      <c r="E18" s="163"/>
      <c r="F18" s="177">
        <v>613200</v>
      </c>
      <c r="G18" s="196"/>
      <c r="H18" s="24" t="s">
        <v>83</v>
      </c>
      <c r="I18" s="237">
        <v>90000</v>
      </c>
      <c r="J18" s="237">
        <v>90000</v>
      </c>
      <c r="K18" s="224">
        <v>55570</v>
      </c>
      <c r="L18" s="359">
        <v>59842</v>
      </c>
      <c r="M18" s="233">
        <v>0</v>
      </c>
      <c r="N18" s="813">
        <f t="shared" si="6"/>
        <v>59842</v>
      </c>
      <c r="O18" s="955">
        <f t="shared" si="1"/>
        <v>66.49111111111111</v>
      </c>
      <c r="P18" s="956">
        <f t="shared" si="2"/>
        <v>107.68760122368184</v>
      </c>
    </row>
    <row r="19" spans="1:17" ht="12.95" customHeight="1">
      <c r="B19" s="10"/>
      <c r="C19" s="11"/>
      <c r="D19" s="11"/>
      <c r="E19" s="163"/>
      <c r="F19" s="177">
        <v>613300</v>
      </c>
      <c r="G19" s="196"/>
      <c r="H19" s="428" t="s">
        <v>163</v>
      </c>
      <c r="I19" s="237">
        <v>8500</v>
      </c>
      <c r="J19" s="237">
        <v>8500</v>
      </c>
      <c r="K19" s="224">
        <v>8128</v>
      </c>
      <c r="L19" s="359">
        <v>7857</v>
      </c>
      <c r="M19" s="233">
        <v>0</v>
      </c>
      <c r="N19" s="813">
        <f t="shared" si="6"/>
        <v>7857</v>
      </c>
      <c r="O19" s="955">
        <f t="shared" si="1"/>
        <v>92.435294117647061</v>
      </c>
      <c r="P19" s="956">
        <f t="shared" si="2"/>
        <v>96.665846456692918</v>
      </c>
    </row>
    <row r="20" spans="1:17" ht="12.95" customHeight="1">
      <c r="B20" s="10"/>
      <c r="C20" s="11"/>
      <c r="D20" s="11"/>
      <c r="E20" s="163"/>
      <c r="F20" s="177">
        <v>613400</v>
      </c>
      <c r="G20" s="196"/>
      <c r="H20" s="24" t="s">
        <v>142</v>
      </c>
      <c r="I20" s="237">
        <v>25000</v>
      </c>
      <c r="J20" s="237">
        <v>25000</v>
      </c>
      <c r="K20" s="224">
        <v>20322</v>
      </c>
      <c r="L20" s="359">
        <v>22597</v>
      </c>
      <c r="M20" s="233">
        <v>0</v>
      </c>
      <c r="N20" s="813">
        <f t="shared" si="6"/>
        <v>22597</v>
      </c>
      <c r="O20" s="955">
        <f t="shared" si="1"/>
        <v>90.388000000000005</v>
      </c>
      <c r="P20" s="956">
        <f t="shared" si="2"/>
        <v>111.19476429485286</v>
      </c>
    </row>
    <row r="21" spans="1:17" ht="12.95" customHeight="1">
      <c r="B21" s="10"/>
      <c r="C21" s="11"/>
      <c r="D21" s="11"/>
      <c r="E21" s="163"/>
      <c r="F21" s="177">
        <v>613500</v>
      </c>
      <c r="G21" s="196"/>
      <c r="H21" s="24" t="s">
        <v>84</v>
      </c>
      <c r="I21" s="237">
        <v>2000</v>
      </c>
      <c r="J21" s="237">
        <v>2000</v>
      </c>
      <c r="K21" s="224">
        <v>2064</v>
      </c>
      <c r="L21" s="360">
        <v>1034</v>
      </c>
      <c r="M21" s="237">
        <v>0</v>
      </c>
      <c r="N21" s="813">
        <f t="shared" si="6"/>
        <v>1034</v>
      </c>
      <c r="O21" s="955">
        <f t="shared" si="1"/>
        <v>51.7</v>
      </c>
      <c r="P21" s="956">
        <f t="shared" si="2"/>
        <v>50.096899224806201</v>
      </c>
    </row>
    <row r="22" spans="1:17" ht="12.95" customHeight="1">
      <c r="B22" s="10"/>
      <c r="C22" s="11"/>
      <c r="D22" s="11"/>
      <c r="E22" s="163"/>
      <c r="F22" s="177">
        <v>613600</v>
      </c>
      <c r="G22" s="196"/>
      <c r="H22" s="428" t="s">
        <v>164</v>
      </c>
      <c r="I22" s="237">
        <v>0</v>
      </c>
      <c r="J22" s="237">
        <v>0</v>
      </c>
      <c r="K22" s="224">
        <v>0</v>
      </c>
      <c r="L22" s="359">
        <v>0</v>
      </c>
      <c r="M22" s="233">
        <v>0</v>
      </c>
      <c r="N22" s="813">
        <f t="shared" si="6"/>
        <v>0</v>
      </c>
      <c r="O22" s="955" t="str">
        <f t="shared" si="1"/>
        <v/>
      </c>
      <c r="P22" s="956" t="str">
        <f t="shared" si="2"/>
        <v/>
      </c>
    </row>
    <row r="23" spans="1:17" ht="12.95" customHeight="1">
      <c r="B23" s="10"/>
      <c r="C23" s="11"/>
      <c r="D23" s="11"/>
      <c r="E23" s="163"/>
      <c r="F23" s="177">
        <v>613700</v>
      </c>
      <c r="G23" s="196"/>
      <c r="H23" s="24" t="s">
        <v>85</v>
      </c>
      <c r="I23" s="237">
        <v>25000</v>
      </c>
      <c r="J23" s="237">
        <v>27000</v>
      </c>
      <c r="K23" s="224">
        <v>15590</v>
      </c>
      <c r="L23" s="359">
        <v>26721</v>
      </c>
      <c r="M23" s="233">
        <v>0</v>
      </c>
      <c r="N23" s="813">
        <f t="shared" si="6"/>
        <v>26721</v>
      </c>
      <c r="O23" s="955">
        <f t="shared" si="1"/>
        <v>98.966666666666669</v>
      </c>
      <c r="P23" s="956">
        <f t="shared" si="2"/>
        <v>171.39833226427197</v>
      </c>
    </row>
    <row r="24" spans="1:17" ht="12.95" customHeight="1">
      <c r="B24" s="10"/>
      <c r="C24" s="11"/>
      <c r="D24" s="11"/>
      <c r="E24" s="163"/>
      <c r="F24" s="177">
        <v>613800</v>
      </c>
      <c r="G24" s="196"/>
      <c r="H24" s="24" t="s">
        <v>143</v>
      </c>
      <c r="I24" s="237">
        <v>1580</v>
      </c>
      <c r="J24" s="237">
        <v>1580</v>
      </c>
      <c r="K24" s="224">
        <v>195</v>
      </c>
      <c r="L24" s="359">
        <v>775</v>
      </c>
      <c r="M24" s="233">
        <v>0</v>
      </c>
      <c r="N24" s="813">
        <f t="shared" si="6"/>
        <v>775</v>
      </c>
      <c r="O24" s="955">
        <f t="shared" si="1"/>
        <v>49.050632911392405</v>
      </c>
      <c r="P24" s="956">
        <f t="shared" si="2"/>
        <v>397.43589743589746</v>
      </c>
    </row>
    <row r="25" spans="1:17" ht="12.95" customHeight="1">
      <c r="B25" s="10"/>
      <c r="C25" s="11"/>
      <c r="D25" s="11"/>
      <c r="E25" s="163"/>
      <c r="F25" s="177">
        <v>613900</v>
      </c>
      <c r="G25" s="196"/>
      <c r="H25" s="24" t="s">
        <v>144</v>
      </c>
      <c r="I25" s="237">
        <v>30000</v>
      </c>
      <c r="J25" s="237">
        <v>28000</v>
      </c>
      <c r="K25" s="224">
        <v>28742</v>
      </c>
      <c r="L25" s="360">
        <v>27009</v>
      </c>
      <c r="M25" s="237">
        <v>0</v>
      </c>
      <c r="N25" s="813">
        <f t="shared" si="6"/>
        <v>27009</v>
      </c>
      <c r="O25" s="955">
        <f t="shared" si="1"/>
        <v>96.460714285714289</v>
      </c>
      <c r="P25" s="956">
        <f t="shared" si="2"/>
        <v>93.970496138055807</v>
      </c>
    </row>
    <row r="26" spans="1:17" ht="12.95" customHeight="1">
      <c r="B26" s="10"/>
      <c r="C26" s="11"/>
      <c r="D26" s="11"/>
      <c r="E26" s="163"/>
      <c r="F26" s="177">
        <v>613900</v>
      </c>
      <c r="G26" s="196"/>
      <c r="H26" s="435" t="s">
        <v>435</v>
      </c>
      <c r="I26" s="230">
        <v>0</v>
      </c>
      <c r="J26" s="230">
        <v>0</v>
      </c>
      <c r="K26" s="487">
        <v>0</v>
      </c>
      <c r="L26" s="365">
        <v>0</v>
      </c>
      <c r="M26" s="228">
        <v>0</v>
      </c>
      <c r="N26" s="813">
        <f t="shared" si="6"/>
        <v>0</v>
      </c>
      <c r="O26" s="955" t="str">
        <f t="shared" si="1"/>
        <v/>
      </c>
      <c r="P26" s="956" t="str">
        <f t="shared" si="2"/>
        <v/>
      </c>
    </row>
    <row r="27" spans="1:17" s="1" customFormat="1" ht="12.95" customHeight="1">
      <c r="A27" s="158"/>
      <c r="B27" s="12"/>
      <c r="C27" s="8"/>
      <c r="D27" s="8"/>
      <c r="E27" s="8"/>
      <c r="F27" s="176"/>
      <c r="G27" s="195"/>
      <c r="H27" s="25"/>
      <c r="I27" s="237"/>
      <c r="J27" s="237"/>
      <c r="K27" s="224"/>
      <c r="L27" s="359"/>
      <c r="M27" s="233"/>
      <c r="N27" s="776"/>
      <c r="O27" s="955" t="str">
        <f t="shared" si="1"/>
        <v/>
      </c>
      <c r="P27" s="956" t="str">
        <f t="shared" si="2"/>
        <v/>
      </c>
    </row>
    <row r="28" spans="1:17" s="1" customFormat="1" ht="12.95" customHeight="1">
      <c r="A28" s="158"/>
      <c r="B28" s="12"/>
      <c r="C28" s="8"/>
      <c r="D28" s="8"/>
      <c r="E28" s="8"/>
      <c r="F28" s="176">
        <v>821000</v>
      </c>
      <c r="G28" s="195"/>
      <c r="H28" s="25" t="s">
        <v>88</v>
      </c>
      <c r="I28" s="236">
        <f t="shared" ref="I28:N28" si="7">SUM(I29:I31)</f>
        <v>123100</v>
      </c>
      <c r="J28" s="236">
        <f t="shared" si="7"/>
        <v>123100</v>
      </c>
      <c r="K28" s="226">
        <f t="shared" si="7"/>
        <v>14747</v>
      </c>
      <c r="L28" s="484">
        <f t="shared" si="7"/>
        <v>49482</v>
      </c>
      <c r="M28" s="232">
        <f t="shared" si="7"/>
        <v>45010</v>
      </c>
      <c r="N28" s="774">
        <f t="shared" si="7"/>
        <v>94492</v>
      </c>
      <c r="O28" s="953">
        <f t="shared" si="1"/>
        <v>76.760357432981323</v>
      </c>
      <c r="P28" s="954">
        <f t="shared" si="2"/>
        <v>640.75405167152644</v>
      </c>
    </row>
    <row r="29" spans="1:17" ht="12.95" customHeight="1">
      <c r="B29" s="10"/>
      <c r="C29" s="11"/>
      <c r="D29" s="11"/>
      <c r="E29" s="163"/>
      <c r="F29" s="177">
        <v>821200</v>
      </c>
      <c r="G29" s="196"/>
      <c r="H29" s="24" t="s">
        <v>89</v>
      </c>
      <c r="I29" s="237">
        <v>90100</v>
      </c>
      <c r="J29" s="237">
        <v>90100</v>
      </c>
      <c r="K29" s="224">
        <v>9845</v>
      </c>
      <c r="L29" s="360">
        <f>66091-45010</f>
        <v>21081</v>
      </c>
      <c r="M29" s="237">
        <f>11859+18000+15151</f>
        <v>45010</v>
      </c>
      <c r="N29" s="813">
        <f t="shared" ref="N29:N30" si="8">SUM(L29:M29)</f>
        <v>66091</v>
      </c>
      <c r="O29" s="955">
        <f t="shared" si="1"/>
        <v>73.352941176470594</v>
      </c>
      <c r="P29" s="956">
        <f t="shared" si="2"/>
        <v>671.31538852209246</v>
      </c>
      <c r="Q29" s="45"/>
    </row>
    <row r="30" spans="1:17" ht="12.95" customHeight="1">
      <c r="B30" s="10"/>
      <c r="C30" s="11"/>
      <c r="D30" s="11"/>
      <c r="E30" s="163"/>
      <c r="F30" s="177">
        <v>821300</v>
      </c>
      <c r="G30" s="196"/>
      <c r="H30" s="24" t="s">
        <v>90</v>
      </c>
      <c r="I30" s="237">
        <v>33000</v>
      </c>
      <c r="J30" s="237">
        <v>33000</v>
      </c>
      <c r="K30" s="224">
        <v>4902</v>
      </c>
      <c r="L30" s="360">
        <v>28401</v>
      </c>
      <c r="M30" s="237">
        <v>0</v>
      </c>
      <c r="N30" s="813">
        <f t="shared" si="8"/>
        <v>28401</v>
      </c>
      <c r="O30" s="955">
        <f t="shared" si="1"/>
        <v>86.063636363636363</v>
      </c>
      <c r="P30" s="956">
        <f t="shared" si="2"/>
        <v>579.37576499388013</v>
      </c>
    </row>
    <row r="31" spans="1:17" ht="12.95" customHeight="1">
      <c r="B31" s="10"/>
      <c r="C31" s="11"/>
      <c r="D31" s="11"/>
      <c r="E31" s="163"/>
      <c r="F31" s="177"/>
      <c r="G31" s="196"/>
      <c r="H31" s="428"/>
      <c r="I31" s="237"/>
      <c r="J31" s="237"/>
      <c r="K31" s="224"/>
      <c r="L31" s="359"/>
      <c r="M31" s="233"/>
      <c r="N31" s="776"/>
      <c r="O31" s="955" t="str">
        <f t="shared" si="1"/>
        <v/>
      </c>
      <c r="P31" s="956" t="str">
        <f t="shared" si="2"/>
        <v/>
      </c>
    </row>
    <row r="32" spans="1:17" s="1" customFormat="1" ht="12.95" customHeight="1">
      <c r="A32" s="158"/>
      <c r="B32" s="12"/>
      <c r="C32" s="8"/>
      <c r="D32" s="8"/>
      <c r="E32" s="8"/>
      <c r="F32" s="176"/>
      <c r="G32" s="195"/>
      <c r="H32" s="25" t="s">
        <v>91</v>
      </c>
      <c r="I32" s="394" t="s">
        <v>888</v>
      </c>
      <c r="J32" s="394" t="s">
        <v>888</v>
      </c>
      <c r="K32" s="727" t="s">
        <v>753</v>
      </c>
      <c r="L32" s="498">
        <v>46</v>
      </c>
      <c r="M32" s="394"/>
      <c r="N32" s="767">
        <v>46</v>
      </c>
      <c r="O32" s="955"/>
      <c r="P32" s="956"/>
      <c r="Q32" s="61"/>
    </row>
    <row r="33" spans="1:19" s="1" customFormat="1" ht="12.95" customHeight="1">
      <c r="A33" s="158"/>
      <c r="B33" s="12"/>
      <c r="C33" s="8"/>
      <c r="D33" s="8"/>
      <c r="E33" s="8"/>
      <c r="F33" s="176"/>
      <c r="G33" s="195"/>
      <c r="H33" s="8" t="s">
        <v>105</v>
      </c>
      <c r="I33" s="367">
        <f t="shared" ref="I33:K33" si="9">I8+I13+I16+I28</f>
        <v>1703360</v>
      </c>
      <c r="J33" s="165">
        <f t="shared" si="9"/>
        <v>1703360</v>
      </c>
      <c r="K33" s="153">
        <f t="shared" si="9"/>
        <v>1370144</v>
      </c>
      <c r="L33" s="370">
        <f>L8+L13+L16+L28</f>
        <v>1580661</v>
      </c>
      <c r="M33" s="165">
        <f>M8+M13+M16+M28</f>
        <v>45010</v>
      </c>
      <c r="N33" s="774">
        <f>N8+N13+N16+N28</f>
        <v>1625671</v>
      </c>
      <c r="O33" s="953">
        <f>IF(J33=0,"",N33/J33*100)</f>
        <v>95.439073360886724</v>
      </c>
      <c r="P33" s="954">
        <f t="shared" si="2"/>
        <v>118.64964558469767</v>
      </c>
    </row>
    <row r="34" spans="1:19" s="1" customFormat="1" ht="12.95" customHeight="1">
      <c r="A34" s="158"/>
      <c r="B34" s="12"/>
      <c r="C34" s="8"/>
      <c r="D34" s="8"/>
      <c r="E34" s="8"/>
      <c r="F34" s="176"/>
      <c r="G34" s="195"/>
      <c r="H34" s="8" t="s">
        <v>92</v>
      </c>
      <c r="I34" s="367"/>
      <c r="J34" s="165"/>
      <c r="K34" s="153"/>
      <c r="L34" s="370"/>
      <c r="M34" s="165"/>
      <c r="N34" s="774"/>
      <c r="O34" s="955" t="str">
        <f>IF(J34=0,"",N34/J34*100)</f>
        <v/>
      </c>
      <c r="P34" s="956" t="str">
        <f t="shared" si="2"/>
        <v/>
      </c>
      <c r="S34" s="1" t="s">
        <v>145</v>
      </c>
    </row>
    <row r="35" spans="1:19" s="1" customFormat="1" ht="12.95" customHeight="1">
      <c r="A35" s="158"/>
      <c r="B35" s="12"/>
      <c r="C35" s="8"/>
      <c r="D35" s="8"/>
      <c r="E35" s="8"/>
      <c r="F35" s="176"/>
      <c r="G35" s="195"/>
      <c r="H35" s="8" t="s">
        <v>93</v>
      </c>
      <c r="I35" s="372"/>
      <c r="J35" s="156"/>
      <c r="K35" s="148"/>
      <c r="L35" s="369"/>
      <c r="M35" s="156"/>
      <c r="N35" s="776"/>
      <c r="O35" s="955" t="str">
        <f>IF(J35=0,"",N35/J35*100)</f>
        <v/>
      </c>
      <c r="P35" s="956" t="str">
        <f t="shared" si="2"/>
        <v/>
      </c>
    </row>
    <row r="36" spans="1:19" ht="12.95" customHeight="1" thickBot="1">
      <c r="B36" s="16"/>
      <c r="C36" s="17"/>
      <c r="D36" s="17"/>
      <c r="E36" s="17"/>
      <c r="F36" s="178"/>
      <c r="G36" s="197"/>
      <c r="H36" s="17"/>
      <c r="I36" s="31"/>
      <c r="J36" s="31"/>
      <c r="K36" s="725"/>
      <c r="L36" s="371"/>
      <c r="M36" s="31"/>
      <c r="N36" s="814"/>
      <c r="O36" s="957"/>
      <c r="P36" s="958" t="str">
        <f t="shared" si="2"/>
        <v/>
      </c>
    </row>
    <row r="37" spans="1:19" ht="12.95" customHeight="1">
      <c r="F37" s="179"/>
      <c r="G37" s="198"/>
      <c r="L37" s="469"/>
      <c r="N37" s="254"/>
      <c r="P37" s="214" t="str">
        <f t="shared" si="2"/>
        <v/>
      </c>
    </row>
    <row r="38" spans="1:19" ht="12.95" customHeight="1">
      <c r="B38" s="45"/>
      <c r="F38" s="179"/>
      <c r="G38" s="198"/>
      <c r="L38" s="469"/>
      <c r="N38" s="254"/>
      <c r="P38" s="214" t="str">
        <f t="shared" si="2"/>
        <v/>
      </c>
    </row>
    <row r="39" spans="1:19" ht="12.95" customHeight="1">
      <c r="B39" s="45"/>
      <c r="F39" s="179"/>
      <c r="G39" s="198"/>
      <c r="N39" s="254"/>
      <c r="P39" s="214" t="str">
        <f t="shared" si="2"/>
        <v/>
      </c>
    </row>
    <row r="40" spans="1:19" ht="12.95" customHeight="1">
      <c r="B40" s="45"/>
      <c r="F40" s="179"/>
      <c r="G40" s="198"/>
      <c r="N40" s="254"/>
      <c r="P40" s="214" t="str">
        <f t="shared" si="2"/>
        <v/>
      </c>
    </row>
    <row r="41" spans="1:19" ht="12.95" customHeight="1">
      <c r="B41" s="45"/>
      <c r="F41" s="179"/>
      <c r="G41" s="198"/>
      <c r="N41" s="254"/>
      <c r="P41" s="214" t="str">
        <f t="shared" si="2"/>
        <v/>
      </c>
    </row>
    <row r="42" spans="1:19" ht="12.95" customHeight="1">
      <c r="B42" s="45"/>
      <c r="F42" s="179"/>
      <c r="G42" s="198"/>
      <c r="N42" s="254"/>
      <c r="P42" s="214" t="str">
        <f t="shared" si="2"/>
        <v/>
      </c>
    </row>
    <row r="43" spans="1:19" ht="12.95" customHeight="1">
      <c r="B43" s="45"/>
      <c r="F43" s="179"/>
      <c r="G43" s="198"/>
      <c r="N43" s="254"/>
      <c r="P43" s="214" t="str">
        <f t="shared" si="2"/>
        <v/>
      </c>
    </row>
    <row r="44" spans="1:19" ht="12.95" customHeight="1">
      <c r="B44" s="45"/>
      <c r="F44" s="179"/>
      <c r="G44" s="198"/>
      <c r="N44" s="254"/>
      <c r="P44" s="214" t="str">
        <f t="shared" si="2"/>
        <v/>
      </c>
    </row>
    <row r="45" spans="1:19" ht="12.95" customHeight="1">
      <c r="B45" s="45"/>
      <c r="F45" s="179"/>
      <c r="G45" s="198"/>
      <c r="N45" s="254"/>
      <c r="P45" s="214" t="str">
        <f t="shared" si="2"/>
        <v/>
      </c>
    </row>
    <row r="46" spans="1:19" ht="12.95" customHeight="1">
      <c r="B46" s="45"/>
      <c r="F46" s="179"/>
      <c r="G46" s="198"/>
      <c r="N46" s="254"/>
      <c r="P46" s="214" t="str">
        <f t="shared" si="2"/>
        <v/>
      </c>
    </row>
    <row r="47" spans="1:19" ht="12.95" customHeight="1">
      <c r="B47" s="45"/>
      <c r="F47" s="179"/>
      <c r="G47" s="198"/>
      <c r="N47" s="254"/>
      <c r="P47" s="214" t="str">
        <f t="shared" si="2"/>
        <v/>
      </c>
    </row>
    <row r="48" spans="1:19" ht="12.95" customHeight="1">
      <c r="B48" s="45"/>
      <c r="F48" s="179"/>
      <c r="G48" s="198"/>
      <c r="N48" s="254"/>
      <c r="P48" s="214" t="str">
        <f t="shared" si="2"/>
        <v/>
      </c>
    </row>
    <row r="49" spans="2:16" ht="12.95" customHeight="1">
      <c r="B49" s="45"/>
      <c r="F49" s="179"/>
      <c r="G49" s="198"/>
      <c r="N49" s="254"/>
      <c r="P49" s="214" t="str">
        <f t="shared" si="2"/>
        <v/>
      </c>
    </row>
    <row r="50" spans="2:16" ht="12.95" customHeight="1">
      <c r="B50" s="45"/>
      <c r="F50" s="179"/>
      <c r="G50" s="198"/>
      <c r="N50" s="254"/>
      <c r="P50" s="214" t="str">
        <f t="shared" si="2"/>
        <v/>
      </c>
    </row>
    <row r="51" spans="2:16" ht="12.95" customHeight="1">
      <c r="B51" s="45"/>
      <c r="F51" s="179"/>
      <c r="G51" s="198"/>
      <c r="N51" s="254"/>
      <c r="P51" s="214" t="str">
        <f t="shared" si="2"/>
        <v/>
      </c>
    </row>
    <row r="52" spans="2:16" ht="12.95" customHeight="1">
      <c r="F52" s="179"/>
      <c r="G52" s="198"/>
      <c r="N52" s="254"/>
      <c r="P52" s="214" t="str">
        <f t="shared" si="2"/>
        <v/>
      </c>
    </row>
    <row r="53" spans="2:16" ht="12.95" customHeight="1">
      <c r="F53" s="179"/>
      <c r="G53" s="198"/>
      <c r="N53" s="254"/>
      <c r="P53" s="214" t="str">
        <f t="shared" si="2"/>
        <v/>
      </c>
    </row>
    <row r="54" spans="2:16" ht="12.95" customHeight="1">
      <c r="F54" s="179"/>
      <c r="G54" s="198"/>
      <c r="N54" s="254"/>
    </row>
    <row r="55" spans="2:16" ht="12.95" customHeight="1">
      <c r="F55" s="179"/>
      <c r="G55" s="198"/>
      <c r="N55" s="254"/>
    </row>
    <row r="56" spans="2:16" ht="12.95" customHeight="1">
      <c r="F56" s="179"/>
      <c r="G56" s="198"/>
      <c r="N56" s="254"/>
    </row>
    <row r="57" spans="2:16" ht="12.95" customHeight="1">
      <c r="F57" s="179"/>
      <c r="G57" s="198"/>
      <c r="N57" s="254"/>
    </row>
    <row r="58" spans="2:16" ht="12.95" customHeight="1">
      <c r="F58" s="179"/>
      <c r="G58" s="198"/>
      <c r="N58" s="254"/>
    </row>
    <row r="59" spans="2:16" ht="12.95" customHeight="1">
      <c r="F59" s="179"/>
      <c r="G59" s="198"/>
      <c r="N59" s="254"/>
    </row>
    <row r="60" spans="2:16" ht="17.100000000000001" customHeight="1">
      <c r="F60" s="179"/>
      <c r="G60" s="198"/>
      <c r="N60" s="254"/>
    </row>
    <row r="61" spans="2:16" ht="14.25">
      <c r="F61" s="179"/>
      <c r="G61" s="198"/>
      <c r="N61" s="254"/>
    </row>
    <row r="62" spans="2:16" ht="14.25">
      <c r="F62" s="179"/>
      <c r="G62" s="198"/>
      <c r="N62" s="254"/>
    </row>
    <row r="63" spans="2:16" ht="14.25">
      <c r="F63" s="179"/>
      <c r="G63" s="198"/>
      <c r="N63" s="254"/>
    </row>
    <row r="64" spans="2:16" ht="14.25">
      <c r="F64" s="179"/>
      <c r="G64" s="198"/>
      <c r="N64" s="254"/>
    </row>
    <row r="65" spans="6:14" ht="14.25">
      <c r="F65" s="179"/>
      <c r="G65" s="198"/>
      <c r="N65" s="254"/>
    </row>
    <row r="66" spans="6:14" ht="14.25">
      <c r="F66" s="179"/>
      <c r="G66" s="198"/>
      <c r="N66" s="254"/>
    </row>
    <row r="67" spans="6:14" ht="14.25">
      <c r="F67" s="179"/>
      <c r="G67" s="198"/>
      <c r="N67" s="254"/>
    </row>
    <row r="68" spans="6:14" ht="14.25">
      <c r="F68" s="179"/>
      <c r="G68" s="198"/>
      <c r="N68" s="254"/>
    </row>
    <row r="69" spans="6:14" ht="14.25">
      <c r="F69" s="179"/>
      <c r="G69" s="198"/>
      <c r="N69" s="254"/>
    </row>
    <row r="70" spans="6:14" ht="14.25">
      <c r="F70" s="179"/>
      <c r="G70" s="198"/>
      <c r="N70" s="254"/>
    </row>
    <row r="71" spans="6:14" ht="14.25">
      <c r="F71" s="179"/>
      <c r="G71" s="198"/>
      <c r="N71" s="254"/>
    </row>
    <row r="72" spans="6:14" ht="14.25">
      <c r="F72" s="179"/>
      <c r="G72" s="198"/>
      <c r="N72" s="254"/>
    </row>
    <row r="73" spans="6:14" ht="14.25">
      <c r="F73" s="179"/>
      <c r="G73" s="198"/>
      <c r="N73" s="254"/>
    </row>
    <row r="74" spans="6:14" ht="14.25">
      <c r="F74" s="179"/>
      <c r="G74" s="179"/>
      <c r="N74" s="254"/>
    </row>
    <row r="75" spans="6:14" ht="14.25">
      <c r="F75" s="179"/>
      <c r="G75" s="179"/>
      <c r="N75" s="254"/>
    </row>
    <row r="76" spans="6:14" ht="14.25">
      <c r="F76" s="179"/>
      <c r="G76" s="179"/>
      <c r="N76" s="254"/>
    </row>
    <row r="77" spans="6:14" ht="14.25">
      <c r="F77" s="179"/>
      <c r="G77" s="179"/>
      <c r="N77" s="254"/>
    </row>
    <row r="78" spans="6:14" ht="14.25">
      <c r="F78" s="179"/>
      <c r="G78" s="179"/>
      <c r="N78" s="254"/>
    </row>
    <row r="79" spans="6:14" ht="14.25">
      <c r="F79" s="179"/>
      <c r="G79" s="179"/>
      <c r="N79" s="254"/>
    </row>
    <row r="80" spans="6:14" ht="14.25">
      <c r="F80" s="179"/>
      <c r="G80" s="179"/>
      <c r="N80" s="254"/>
    </row>
    <row r="81" spans="6:14" ht="14.25">
      <c r="F81" s="179"/>
      <c r="G81" s="179"/>
      <c r="N81" s="254"/>
    </row>
    <row r="82" spans="6:14" ht="14.25">
      <c r="F82" s="179"/>
      <c r="G82" s="179"/>
      <c r="N82" s="254"/>
    </row>
    <row r="83" spans="6:14" ht="14.25">
      <c r="F83" s="179"/>
      <c r="G83" s="179"/>
      <c r="N83" s="254"/>
    </row>
    <row r="84" spans="6:14" ht="14.25">
      <c r="F84" s="179"/>
      <c r="G84" s="179"/>
      <c r="N84" s="254"/>
    </row>
    <row r="85" spans="6:14" ht="14.25">
      <c r="F85" s="179"/>
      <c r="G85" s="179"/>
      <c r="N85" s="254"/>
    </row>
    <row r="86" spans="6:14" ht="14.25">
      <c r="F86" s="179"/>
      <c r="G86" s="179"/>
      <c r="N86" s="254"/>
    </row>
    <row r="87" spans="6:14" ht="14.25">
      <c r="F87" s="179"/>
      <c r="G87" s="179"/>
      <c r="N87" s="254"/>
    </row>
    <row r="88" spans="6:14" ht="14.25">
      <c r="F88" s="179"/>
      <c r="G88" s="179"/>
      <c r="N88" s="254"/>
    </row>
    <row r="89" spans="6:14" ht="14.25">
      <c r="F89" s="179"/>
      <c r="G89" s="179"/>
      <c r="N89" s="254"/>
    </row>
    <row r="90" spans="6:14" ht="14.25">
      <c r="F90" s="179"/>
      <c r="G90" s="179"/>
      <c r="N90" s="254"/>
    </row>
    <row r="91" spans="6:14">
      <c r="G91" s="179"/>
    </row>
    <row r="92" spans="6:14">
      <c r="G92" s="179"/>
    </row>
    <row r="93" spans="6:14">
      <c r="G93" s="179"/>
    </row>
    <row r="94" spans="6:14">
      <c r="G94" s="179"/>
    </row>
    <row r="95" spans="6:14">
      <c r="G95" s="179"/>
    </row>
    <row r="96" spans="6:14">
      <c r="G96" s="179"/>
    </row>
  </sheetData>
  <mergeCells count="14">
    <mergeCell ref="P4:P5"/>
    <mergeCell ref="B2:P2"/>
    <mergeCell ref="K4:K5"/>
    <mergeCell ref="O4:O5"/>
    <mergeCell ref="H4:H5"/>
    <mergeCell ref="L4:N4"/>
    <mergeCell ref="B4:B5"/>
    <mergeCell ref="C4:C5"/>
    <mergeCell ref="D4:D5"/>
    <mergeCell ref="G4:G5"/>
    <mergeCell ref="F4:F5"/>
    <mergeCell ref="I4:I5"/>
    <mergeCell ref="J4:J5"/>
    <mergeCell ref="E4:E5"/>
  </mergeCells>
  <phoneticPr fontId="2" type="noConversion"/>
  <pageMargins left="0.78740157480314965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24"/>
  <dimension ref="A1:R96"/>
  <sheetViews>
    <sheetView zoomScaleNormal="100" zoomScaleSheetLayoutView="100" workbookViewId="0">
      <selection activeCell="N33" sqref="N33"/>
    </sheetView>
  </sheetViews>
  <sheetFormatPr defaultColWidth="9.140625" defaultRowHeight="12.75"/>
  <cols>
    <col min="1" max="1" width="4.42578125" style="161" customWidth="1"/>
    <col min="2" max="2" width="4.7109375" style="9" customWidth="1"/>
    <col min="3" max="3" width="5.140625" style="9" customWidth="1"/>
    <col min="4" max="4" width="5" style="9" customWidth="1"/>
    <col min="5" max="5" width="5" style="161" customWidth="1"/>
    <col min="6" max="6" width="8.7109375" style="18" customWidth="1"/>
    <col min="7" max="7" width="8.7109375" style="166" customWidth="1"/>
    <col min="8" max="8" width="50.7109375" style="9" customWidth="1"/>
    <col min="9" max="10" width="14.7109375" style="9" customWidth="1"/>
    <col min="11" max="11" width="12.5703125" style="161" customWidth="1"/>
    <col min="12" max="13" width="14.7109375" style="161" customWidth="1"/>
    <col min="14" max="14" width="15.7109375" style="9" customWidth="1"/>
    <col min="15" max="16" width="7.7109375" style="214" customWidth="1"/>
    <col min="17" max="16384" width="9.140625" style="9"/>
  </cols>
  <sheetData>
    <row r="1" spans="1:18" ht="13.5" thickBot="1"/>
    <row r="2" spans="1:18" s="79" customFormat="1" ht="20.100000000000001" customHeight="1" thickTop="1" thickBot="1">
      <c r="A2" s="244"/>
      <c r="B2" s="1034" t="s">
        <v>665</v>
      </c>
      <c r="C2" s="1035"/>
      <c r="D2" s="1035"/>
      <c r="E2" s="1035"/>
      <c r="F2" s="1035"/>
      <c r="G2" s="1035"/>
      <c r="H2" s="1035"/>
      <c r="I2" s="1035"/>
      <c r="J2" s="1070"/>
      <c r="K2" s="1070"/>
      <c r="L2" s="1070"/>
      <c r="M2" s="1070"/>
      <c r="N2" s="1070"/>
      <c r="O2" s="1070"/>
      <c r="P2" s="1036"/>
      <c r="R2" s="244"/>
    </row>
    <row r="3" spans="1:18" s="1" customFormat="1" ht="8.1" customHeight="1" thickTop="1" thickBot="1">
      <c r="A3" s="158"/>
      <c r="E3" s="158"/>
      <c r="F3" s="2"/>
      <c r="G3" s="159"/>
      <c r="H3" s="1039"/>
      <c r="I3" s="1039"/>
      <c r="J3" s="139"/>
      <c r="K3" s="721"/>
      <c r="L3" s="74"/>
      <c r="M3" s="74"/>
      <c r="N3" s="74"/>
      <c r="O3" s="208"/>
      <c r="P3" s="208"/>
    </row>
    <row r="4" spans="1:18" s="1" customFormat="1" ht="39" customHeight="1">
      <c r="A4" s="158"/>
      <c r="B4" s="1043" t="s">
        <v>76</v>
      </c>
      <c r="C4" s="1045" t="s">
        <v>77</v>
      </c>
      <c r="D4" s="1047" t="s">
        <v>102</v>
      </c>
      <c r="E4" s="1062" t="s">
        <v>692</v>
      </c>
      <c r="F4" s="1058" t="s">
        <v>466</v>
      </c>
      <c r="G4" s="1048" t="s">
        <v>493</v>
      </c>
      <c r="H4" s="1050" t="s">
        <v>78</v>
      </c>
      <c r="I4" s="1059" t="s">
        <v>901</v>
      </c>
      <c r="J4" s="1068" t="s">
        <v>813</v>
      </c>
      <c r="K4" s="1037" t="s">
        <v>906</v>
      </c>
      <c r="L4" s="1040" t="s">
        <v>905</v>
      </c>
      <c r="M4" s="1041"/>
      <c r="N4" s="1042"/>
      <c r="O4" s="1054" t="s">
        <v>945</v>
      </c>
      <c r="P4" s="1032" t="s">
        <v>946</v>
      </c>
      <c r="R4" s="61"/>
    </row>
    <row r="5" spans="1:18" s="158" customFormat="1" ht="27" customHeight="1">
      <c r="B5" s="1044"/>
      <c r="C5" s="1046"/>
      <c r="D5" s="1046"/>
      <c r="E5" s="1049"/>
      <c r="F5" s="1051"/>
      <c r="G5" s="1049"/>
      <c r="H5" s="1051"/>
      <c r="I5" s="1051"/>
      <c r="J5" s="1051"/>
      <c r="K5" s="1038"/>
      <c r="L5" s="373" t="s">
        <v>526</v>
      </c>
      <c r="M5" s="242" t="s">
        <v>527</v>
      </c>
      <c r="N5" s="764" t="s">
        <v>319</v>
      </c>
      <c r="O5" s="1055"/>
      <c r="P5" s="1033"/>
    </row>
    <row r="6" spans="1:18" s="2" customFormat="1" ht="12.95" customHeight="1">
      <c r="A6" s="159"/>
      <c r="B6" s="328">
        <v>1</v>
      </c>
      <c r="C6" s="195">
        <v>2</v>
      </c>
      <c r="D6" s="195">
        <v>3</v>
      </c>
      <c r="E6" s="195">
        <v>4</v>
      </c>
      <c r="F6" s="195">
        <v>5</v>
      </c>
      <c r="G6" s="195">
        <v>6</v>
      </c>
      <c r="H6" s="195">
        <v>7</v>
      </c>
      <c r="I6" s="195">
        <v>8</v>
      </c>
      <c r="J6" s="195">
        <v>9</v>
      </c>
      <c r="K6" s="188">
        <v>10</v>
      </c>
      <c r="L6" s="328">
        <v>11</v>
      </c>
      <c r="M6" s="195">
        <v>12</v>
      </c>
      <c r="N6" s="810" t="s">
        <v>694</v>
      </c>
      <c r="O6" s="929" t="s">
        <v>814</v>
      </c>
      <c r="P6" s="930" t="s">
        <v>944</v>
      </c>
    </row>
    <row r="7" spans="1:18" s="2" customFormat="1" ht="12.95" customHeight="1">
      <c r="A7" s="159"/>
      <c r="B7" s="64" t="s">
        <v>126</v>
      </c>
      <c r="C7" s="65" t="s">
        <v>119</v>
      </c>
      <c r="D7" s="65" t="s">
        <v>113</v>
      </c>
      <c r="E7" s="416" t="s">
        <v>710</v>
      </c>
      <c r="F7" s="5"/>
      <c r="G7" s="160"/>
      <c r="H7" s="5"/>
      <c r="I7" s="366"/>
      <c r="J7" s="160"/>
      <c r="K7" s="173"/>
      <c r="L7" s="4"/>
      <c r="M7" s="160"/>
      <c r="N7" s="811"/>
      <c r="O7" s="951"/>
      <c r="P7" s="952"/>
    </row>
    <row r="8" spans="1:18" s="1" customFormat="1" ht="12.95" customHeight="1">
      <c r="A8" s="158"/>
      <c r="B8" s="12"/>
      <c r="C8" s="8"/>
      <c r="D8" s="8"/>
      <c r="E8" s="8"/>
      <c r="F8" s="176">
        <v>611000</v>
      </c>
      <c r="G8" s="195"/>
      <c r="H8" s="25" t="s">
        <v>140</v>
      </c>
      <c r="I8" s="236">
        <f t="shared" ref="I8:J8" si="0">SUM(I9:I12)</f>
        <v>1148230</v>
      </c>
      <c r="J8" s="236">
        <f t="shared" si="0"/>
        <v>1148230</v>
      </c>
      <c r="K8" s="226">
        <f>SUM(K9:K12)</f>
        <v>1034477</v>
      </c>
      <c r="L8" s="482">
        <f t="shared" ref="L8:N8" si="1">SUM(L9:L12)</f>
        <v>1133942</v>
      </c>
      <c r="M8" s="236">
        <f t="shared" si="1"/>
        <v>0</v>
      </c>
      <c r="N8" s="812">
        <f t="shared" si="1"/>
        <v>1133942</v>
      </c>
      <c r="O8" s="953">
        <f t="shared" ref="O8:O31" si="2">IF(J8=0,"",N8/J8*100)</f>
        <v>98.755650000435452</v>
      </c>
      <c r="P8" s="954">
        <f>IF(K8=0,"",N8/K8*100)</f>
        <v>109.6150035235196</v>
      </c>
    </row>
    <row r="9" spans="1:18" ht="12.95" customHeight="1">
      <c r="B9" s="10"/>
      <c r="C9" s="11"/>
      <c r="D9" s="11"/>
      <c r="E9" s="163"/>
      <c r="F9" s="177">
        <v>611100</v>
      </c>
      <c r="G9" s="196"/>
      <c r="H9" s="428" t="s">
        <v>161</v>
      </c>
      <c r="I9" s="237">
        <f>914830+2500+2*500</f>
        <v>918330</v>
      </c>
      <c r="J9" s="237">
        <f>914830+2500+2*500</f>
        <v>918330</v>
      </c>
      <c r="K9" s="224">
        <v>848338</v>
      </c>
      <c r="L9" s="360">
        <v>912868</v>
      </c>
      <c r="M9" s="237">
        <v>0</v>
      </c>
      <c r="N9" s="813">
        <f>SUM(L9:M9)</f>
        <v>912868</v>
      </c>
      <c r="O9" s="955">
        <f t="shared" si="2"/>
        <v>99.405224701360069</v>
      </c>
      <c r="P9" s="956">
        <f t="shared" ref="P9:P53" si="3">IF(K9=0,"",N9/K9*100)</f>
        <v>107.6066379202629</v>
      </c>
    </row>
    <row r="10" spans="1:18" ht="12.95" customHeight="1">
      <c r="B10" s="10"/>
      <c r="C10" s="11"/>
      <c r="D10" s="11"/>
      <c r="E10" s="163"/>
      <c r="F10" s="177">
        <v>611200</v>
      </c>
      <c r="G10" s="196"/>
      <c r="H10" s="24" t="s">
        <v>162</v>
      </c>
      <c r="I10" s="237">
        <f>189200+1200+5000+2*1150+46*700</f>
        <v>229900</v>
      </c>
      <c r="J10" s="237">
        <f>189200+1200+5000+2*1150+46*700</f>
        <v>229900</v>
      </c>
      <c r="K10" s="224">
        <v>186139</v>
      </c>
      <c r="L10" s="360">
        <v>221074</v>
      </c>
      <c r="M10" s="237">
        <v>0</v>
      </c>
      <c r="N10" s="813">
        <f t="shared" ref="N10:N11" si="4">SUM(L10:M10)</f>
        <v>221074</v>
      </c>
      <c r="O10" s="955">
        <f t="shared" si="2"/>
        <v>96.160939538929966</v>
      </c>
      <c r="P10" s="956">
        <f t="shared" si="3"/>
        <v>118.76823234249673</v>
      </c>
      <c r="R10" s="53"/>
    </row>
    <row r="11" spans="1:18" ht="12.95" customHeight="1">
      <c r="B11" s="10"/>
      <c r="C11" s="11"/>
      <c r="D11" s="11"/>
      <c r="E11" s="163"/>
      <c r="F11" s="177">
        <v>611200</v>
      </c>
      <c r="G11" s="196"/>
      <c r="H11" s="435" t="s">
        <v>434</v>
      </c>
      <c r="I11" s="235">
        <v>0</v>
      </c>
      <c r="J11" s="235">
        <v>0</v>
      </c>
      <c r="K11" s="225">
        <v>0</v>
      </c>
      <c r="L11" s="357">
        <v>0</v>
      </c>
      <c r="M11" s="235">
        <v>0</v>
      </c>
      <c r="N11" s="813">
        <f t="shared" si="4"/>
        <v>0</v>
      </c>
      <c r="O11" s="955" t="str">
        <f t="shared" si="2"/>
        <v/>
      </c>
      <c r="P11" s="956" t="str">
        <f t="shared" si="3"/>
        <v/>
      </c>
      <c r="R11" s="50"/>
    </row>
    <row r="12" spans="1:18" ht="12.95" customHeight="1">
      <c r="B12" s="10"/>
      <c r="C12" s="11"/>
      <c r="D12" s="11"/>
      <c r="E12" s="163"/>
      <c r="F12" s="177"/>
      <c r="G12" s="196"/>
      <c r="H12" s="428"/>
      <c r="I12" s="237"/>
      <c r="J12" s="237"/>
      <c r="K12" s="224"/>
      <c r="L12" s="360"/>
      <c r="M12" s="237"/>
      <c r="N12" s="813"/>
      <c r="O12" s="955" t="str">
        <f t="shared" si="2"/>
        <v/>
      </c>
      <c r="P12" s="956" t="str">
        <f t="shared" si="3"/>
        <v/>
      </c>
    </row>
    <row r="13" spans="1:18" s="1" customFormat="1" ht="12.95" customHeight="1">
      <c r="A13" s="158"/>
      <c r="B13" s="12"/>
      <c r="C13" s="8"/>
      <c r="D13" s="8"/>
      <c r="E13" s="8"/>
      <c r="F13" s="176">
        <v>612000</v>
      </c>
      <c r="G13" s="195"/>
      <c r="H13" s="25" t="s">
        <v>139</v>
      </c>
      <c r="I13" s="236">
        <f t="shared" ref="I13:J13" si="5">I14</f>
        <v>98690</v>
      </c>
      <c r="J13" s="236">
        <f t="shared" si="5"/>
        <v>98690</v>
      </c>
      <c r="K13" s="226">
        <f>K14</f>
        <v>89613</v>
      </c>
      <c r="L13" s="482">
        <f t="shared" ref="L13:N13" si="6">L14</f>
        <v>97713</v>
      </c>
      <c r="M13" s="236">
        <f t="shared" si="6"/>
        <v>0</v>
      </c>
      <c r="N13" s="812">
        <f t="shared" si="6"/>
        <v>97713</v>
      </c>
      <c r="O13" s="953">
        <f t="shared" si="2"/>
        <v>99.01003141149053</v>
      </c>
      <c r="P13" s="954">
        <f t="shared" si="3"/>
        <v>109.03886712865321</v>
      </c>
    </row>
    <row r="14" spans="1:18" ht="12.95" customHeight="1">
      <c r="B14" s="10"/>
      <c r="C14" s="11"/>
      <c r="D14" s="11"/>
      <c r="E14" s="163"/>
      <c r="F14" s="177">
        <v>612100</v>
      </c>
      <c r="G14" s="196"/>
      <c r="H14" s="430" t="s">
        <v>81</v>
      </c>
      <c r="I14" s="237">
        <f>97830+500+2*180</f>
        <v>98690</v>
      </c>
      <c r="J14" s="237">
        <f>97830+500+2*180</f>
        <v>98690</v>
      </c>
      <c r="K14" s="224">
        <v>89613</v>
      </c>
      <c r="L14" s="360">
        <v>97713</v>
      </c>
      <c r="M14" s="237">
        <v>0</v>
      </c>
      <c r="N14" s="813">
        <f>SUM(L14:M14)</f>
        <v>97713</v>
      </c>
      <c r="O14" s="955">
        <f t="shared" si="2"/>
        <v>99.01003141149053</v>
      </c>
      <c r="P14" s="956">
        <f t="shared" si="3"/>
        <v>109.03886712865321</v>
      </c>
    </row>
    <row r="15" spans="1:18" ht="12.95" customHeight="1">
      <c r="B15" s="10"/>
      <c r="C15" s="11"/>
      <c r="D15" s="11"/>
      <c r="E15" s="163"/>
      <c r="F15" s="177"/>
      <c r="G15" s="196"/>
      <c r="H15" s="24"/>
      <c r="I15" s="233"/>
      <c r="J15" s="233"/>
      <c r="K15" s="222"/>
      <c r="L15" s="359"/>
      <c r="M15" s="233"/>
      <c r="N15" s="776"/>
      <c r="O15" s="955" t="str">
        <f t="shared" si="2"/>
        <v/>
      </c>
      <c r="P15" s="956" t="str">
        <f t="shared" si="3"/>
        <v/>
      </c>
    </row>
    <row r="16" spans="1:18" s="1" customFormat="1" ht="12.95" customHeight="1">
      <c r="A16" s="158"/>
      <c r="B16" s="12"/>
      <c r="C16" s="8"/>
      <c r="D16" s="8"/>
      <c r="E16" s="8"/>
      <c r="F16" s="176">
        <v>613000</v>
      </c>
      <c r="G16" s="195"/>
      <c r="H16" s="25" t="s">
        <v>141</v>
      </c>
      <c r="I16" s="234">
        <f t="shared" ref="I16:J16" si="7">SUM(I17:I26)</f>
        <v>197000</v>
      </c>
      <c r="J16" s="234">
        <f t="shared" si="7"/>
        <v>197000</v>
      </c>
      <c r="K16" s="221">
        <f>SUM(K17:K26)</f>
        <v>165506</v>
      </c>
      <c r="L16" s="483">
        <f t="shared" ref="L16:N16" si="8">SUM(L17:L26)</f>
        <v>158086</v>
      </c>
      <c r="M16" s="234">
        <f t="shared" si="8"/>
        <v>0</v>
      </c>
      <c r="N16" s="774">
        <f t="shared" si="8"/>
        <v>158086</v>
      </c>
      <c r="O16" s="953">
        <f t="shared" si="2"/>
        <v>80.246700507614207</v>
      </c>
      <c r="P16" s="954">
        <f t="shared" si="3"/>
        <v>95.516778847896759</v>
      </c>
    </row>
    <row r="17" spans="1:17" ht="12.95" customHeight="1">
      <c r="B17" s="10"/>
      <c r="C17" s="11"/>
      <c r="D17" s="11"/>
      <c r="E17" s="163"/>
      <c r="F17" s="177">
        <v>613100</v>
      </c>
      <c r="G17" s="196"/>
      <c r="H17" s="24" t="s">
        <v>82</v>
      </c>
      <c r="I17" s="237">
        <v>7000</v>
      </c>
      <c r="J17" s="237">
        <v>7000</v>
      </c>
      <c r="K17" s="224">
        <v>2453</v>
      </c>
      <c r="L17" s="360">
        <v>6751</v>
      </c>
      <c r="M17" s="237">
        <v>0</v>
      </c>
      <c r="N17" s="813">
        <f t="shared" ref="N17:N26" si="9">SUM(L17:M17)</f>
        <v>6751</v>
      </c>
      <c r="O17" s="955">
        <f t="shared" si="2"/>
        <v>96.442857142857136</v>
      </c>
      <c r="P17" s="956">
        <f t="shared" si="3"/>
        <v>275.21402364451689</v>
      </c>
    </row>
    <row r="18" spans="1:17" ht="12.95" customHeight="1">
      <c r="B18" s="10"/>
      <c r="C18" s="11"/>
      <c r="D18" s="11"/>
      <c r="E18" s="163"/>
      <c r="F18" s="177">
        <v>613200</v>
      </c>
      <c r="G18" s="196"/>
      <c r="H18" s="24" t="s">
        <v>83</v>
      </c>
      <c r="I18" s="237">
        <v>100000</v>
      </c>
      <c r="J18" s="237">
        <v>96800</v>
      </c>
      <c r="K18" s="224">
        <v>88132</v>
      </c>
      <c r="L18" s="359">
        <v>58138</v>
      </c>
      <c r="M18" s="233">
        <v>0</v>
      </c>
      <c r="N18" s="813">
        <f t="shared" si="9"/>
        <v>58138</v>
      </c>
      <c r="O18" s="955">
        <f t="shared" si="2"/>
        <v>60.059917355371908</v>
      </c>
      <c r="P18" s="956">
        <f t="shared" si="3"/>
        <v>65.966958652929691</v>
      </c>
    </row>
    <row r="19" spans="1:17" ht="12.95" customHeight="1">
      <c r="B19" s="10"/>
      <c r="C19" s="11"/>
      <c r="D19" s="11"/>
      <c r="E19" s="163"/>
      <c r="F19" s="177">
        <v>613300</v>
      </c>
      <c r="G19" s="196"/>
      <c r="H19" s="428" t="s">
        <v>163</v>
      </c>
      <c r="I19" s="237">
        <v>15000</v>
      </c>
      <c r="J19" s="237">
        <v>15200</v>
      </c>
      <c r="K19" s="224">
        <v>11899</v>
      </c>
      <c r="L19" s="360">
        <v>15180</v>
      </c>
      <c r="M19" s="237">
        <v>0</v>
      </c>
      <c r="N19" s="813">
        <f t="shared" si="9"/>
        <v>15180</v>
      </c>
      <c r="O19" s="955">
        <f t="shared" si="2"/>
        <v>99.868421052631589</v>
      </c>
      <c r="P19" s="956">
        <f t="shared" si="3"/>
        <v>127.57374569291538</v>
      </c>
    </row>
    <row r="20" spans="1:17" ht="12.95" customHeight="1">
      <c r="B20" s="10"/>
      <c r="C20" s="11"/>
      <c r="D20" s="11"/>
      <c r="E20" s="163"/>
      <c r="F20" s="177">
        <v>613400</v>
      </c>
      <c r="G20" s="196"/>
      <c r="H20" s="24" t="s">
        <v>142</v>
      </c>
      <c r="I20" s="237">
        <v>24000</v>
      </c>
      <c r="J20" s="237">
        <v>24000</v>
      </c>
      <c r="K20" s="224">
        <v>20400</v>
      </c>
      <c r="L20" s="360">
        <v>22835</v>
      </c>
      <c r="M20" s="237">
        <v>0</v>
      </c>
      <c r="N20" s="813">
        <f t="shared" si="9"/>
        <v>22835</v>
      </c>
      <c r="O20" s="955">
        <f t="shared" si="2"/>
        <v>95.145833333333329</v>
      </c>
      <c r="P20" s="956">
        <f t="shared" si="3"/>
        <v>111.93627450980392</v>
      </c>
    </row>
    <row r="21" spans="1:17" ht="12.95" customHeight="1">
      <c r="B21" s="10"/>
      <c r="C21" s="11"/>
      <c r="D21" s="11"/>
      <c r="E21" s="163"/>
      <c r="F21" s="177">
        <v>613500</v>
      </c>
      <c r="G21" s="196"/>
      <c r="H21" s="24" t="s">
        <v>84</v>
      </c>
      <c r="I21" s="237">
        <v>500</v>
      </c>
      <c r="J21" s="237">
        <v>500</v>
      </c>
      <c r="K21" s="224">
        <v>301</v>
      </c>
      <c r="L21" s="360">
        <v>470</v>
      </c>
      <c r="M21" s="237">
        <v>0</v>
      </c>
      <c r="N21" s="813">
        <f t="shared" si="9"/>
        <v>470</v>
      </c>
      <c r="O21" s="955">
        <f t="shared" si="2"/>
        <v>94</v>
      </c>
      <c r="P21" s="956">
        <f t="shared" si="3"/>
        <v>156.14617940199335</v>
      </c>
    </row>
    <row r="22" spans="1:17" ht="12.95" customHeight="1">
      <c r="B22" s="10"/>
      <c r="C22" s="11"/>
      <c r="D22" s="11"/>
      <c r="E22" s="163"/>
      <c r="F22" s="177">
        <v>613600</v>
      </c>
      <c r="G22" s="196"/>
      <c r="H22" s="428" t="s">
        <v>164</v>
      </c>
      <c r="I22" s="237">
        <v>0</v>
      </c>
      <c r="J22" s="237">
        <v>0</v>
      </c>
      <c r="K22" s="224">
        <v>0</v>
      </c>
      <c r="L22" s="360">
        <v>0</v>
      </c>
      <c r="M22" s="237">
        <v>0</v>
      </c>
      <c r="N22" s="813">
        <f t="shared" si="9"/>
        <v>0</v>
      </c>
      <c r="O22" s="955" t="str">
        <f t="shared" si="2"/>
        <v/>
      </c>
      <c r="P22" s="956" t="str">
        <f t="shared" si="3"/>
        <v/>
      </c>
    </row>
    <row r="23" spans="1:17" ht="12.95" customHeight="1">
      <c r="B23" s="10"/>
      <c r="C23" s="11"/>
      <c r="D23" s="11"/>
      <c r="E23" s="163"/>
      <c r="F23" s="177">
        <v>613700</v>
      </c>
      <c r="G23" s="196"/>
      <c r="H23" s="24" t="s">
        <v>85</v>
      </c>
      <c r="I23" s="237">
        <v>28000</v>
      </c>
      <c r="J23" s="237">
        <v>31000</v>
      </c>
      <c r="K23" s="224">
        <v>27869</v>
      </c>
      <c r="L23" s="360">
        <v>30227</v>
      </c>
      <c r="M23" s="237">
        <v>0</v>
      </c>
      <c r="N23" s="813">
        <f t="shared" si="9"/>
        <v>30227</v>
      </c>
      <c r="O23" s="955">
        <f t="shared" si="2"/>
        <v>97.50645161290322</v>
      </c>
      <c r="P23" s="956">
        <f t="shared" si="3"/>
        <v>108.46101402992572</v>
      </c>
    </row>
    <row r="24" spans="1:17" ht="12.95" customHeight="1">
      <c r="B24" s="10"/>
      <c r="C24" s="11"/>
      <c r="D24" s="11"/>
      <c r="E24" s="163"/>
      <c r="F24" s="177">
        <v>613800</v>
      </c>
      <c r="G24" s="196"/>
      <c r="H24" s="24" t="s">
        <v>143</v>
      </c>
      <c r="I24" s="237">
        <v>0</v>
      </c>
      <c r="J24" s="237">
        <v>0</v>
      </c>
      <c r="K24" s="224">
        <v>0</v>
      </c>
      <c r="L24" s="360">
        <v>0</v>
      </c>
      <c r="M24" s="237">
        <v>0</v>
      </c>
      <c r="N24" s="813">
        <f t="shared" si="9"/>
        <v>0</v>
      </c>
      <c r="O24" s="955" t="str">
        <f t="shared" si="2"/>
        <v/>
      </c>
      <c r="P24" s="956" t="str">
        <f t="shared" si="3"/>
        <v/>
      </c>
    </row>
    <row r="25" spans="1:17" ht="12.95" customHeight="1">
      <c r="B25" s="10"/>
      <c r="C25" s="11"/>
      <c r="D25" s="11"/>
      <c r="E25" s="163"/>
      <c r="F25" s="177">
        <v>613900</v>
      </c>
      <c r="G25" s="196"/>
      <c r="H25" s="24" t="s">
        <v>144</v>
      </c>
      <c r="I25" s="237">
        <v>22500</v>
      </c>
      <c r="J25" s="237">
        <v>22500</v>
      </c>
      <c r="K25" s="224">
        <v>14452</v>
      </c>
      <c r="L25" s="360">
        <v>24485</v>
      </c>
      <c r="M25" s="237">
        <v>0</v>
      </c>
      <c r="N25" s="813">
        <f t="shared" si="9"/>
        <v>24485</v>
      </c>
      <c r="O25" s="955">
        <f t="shared" si="2"/>
        <v>108.82222222222222</v>
      </c>
      <c r="P25" s="956">
        <f t="shared" si="3"/>
        <v>169.42291724328814</v>
      </c>
    </row>
    <row r="26" spans="1:17" ht="12.95" customHeight="1">
      <c r="B26" s="10"/>
      <c r="C26" s="11"/>
      <c r="D26" s="11"/>
      <c r="E26" s="163"/>
      <c r="F26" s="177">
        <v>613900</v>
      </c>
      <c r="G26" s="196"/>
      <c r="H26" s="435" t="s">
        <v>435</v>
      </c>
      <c r="I26" s="230">
        <v>0</v>
      </c>
      <c r="J26" s="230">
        <v>0</v>
      </c>
      <c r="K26" s="487">
        <v>0</v>
      </c>
      <c r="L26" s="361">
        <v>0</v>
      </c>
      <c r="M26" s="230">
        <v>0</v>
      </c>
      <c r="N26" s="813">
        <f t="shared" si="9"/>
        <v>0</v>
      </c>
      <c r="O26" s="955" t="str">
        <f t="shared" si="2"/>
        <v/>
      </c>
      <c r="P26" s="956" t="str">
        <f t="shared" si="3"/>
        <v/>
      </c>
    </row>
    <row r="27" spans="1:17" s="1" customFormat="1" ht="12.95" customHeight="1">
      <c r="A27" s="158"/>
      <c r="B27" s="12"/>
      <c r="C27" s="8"/>
      <c r="D27" s="8"/>
      <c r="E27" s="8"/>
      <c r="F27" s="176"/>
      <c r="G27" s="195"/>
      <c r="H27" s="25"/>
      <c r="I27" s="237"/>
      <c r="J27" s="237"/>
      <c r="K27" s="224"/>
      <c r="L27" s="360"/>
      <c r="M27" s="237"/>
      <c r="N27" s="776"/>
      <c r="O27" s="955" t="str">
        <f t="shared" si="2"/>
        <v/>
      </c>
      <c r="P27" s="956" t="str">
        <f t="shared" si="3"/>
        <v/>
      </c>
    </row>
    <row r="28" spans="1:17" s="1" customFormat="1" ht="12.95" customHeight="1">
      <c r="A28" s="158"/>
      <c r="B28" s="12"/>
      <c r="C28" s="8"/>
      <c r="D28" s="8"/>
      <c r="E28" s="8"/>
      <c r="F28" s="176">
        <v>821000</v>
      </c>
      <c r="G28" s="195"/>
      <c r="H28" s="25" t="s">
        <v>88</v>
      </c>
      <c r="I28" s="236">
        <f t="shared" ref="I28:J28" si="10">SUM(I29:I30)</f>
        <v>47060</v>
      </c>
      <c r="J28" s="236">
        <f t="shared" si="10"/>
        <v>47060</v>
      </c>
      <c r="K28" s="226">
        <f>SUM(K29:K30)</f>
        <v>33588</v>
      </c>
      <c r="L28" s="482">
        <f t="shared" ref="L28:N28" si="11">SUM(L29:L30)</f>
        <v>39596</v>
      </c>
      <c r="M28" s="236">
        <f t="shared" si="11"/>
        <v>7055</v>
      </c>
      <c r="N28" s="774">
        <f t="shared" si="11"/>
        <v>46651</v>
      </c>
      <c r="O28" s="953">
        <f t="shared" si="2"/>
        <v>99.130896727581813</v>
      </c>
      <c r="P28" s="954">
        <f t="shared" si="3"/>
        <v>138.89186614266998</v>
      </c>
    </row>
    <row r="29" spans="1:17" ht="12.95" customHeight="1">
      <c r="B29" s="10"/>
      <c r="C29" s="11"/>
      <c r="D29" s="11"/>
      <c r="E29" s="163"/>
      <c r="F29" s="180">
        <v>821200</v>
      </c>
      <c r="G29" s="199"/>
      <c r="H29" s="431" t="s">
        <v>89</v>
      </c>
      <c r="I29" s="237">
        <v>17060</v>
      </c>
      <c r="J29" s="237">
        <v>17060</v>
      </c>
      <c r="K29" s="224">
        <v>18603</v>
      </c>
      <c r="L29" s="360">
        <f>16946-7055</f>
        <v>9891</v>
      </c>
      <c r="M29" s="237">
        <v>7055</v>
      </c>
      <c r="N29" s="813">
        <f t="shared" ref="N29:N30" si="12">SUM(L29:M29)</f>
        <v>16946</v>
      </c>
      <c r="O29" s="955">
        <f t="shared" si="2"/>
        <v>99.331770222743259</v>
      </c>
      <c r="P29" s="956">
        <f t="shared" si="3"/>
        <v>91.092834489060905</v>
      </c>
      <c r="Q29" s="45"/>
    </row>
    <row r="30" spans="1:17" ht="12.95" customHeight="1">
      <c r="B30" s="10"/>
      <c r="C30" s="11"/>
      <c r="D30" s="11"/>
      <c r="E30" s="163"/>
      <c r="F30" s="177">
        <v>821300</v>
      </c>
      <c r="G30" s="196"/>
      <c r="H30" s="24" t="s">
        <v>90</v>
      </c>
      <c r="I30" s="237">
        <v>30000</v>
      </c>
      <c r="J30" s="237">
        <v>30000</v>
      </c>
      <c r="K30" s="224">
        <v>14985</v>
      </c>
      <c r="L30" s="360">
        <v>29705</v>
      </c>
      <c r="M30" s="237">
        <v>0</v>
      </c>
      <c r="N30" s="813">
        <f t="shared" si="12"/>
        <v>29705</v>
      </c>
      <c r="O30" s="955">
        <f t="shared" si="2"/>
        <v>99.016666666666666</v>
      </c>
      <c r="P30" s="956">
        <f t="shared" si="3"/>
        <v>198.23156489823157</v>
      </c>
    </row>
    <row r="31" spans="1:17" ht="12.95" customHeight="1">
      <c r="B31" s="10"/>
      <c r="C31" s="11"/>
      <c r="D31" s="11"/>
      <c r="E31" s="163"/>
      <c r="F31" s="177"/>
      <c r="G31" s="196"/>
      <c r="H31" s="24"/>
      <c r="I31" s="237"/>
      <c r="J31" s="237"/>
      <c r="K31" s="224"/>
      <c r="L31" s="360"/>
      <c r="M31" s="237"/>
      <c r="N31" s="776"/>
      <c r="O31" s="955" t="str">
        <f t="shared" si="2"/>
        <v/>
      </c>
      <c r="P31" s="956" t="str">
        <f t="shared" si="3"/>
        <v/>
      </c>
    </row>
    <row r="32" spans="1:17" s="1" customFormat="1" ht="12.95" customHeight="1">
      <c r="A32" s="158"/>
      <c r="B32" s="12"/>
      <c r="C32" s="8"/>
      <c r="D32" s="8"/>
      <c r="E32" s="8"/>
      <c r="F32" s="176"/>
      <c r="G32" s="195"/>
      <c r="H32" s="25" t="s">
        <v>91</v>
      </c>
      <c r="I32" s="377" t="s">
        <v>850</v>
      </c>
      <c r="J32" s="377" t="s">
        <v>850</v>
      </c>
      <c r="K32" s="486" t="s">
        <v>932</v>
      </c>
      <c r="L32" s="485">
        <v>46</v>
      </c>
      <c r="M32" s="394"/>
      <c r="N32" s="767">
        <v>46</v>
      </c>
      <c r="O32" s="955"/>
      <c r="P32" s="956"/>
    </row>
    <row r="33" spans="1:16" s="1" customFormat="1" ht="12.95" customHeight="1">
      <c r="A33" s="158"/>
      <c r="B33" s="12"/>
      <c r="C33" s="8"/>
      <c r="D33" s="8"/>
      <c r="E33" s="8"/>
      <c r="F33" s="176"/>
      <c r="G33" s="195"/>
      <c r="H33" s="8" t="s">
        <v>105</v>
      </c>
      <c r="I33" s="367">
        <f t="shared" ref="I33:K33" si="13">I8+I13+I16+I28</f>
        <v>1490980</v>
      </c>
      <c r="J33" s="165">
        <f t="shared" si="13"/>
        <v>1490980</v>
      </c>
      <c r="K33" s="153">
        <f t="shared" si="13"/>
        <v>1323184</v>
      </c>
      <c r="L33" s="370">
        <f>L8+L13+L16+L28</f>
        <v>1429337</v>
      </c>
      <c r="M33" s="165">
        <f>M8+M13+M16+M28</f>
        <v>7055</v>
      </c>
      <c r="N33" s="774">
        <f>N8+N13+N16+N28</f>
        <v>1436392</v>
      </c>
      <c r="O33" s="953">
        <f>IF(J33=0,"",N33/J33*100)</f>
        <v>96.338783887107809</v>
      </c>
      <c r="P33" s="954">
        <f t="shared" si="3"/>
        <v>108.55572618774107</v>
      </c>
    </row>
    <row r="34" spans="1:16" s="1" customFormat="1" ht="12.95" customHeight="1">
      <c r="A34" s="158"/>
      <c r="B34" s="12"/>
      <c r="C34" s="8"/>
      <c r="D34" s="8"/>
      <c r="E34" s="8"/>
      <c r="F34" s="176"/>
      <c r="G34" s="195"/>
      <c r="H34" s="8" t="s">
        <v>92</v>
      </c>
      <c r="I34" s="15"/>
      <c r="J34" s="15"/>
      <c r="K34" s="153"/>
      <c r="L34" s="370"/>
      <c r="M34" s="165"/>
      <c r="N34" s="774"/>
      <c r="O34" s="955" t="str">
        <f>IF(J34=0,"",N34/J34*100)</f>
        <v/>
      </c>
      <c r="P34" s="956" t="str">
        <f t="shared" si="3"/>
        <v/>
      </c>
    </row>
    <row r="35" spans="1:16" s="1" customFormat="1" ht="12.95" customHeight="1">
      <c r="A35" s="158"/>
      <c r="B35" s="12"/>
      <c r="C35" s="8"/>
      <c r="D35" s="8"/>
      <c r="E35" s="8"/>
      <c r="F35" s="176"/>
      <c r="G35" s="195"/>
      <c r="H35" s="8" t="s">
        <v>93</v>
      </c>
      <c r="I35" s="29"/>
      <c r="J35" s="29"/>
      <c r="K35" s="148"/>
      <c r="L35" s="369"/>
      <c r="M35" s="156"/>
      <c r="N35" s="776"/>
      <c r="O35" s="955" t="str">
        <f>IF(J35=0,"",N35/J35*100)</f>
        <v/>
      </c>
      <c r="P35" s="956" t="str">
        <f t="shared" si="3"/>
        <v/>
      </c>
    </row>
    <row r="36" spans="1:16" ht="12.95" customHeight="1" thickBot="1">
      <c r="B36" s="16"/>
      <c r="C36" s="17"/>
      <c r="D36" s="17"/>
      <c r="E36" s="17"/>
      <c r="F36" s="178"/>
      <c r="G36" s="197"/>
      <c r="H36" s="17"/>
      <c r="I36" s="31"/>
      <c r="J36" s="31"/>
      <c r="K36" s="725"/>
      <c r="L36" s="371"/>
      <c r="M36" s="31"/>
      <c r="N36" s="814"/>
      <c r="O36" s="957"/>
      <c r="P36" s="958" t="str">
        <f t="shared" si="3"/>
        <v/>
      </c>
    </row>
    <row r="37" spans="1:16" ht="12.95" customHeight="1">
      <c r="F37" s="179"/>
      <c r="G37" s="198"/>
      <c r="L37" s="399"/>
      <c r="N37" s="253"/>
      <c r="P37" s="214" t="str">
        <f t="shared" si="3"/>
        <v/>
      </c>
    </row>
    <row r="38" spans="1:16" ht="12.95" customHeight="1">
      <c r="B38" s="45"/>
      <c r="F38" s="179"/>
      <c r="G38" s="198"/>
      <c r="N38" s="253"/>
      <c r="P38" s="214" t="str">
        <f t="shared" si="3"/>
        <v/>
      </c>
    </row>
    <row r="39" spans="1:16" ht="12.95" customHeight="1">
      <c r="B39" s="45"/>
      <c r="F39" s="179"/>
      <c r="G39" s="198"/>
      <c r="N39" s="253"/>
      <c r="P39" s="214" t="str">
        <f t="shared" si="3"/>
        <v/>
      </c>
    </row>
    <row r="40" spans="1:16" ht="12.95" customHeight="1">
      <c r="B40" s="45"/>
      <c r="F40" s="179"/>
      <c r="G40" s="198"/>
      <c r="N40" s="253"/>
      <c r="P40" s="214" t="str">
        <f t="shared" si="3"/>
        <v/>
      </c>
    </row>
    <row r="41" spans="1:16" ht="12.95" customHeight="1">
      <c r="B41" s="45"/>
      <c r="F41" s="179"/>
      <c r="G41" s="198"/>
      <c r="N41" s="253"/>
      <c r="P41" s="214" t="str">
        <f t="shared" si="3"/>
        <v/>
      </c>
    </row>
    <row r="42" spans="1:16" ht="12.95" customHeight="1">
      <c r="B42" s="45"/>
      <c r="F42" s="179"/>
      <c r="G42" s="198"/>
      <c r="N42" s="253"/>
      <c r="P42" s="214" t="str">
        <f t="shared" si="3"/>
        <v/>
      </c>
    </row>
    <row r="43" spans="1:16" ht="12.95" customHeight="1">
      <c r="F43" s="179"/>
      <c r="G43" s="198"/>
      <c r="N43" s="253"/>
      <c r="P43" s="214" t="str">
        <f t="shared" si="3"/>
        <v/>
      </c>
    </row>
    <row r="44" spans="1:16" ht="12.95" customHeight="1">
      <c r="F44" s="179"/>
      <c r="G44" s="198"/>
      <c r="N44" s="253"/>
      <c r="P44" s="214" t="str">
        <f t="shared" si="3"/>
        <v/>
      </c>
    </row>
    <row r="45" spans="1:16" ht="12.95" customHeight="1">
      <c r="F45" s="179"/>
      <c r="G45" s="198"/>
      <c r="N45" s="253"/>
      <c r="P45" s="214" t="str">
        <f t="shared" si="3"/>
        <v/>
      </c>
    </row>
    <row r="46" spans="1:16" ht="12.95" customHeight="1">
      <c r="F46" s="179"/>
      <c r="G46" s="198"/>
      <c r="N46" s="253"/>
      <c r="P46" s="214" t="str">
        <f t="shared" si="3"/>
        <v/>
      </c>
    </row>
    <row r="47" spans="1:16" ht="12.95" customHeight="1">
      <c r="F47" s="179"/>
      <c r="G47" s="198"/>
      <c r="N47" s="253"/>
      <c r="P47" s="214" t="str">
        <f t="shared" si="3"/>
        <v/>
      </c>
    </row>
    <row r="48" spans="1:16" ht="12.95" customHeight="1">
      <c r="F48" s="179"/>
      <c r="G48" s="198"/>
      <c r="N48" s="253"/>
      <c r="P48" s="214" t="str">
        <f t="shared" si="3"/>
        <v/>
      </c>
    </row>
    <row r="49" spans="6:16" ht="12.95" customHeight="1">
      <c r="F49" s="179"/>
      <c r="G49" s="198"/>
      <c r="N49" s="253"/>
      <c r="P49" s="214" t="str">
        <f t="shared" si="3"/>
        <v/>
      </c>
    </row>
    <row r="50" spans="6:16" ht="12.95" customHeight="1">
      <c r="F50" s="179"/>
      <c r="G50" s="198"/>
      <c r="N50" s="253"/>
      <c r="P50" s="214" t="str">
        <f t="shared" si="3"/>
        <v/>
      </c>
    </row>
    <row r="51" spans="6:16" ht="12.95" customHeight="1">
      <c r="F51" s="179"/>
      <c r="G51" s="198"/>
      <c r="N51" s="253"/>
      <c r="P51" s="214" t="str">
        <f t="shared" si="3"/>
        <v/>
      </c>
    </row>
    <row r="52" spans="6:16" ht="12.95" customHeight="1">
      <c r="F52" s="179"/>
      <c r="G52" s="198"/>
      <c r="N52" s="253"/>
      <c r="P52" s="214" t="str">
        <f t="shared" si="3"/>
        <v/>
      </c>
    </row>
    <row r="53" spans="6:16" ht="12.95" customHeight="1">
      <c r="F53" s="179"/>
      <c r="G53" s="198"/>
      <c r="N53" s="253"/>
      <c r="P53" s="214" t="str">
        <f t="shared" si="3"/>
        <v/>
      </c>
    </row>
    <row r="54" spans="6:16" ht="12.95" customHeight="1">
      <c r="F54" s="179"/>
      <c r="G54" s="198"/>
      <c r="N54" s="253"/>
    </row>
    <row r="55" spans="6:16" ht="12.95" customHeight="1">
      <c r="F55" s="179"/>
      <c r="G55" s="198"/>
      <c r="N55" s="253"/>
    </row>
    <row r="56" spans="6:16" ht="12.95" customHeight="1">
      <c r="F56" s="179"/>
      <c r="G56" s="198"/>
      <c r="N56" s="253"/>
    </row>
    <row r="57" spans="6:16" ht="12.95" customHeight="1">
      <c r="F57" s="179"/>
      <c r="G57" s="198"/>
      <c r="N57" s="253"/>
    </row>
    <row r="58" spans="6:16" ht="12.95" customHeight="1">
      <c r="F58" s="179"/>
      <c r="G58" s="198"/>
      <c r="N58" s="253"/>
    </row>
    <row r="59" spans="6:16" ht="12.95" customHeight="1">
      <c r="F59" s="179"/>
      <c r="G59" s="198"/>
      <c r="N59" s="253"/>
    </row>
    <row r="60" spans="6:16" ht="17.100000000000001" customHeight="1">
      <c r="F60" s="179"/>
      <c r="G60" s="198"/>
      <c r="N60" s="253"/>
    </row>
    <row r="61" spans="6:16" ht="14.25">
      <c r="F61" s="179"/>
      <c r="G61" s="198"/>
      <c r="N61" s="253"/>
    </row>
    <row r="62" spans="6:16" ht="14.25">
      <c r="F62" s="179"/>
      <c r="G62" s="198"/>
      <c r="N62" s="253"/>
    </row>
    <row r="63" spans="6:16" ht="14.25">
      <c r="F63" s="179"/>
      <c r="G63" s="198"/>
      <c r="N63" s="253"/>
    </row>
    <row r="64" spans="6:16" ht="14.25">
      <c r="F64" s="179"/>
      <c r="G64" s="198"/>
      <c r="N64" s="253"/>
    </row>
    <row r="65" spans="6:14" ht="14.25">
      <c r="F65" s="179"/>
      <c r="G65" s="198"/>
      <c r="N65" s="253"/>
    </row>
    <row r="66" spans="6:14" ht="14.25">
      <c r="F66" s="179"/>
      <c r="G66" s="198"/>
      <c r="N66" s="253"/>
    </row>
    <row r="67" spans="6:14" ht="14.25">
      <c r="F67" s="179"/>
      <c r="G67" s="198"/>
      <c r="N67" s="253"/>
    </row>
    <row r="68" spans="6:14" ht="14.25">
      <c r="F68" s="179"/>
      <c r="G68" s="198"/>
      <c r="N68" s="253"/>
    </row>
    <row r="69" spans="6:14" ht="14.25">
      <c r="F69" s="179"/>
      <c r="G69" s="198"/>
      <c r="N69" s="253"/>
    </row>
    <row r="70" spans="6:14" ht="14.25">
      <c r="F70" s="179"/>
      <c r="G70" s="198"/>
      <c r="N70" s="253"/>
    </row>
    <row r="71" spans="6:14" ht="14.25">
      <c r="F71" s="179"/>
      <c r="G71" s="198"/>
      <c r="N71" s="253"/>
    </row>
    <row r="72" spans="6:14" ht="14.25">
      <c r="F72" s="179"/>
      <c r="G72" s="198"/>
      <c r="N72" s="253"/>
    </row>
    <row r="73" spans="6:14" ht="14.25">
      <c r="F73" s="179"/>
      <c r="G73" s="198"/>
      <c r="N73" s="253"/>
    </row>
    <row r="74" spans="6:14" ht="14.25">
      <c r="F74" s="179"/>
      <c r="G74" s="179"/>
      <c r="N74" s="253"/>
    </row>
    <row r="75" spans="6:14" ht="14.25">
      <c r="F75" s="179"/>
      <c r="G75" s="179"/>
      <c r="N75" s="253"/>
    </row>
    <row r="76" spans="6:14" ht="14.25">
      <c r="F76" s="179"/>
      <c r="G76" s="179"/>
      <c r="N76" s="253"/>
    </row>
    <row r="77" spans="6:14" ht="14.25">
      <c r="F77" s="179"/>
      <c r="G77" s="179"/>
      <c r="N77" s="253"/>
    </row>
    <row r="78" spans="6:14" ht="14.25">
      <c r="F78" s="179"/>
      <c r="G78" s="179"/>
      <c r="N78" s="253"/>
    </row>
    <row r="79" spans="6:14" ht="14.25">
      <c r="F79" s="179"/>
      <c r="G79" s="179"/>
      <c r="N79" s="253"/>
    </row>
    <row r="80" spans="6:14" ht="14.25">
      <c r="F80" s="179"/>
      <c r="G80" s="179"/>
      <c r="N80" s="253"/>
    </row>
    <row r="81" spans="6:14" ht="14.25">
      <c r="F81" s="179"/>
      <c r="G81" s="179"/>
      <c r="N81" s="253"/>
    </row>
    <row r="82" spans="6:14" ht="14.25">
      <c r="F82" s="179"/>
      <c r="G82" s="179"/>
      <c r="N82" s="253"/>
    </row>
    <row r="83" spans="6:14" ht="14.25">
      <c r="F83" s="179"/>
      <c r="G83" s="179"/>
      <c r="N83" s="253"/>
    </row>
    <row r="84" spans="6:14" ht="14.25">
      <c r="F84" s="179"/>
      <c r="G84" s="179"/>
      <c r="N84" s="253"/>
    </row>
    <row r="85" spans="6:14" ht="14.25">
      <c r="F85" s="179"/>
      <c r="G85" s="179"/>
      <c r="N85" s="253"/>
    </row>
    <row r="86" spans="6:14" ht="14.25">
      <c r="F86" s="179"/>
      <c r="G86" s="179"/>
      <c r="N86" s="253"/>
    </row>
    <row r="87" spans="6:14" ht="14.25">
      <c r="F87" s="179"/>
      <c r="G87" s="179"/>
      <c r="N87" s="253"/>
    </row>
    <row r="88" spans="6:14" ht="14.25">
      <c r="F88" s="179"/>
      <c r="G88" s="179"/>
      <c r="N88" s="253"/>
    </row>
    <row r="89" spans="6:14" ht="14.25">
      <c r="F89" s="179"/>
      <c r="G89" s="179"/>
      <c r="N89" s="253"/>
    </row>
    <row r="90" spans="6:14" ht="14.25">
      <c r="F90" s="179"/>
      <c r="G90" s="179"/>
      <c r="N90" s="253"/>
    </row>
    <row r="91" spans="6:14">
      <c r="G91" s="179"/>
    </row>
    <row r="92" spans="6:14">
      <c r="G92" s="179"/>
    </row>
    <row r="93" spans="6:14">
      <c r="G93" s="179"/>
    </row>
    <row r="94" spans="6:14">
      <c r="G94" s="179"/>
    </row>
    <row r="95" spans="6:14">
      <c r="G95" s="179"/>
    </row>
    <row r="96" spans="6:14">
      <c r="G96" s="179"/>
    </row>
  </sheetData>
  <mergeCells count="15">
    <mergeCell ref="P4:P5"/>
    <mergeCell ref="B2:P2"/>
    <mergeCell ref="K4:K5"/>
    <mergeCell ref="O4:O5"/>
    <mergeCell ref="H4:H5"/>
    <mergeCell ref="H3:I3"/>
    <mergeCell ref="L4:N4"/>
    <mergeCell ref="B4:B5"/>
    <mergeCell ref="C4:C5"/>
    <mergeCell ref="D4:D5"/>
    <mergeCell ref="G4:G5"/>
    <mergeCell ref="F4:F5"/>
    <mergeCell ref="I4:I5"/>
    <mergeCell ref="J4:J5"/>
    <mergeCell ref="E4:E5"/>
  </mergeCells>
  <phoneticPr fontId="2" type="noConversion"/>
  <pageMargins left="0.78740157480314965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B1:AE303"/>
  <sheetViews>
    <sheetView zoomScaleNormal="100" workbookViewId="0">
      <selection activeCell="P11" sqref="P11"/>
    </sheetView>
  </sheetViews>
  <sheetFormatPr defaultRowHeight="15" customHeight="1"/>
  <cols>
    <col min="2" max="2" width="67.5703125" customWidth="1"/>
    <col min="3" max="3" width="13.140625" customWidth="1"/>
    <col min="4" max="5" width="18.7109375" customWidth="1"/>
    <col min="6" max="6" width="20.7109375" style="715" customWidth="1"/>
    <col min="7" max="7" width="20.7109375" customWidth="1"/>
    <col min="8" max="8" width="9.28515625" customWidth="1"/>
    <col min="9" max="9" width="9.28515625" style="906" customWidth="1"/>
    <col min="10" max="10" width="6.42578125" customWidth="1"/>
    <col min="12" max="13" width="15.7109375" customWidth="1"/>
    <col min="14" max="14" width="8.7109375" customWidth="1"/>
  </cols>
  <sheetData>
    <row r="1" spans="2:31" ht="15" customHeight="1">
      <c r="B1" s="997"/>
      <c r="C1" s="998"/>
      <c r="D1" s="975"/>
      <c r="E1" s="975"/>
      <c r="F1" s="975"/>
      <c r="G1" s="975"/>
      <c r="H1" s="975"/>
      <c r="I1" s="905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</row>
    <row r="2" spans="2:31" ht="15" customHeight="1">
      <c r="B2" s="975"/>
      <c r="C2" s="975"/>
      <c r="D2" s="975"/>
      <c r="E2" s="975"/>
      <c r="F2" s="975"/>
      <c r="G2" s="975"/>
      <c r="H2" s="975"/>
      <c r="I2" s="905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</row>
    <row r="3" spans="2:31" ht="12" customHeight="1">
      <c r="B3" s="975"/>
      <c r="C3" s="975"/>
      <c r="D3" s="975"/>
      <c r="E3" s="975"/>
      <c r="F3" s="975"/>
      <c r="G3" s="975"/>
      <c r="H3" s="975"/>
      <c r="I3" s="905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</row>
    <row r="4" spans="2:31" s="839" customFormat="1" ht="9" customHeight="1">
      <c r="I4" s="906"/>
      <c r="K4" s="846"/>
      <c r="L4" s="846"/>
      <c r="M4" s="846"/>
      <c r="N4" s="846"/>
      <c r="O4" s="846"/>
      <c r="P4" s="846"/>
      <c r="Q4" s="846"/>
      <c r="R4" s="846"/>
      <c r="S4" s="846"/>
      <c r="T4" s="846"/>
      <c r="U4" s="846"/>
      <c r="V4" s="846"/>
      <c r="W4" s="846"/>
      <c r="X4" s="846"/>
      <c r="Y4" s="846"/>
      <c r="Z4" s="846"/>
      <c r="AA4" s="846"/>
      <c r="AB4" s="846"/>
      <c r="AC4" s="846"/>
      <c r="AD4" s="846"/>
      <c r="AE4" s="846"/>
    </row>
    <row r="5" spans="2:31" ht="18.75" customHeight="1">
      <c r="B5" s="999" t="s">
        <v>900</v>
      </c>
      <c r="C5" s="999"/>
      <c r="D5" s="999"/>
      <c r="E5" s="999"/>
      <c r="F5" s="999"/>
      <c r="G5" s="999"/>
      <c r="H5" s="999"/>
      <c r="I5" s="1000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</row>
    <row r="6" spans="2:31" ht="15" customHeight="1">
      <c r="B6" s="1001" t="s">
        <v>823</v>
      </c>
      <c r="C6" s="1001"/>
      <c r="D6" s="1001"/>
      <c r="E6" s="1001"/>
      <c r="F6" s="1001"/>
      <c r="G6" s="1001"/>
      <c r="H6" s="1001"/>
      <c r="I6" s="1000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</row>
    <row r="7" spans="2:31" ht="15" customHeight="1">
      <c r="B7" s="85"/>
      <c r="C7" s="85"/>
      <c r="D7" s="41"/>
      <c r="E7" s="41"/>
      <c r="F7" s="41"/>
      <c r="G7" s="41"/>
      <c r="H7" s="471"/>
      <c r="J7" s="471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</row>
    <row r="8" spans="2:31" s="839" customFormat="1" ht="12.75" customHeight="1">
      <c r="B8" s="843"/>
      <c r="C8" s="346"/>
      <c r="D8" s="346"/>
      <c r="E8" s="346"/>
      <c r="I8" s="906"/>
      <c r="J8" s="846"/>
      <c r="K8" s="846"/>
      <c r="L8" s="846"/>
      <c r="M8" s="846"/>
      <c r="N8" s="846"/>
      <c r="O8" s="846"/>
      <c r="P8" s="846"/>
      <c r="Q8" s="846"/>
      <c r="R8" s="846"/>
      <c r="S8" s="846"/>
      <c r="T8" s="846"/>
      <c r="U8" s="846"/>
      <c r="V8" s="846"/>
      <c r="W8" s="846"/>
      <c r="X8" s="846"/>
      <c r="Y8" s="846"/>
      <c r="Z8" s="846"/>
      <c r="AA8" s="846"/>
      <c r="AB8" s="846"/>
      <c r="AC8" s="846"/>
    </row>
    <row r="9" spans="2:31" ht="6.75" customHeight="1">
      <c r="B9" s="34"/>
      <c r="C9" s="34"/>
      <c r="D9" s="471"/>
      <c r="E9" s="471"/>
      <c r="G9" s="471"/>
      <c r="H9" s="471"/>
      <c r="J9" s="471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</row>
    <row r="10" spans="2:31" s="273" customFormat="1" ht="41.25" customHeight="1">
      <c r="B10" s="274" t="s">
        <v>195</v>
      </c>
      <c r="C10" s="275" t="s">
        <v>531</v>
      </c>
      <c r="D10" s="275" t="s">
        <v>940</v>
      </c>
      <c r="E10" s="275" t="s">
        <v>813</v>
      </c>
      <c r="F10" s="316" t="s">
        <v>938</v>
      </c>
      <c r="G10" s="316" t="s">
        <v>939</v>
      </c>
      <c r="H10" s="275" t="s">
        <v>945</v>
      </c>
      <c r="I10" s="275" t="s">
        <v>946</v>
      </c>
      <c r="K10" s="276"/>
      <c r="L10" s="276"/>
      <c r="M10" s="276"/>
      <c r="N10" s="276"/>
      <c r="O10" s="276"/>
      <c r="P10" s="276"/>
      <c r="Q10" s="276"/>
      <c r="R10" s="276"/>
      <c r="S10" s="276"/>
      <c r="T10" s="276"/>
      <c r="U10" s="276"/>
      <c r="V10" s="276"/>
      <c r="W10" s="276"/>
      <c r="X10" s="276"/>
      <c r="Y10" s="276"/>
      <c r="Z10" s="276"/>
      <c r="AA10" s="276"/>
      <c r="AB10" s="276"/>
      <c r="AC10" s="276"/>
      <c r="AD10" s="276"/>
      <c r="AE10" s="276"/>
    </row>
    <row r="11" spans="2:31" s="324" customFormat="1" ht="10.5" customHeight="1">
      <c r="B11" s="325">
        <v>1</v>
      </c>
      <c r="C11" s="325"/>
      <c r="D11" s="326">
        <v>2</v>
      </c>
      <c r="E11" s="326">
        <v>3</v>
      </c>
      <c r="F11" s="326">
        <v>4</v>
      </c>
      <c r="G11" s="326">
        <v>5</v>
      </c>
      <c r="H11" s="325" t="s">
        <v>818</v>
      </c>
      <c r="I11" s="325" t="s">
        <v>941</v>
      </c>
      <c r="K11" s="327"/>
      <c r="L11" s="327"/>
      <c r="M11" s="327"/>
      <c r="N11" s="327"/>
      <c r="O11" s="327"/>
      <c r="P11" s="327"/>
      <c r="Q11" s="327"/>
      <c r="R11" s="327"/>
      <c r="S11" s="327"/>
      <c r="T11" s="327"/>
      <c r="U11" s="327"/>
      <c r="V11" s="327"/>
      <c r="W11" s="327"/>
      <c r="X11" s="327"/>
      <c r="Y11" s="327"/>
      <c r="Z11" s="327"/>
      <c r="AA11" s="327"/>
      <c r="AB11" s="327"/>
      <c r="AC11" s="327"/>
      <c r="AD11" s="327"/>
      <c r="AE11" s="327"/>
    </row>
    <row r="12" spans="2:31" s="273" customFormat="1" ht="14.1" customHeight="1">
      <c r="B12" s="277" t="s">
        <v>544</v>
      </c>
      <c r="C12" s="277"/>
      <c r="D12" s="278">
        <f>D13+D14+D15+D16+D17</f>
        <v>58733900</v>
      </c>
      <c r="E12" s="278">
        <f>E13+E14+E15+E16+E17</f>
        <v>58733900</v>
      </c>
      <c r="F12" s="317">
        <f>F13+F14+F15+F16+F17</f>
        <v>48378888</v>
      </c>
      <c r="G12" s="317">
        <f>G13+G14+G15+G16+G17</f>
        <v>57892185</v>
      </c>
      <c r="H12" s="279">
        <f>IF(E12=0,,G12/E12*100)</f>
        <v>98.566900886881342</v>
      </c>
      <c r="I12" s="279">
        <f>IF(F12=0,,G12/F12*100)</f>
        <v>119.66414978368249</v>
      </c>
      <c r="J12" s="104"/>
      <c r="K12" s="276"/>
      <c r="L12" s="276"/>
      <c r="M12" s="276"/>
      <c r="N12" s="276"/>
      <c r="O12" s="276"/>
      <c r="P12" s="276"/>
      <c r="Q12" s="276"/>
      <c r="R12" s="276"/>
      <c r="S12" s="276"/>
      <c r="T12" s="276"/>
      <c r="U12" s="276"/>
      <c r="V12" s="276"/>
      <c r="W12" s="276"/>
      <c r="X12" s="276"/>
      <c r="Y12" s="276"/>
      <c r="Z12" s="276"/>
      <c r="AA12" s="276"/>
      <c r="AB12" s="276"/>
      <c r="AC12" s="276"/>
      <c r="AD12" s="276"/>
      <c r="AE12" s="276"/>
    </row>
    <row r="13" spans="2:31" s="273" customFormat="1" ht="12.95" customHeight="1">
      <c r="B13" s="280" t="s">
        <v>532</v>
      </c>
      <c r="C13" s="281">
        <v>710</v>
      </c>
      <c r="D13" s="282">
        <f>Prihodi!D5</f>
        <v>46068700</v>
      </c>
      <c r="E13" s="282">
        <f>Prihodi!E5</f>
        <v>46068700</v>
      </c>
      <c r="F13" s="282">
        <f>Prihodi!F5</f>
        <v>38888289</v>
      </c>
      <c r="G13" s="270">
        <f>Prihodi!G5</f>
        <v>45780656</v>
      </c>
      <c r="H13" s="283">
        <f t="shared" ref="H13:H40" si="0">IF(E13=0,,G13/E13*100)</f>
        <v>99.374751186814464</v>
      </c>
      <c r="I13" s="283">
        <f t="shared" ref="I13:I40" si="1">IF(F13=0,,G13/F13*100)</f>
        <v>117.72350282626216</v>
      </c>
      <c r="J13" s="104"/>
      <c r="K13" s="276"/>
      <c r="L13" s="276"/>
      <c r="M13" s="276"/>
      <c r="N13" s="276"/>
      <c r="O13" s="276"/>
      <c r="P13" s="276"/>
      <c r="Q13" s="276"/>
      <c r="R13" s="276"/>
      <c r="S13" s="276"/>
      <c r="T13" s="276"/>
      <c r="U13" s="276"/>
      <c r="V13" s="276"/>
      <c r="W13" s="276"/>
      <c r="X13" s="276"/>
      <c r="Y13" s="276"/>
      <c r="Z13" s="276"/>
      <c r="AA13" s="276"/>
      <c r="AB13" s="276"/>
      <c r="AC13" s="276"/>
      <c r="AD13" s="276"/>
      <c r="AE13" s="276"/>
    </row>
    <row r="14" spans="2:31" s="273" customFormat="1" ht="12.95" customHeight="1">
      <c r="B14" s="280" t="s">
        <v>533</v>
      </c>
      <c r="C14" s="281">
        <v>720</v>
      </c>
      <c r="D14" s="282">
        <f>Prihodi!D62</f>
        <v>3554000</v>
      </c>
      <c r="E14" s="282">
        <f>Prihodi!E62</f>
        <v>3554000</v>
      </c>
      <c r="F14" s="282">
        <f>Prihodi!F62</f>
        <v>2948110</v>
      </c>
      <c r="G14" s="270">
        <f>Prihodi!G62</f>
        <v>3431562</v>
      </c>
      <c r="H14" s="283">
        <f t="shared" si="0"/>
        <v>96.554924029262807</v>
      </c>
      <c r="I14" s="283">
        <f t="shared" si="1"/>
        <v>116.39870968179613</v>
      </c>
      <c r="J14" s="104"/>
      <c r="K14" s="276"/>
      <c r="L14" s="276"/>
      <c r="M14" s="276"/>
      <c r="N14" s="276"/>
      <c r="O14" s="276"/>
      <c r="P14" s="276"/>
      <c r="Q14" s="276"/>
      <c r="R14" s="276"/>
      <c r="S14" s="276"/>
      <c r="T14" s="276"/>
      <c r="U14" s="276"/>
      <c r="V14" s="276"/>
      <c r="W14" s="276"/>
      <c r="X14" s="276"/>
      <c r="Y14" s="276"/>
      <c r="Z14" s="276"/>
      <c r="AA14" s="276"/>
      <c r="AB14" s="276"/>
      <c r="AC14" s="276"/>
      <c r="AD14" s="276"/>
      <c r="AE14" s="276"/>
    </row>
    <row r="15" spans="2:31" s="273" customFormat="1" ht="12.95" customHeight="1">
      <c r="B15" s="280" t="s">
        <v>534</v>
      </c>
      <c r="C15" s="281">
        <v>730</v>
      </c>
      <c r="D15" s="282">
        <f>Prihodi!D181</f>
        <v>8670409</v>
      </c>
      <c r="E15" s="282">
        <f>Prihodi!E181</f>
        <v>8670409</v>
      </c>
      <c r="F15" s="282">
        <f>Prihodi!F181</f>
        <v>6299009</v>
      </c>
      <c r="G15" s="270">
        <f>Prihodi!G181</f>
        <v>8366694</v>
      </c>
      <c r="H15" s="283">
        <f t="shared" si="0"/>
        <v>96.497108729242186</v>
      </c>
      <c r="I15" s="283">
        <f t="shared" si="1"/>
        <v>132.82556033814208</v>
      </c>
      <c r="J15" s="104"/>
      <c r="K15" s="276"/>
      <c r="L15" s="276"/>
      <c r="M15" s="276"/>
      <c r="N15" s="276"/>
      <c r="O15" s="276"/>
      <c r="P15" s="276"/>
      <c r="Q15" s="276"/>
      <c r="R15" s="276"/>
      <c r="S15" s="276"/>
      <c r="T15" s="276"/>
      <c r="U15" s="276"/>
      <c r="V15" s="276"/>
      <c r="W15" s="276"/>
      <c r="X15" s="276"/>
      <c r="Y15" s="276"/>
      <c r="Z15" s="276"/>
      <c r="AA15" s="276"/>
      <c r="AB15" s="276"/>
      <c r="AC15" s="276"/>
      <c r="AD15" s="276"/>
      <c r="AE15" s="276"/>
    </row>
    <row r="16" spans="2:31" s="273" customFormat="1" ht="12.95" customHeight="1">
      <c r="B16" s="280" t="s">
        <v>535</v>
      </c>
      <c r="C16" s="281">
        <v>740</v>
      </c>
      <c r="D16" s="282">
        <f>Prihodi!D219</f>
        <v>439011</v>
      </c>
      <c r="E16" s="282">
        <f>Prihodi!E219</f>
        <v>439011</v>
      </c>
      <c r="F16" s="282">
        <f>Prihodi!F219</f>
        <v>243132</v>
      </c>
      <c r="G16" s="270">
        <f>Prihodi!G219</f>
        <v>311557</v>
      </c>
      <c r="H16" s="283">
        <f t="shared" si="0"/>
        <v>70.967925632842906</v>
      </c>
      <c r="I16" s="283">
        <f t="shared" si="1"/>
        <v>128.14314857772732</v>
      </c>
      <c r="J16" s="104"/>
      <c r="K16" s="276"/>
      <c r="L16" s="276"/>
      <c r="M16" s="276"/>
      <c r="N16" s="276"/>
      <c r="O16" s="276"/>
      <c r="P16" s="276"/>
      <c r="Q16" s="276"/>
      <c r="R16" s="276"/>
      <c r="S16" s="276"/>
      <c r="T16" s="276"/>
      <c r="U16" s="276"/>
      <c r="V16" s="276"/>
      <c r="W16" s="276"/>
      <c r="X16" s="276"/>
      <c r="Y16" s="276"/>
      <c r="Z16" s="276"/>
      <c r="AA16" s="276"/>
      <c r="AB16" s="276"/>
      <c r="AC16" s="276"/>
      <c r="AD16" s="276"/>
      <c r="AE16" s="276"/>
    </row>
    <row r="17" spans="2:31" s="273" customFormat="1" ht="12.95" customHeight="1">
      <c r="B17" s="280" t="s">
        <v>536</v>
      </c>
      <c r="C17" s="281">
        <v>770</v>
      </c>
      <c r="D17" s="282">
        <f>Prihodi!D247</f>
        <v>1780</v>
      </c>
      <c r="E17" s="282">
        <f>Prihodi!E247</f>
        <v>1780</v>
      </c>
      <c r="F17" s="282">
        <f>Prihodi!F247</f>
        <v>348</v>
      </c>
      <c r="G17" s="270">
        <f>Prihodi!G247</f>
        <v>1716</v>
      </c>
      <c r="H17" s="283">
        <f t="shared" si="0"/>
        <v>96.404494382022477</v>
      </c>
      <c r="I17" s="283">
        <f t="shared" si="1"/>
        <v>493.10344827586209</v>
      </c>
      <c r="J17" s="104"/>
      <c r="K17" s="276"/>
      <c r="L17" s="276"/>
      <c r="M17" s="276"/>
      <c r="N17" s="276"/>
      <c r="O17" s="276"/>
      <c r="P17" s="276"/>
      <c r="Q17" s="276"/>
      <c r="R17" s="276"/>
      <c r="S17" s="276"/>
      <c r="T17" s="276"/>
      <c r="U17" s="276"/>
      <c r="V17" s="276"/>
      <c r="W17" s="276"/>
      <c r="X17" s="276"/>
      <c r="Y17" s="276"/>
      <c r="Z17" s="276"/>
      <c r="AA17" s="276"/>
      <c r="AB17" s="276"/>
      <c r="AC17" s="276"/>
      <c r="AD17" s="276"/>
      <c r="AE17" s="276"/>
    </row>
    <row r="18" spans="2:31" s="273" customFormat="1" ht="14.1" customHeight="1">
      <c r="B18" s="288" t="s">
        <v>545</v>
      </c>
      <c r="C18" s="289"/>
      <c r="D18" s="290">
        <f>SUM(D19:D25)</f>
        <v>54552220</v>
      </c>
      <c r="E18" s="290">
        <f>SUM(E19:E25)</f>
        <v>54552220</v>
      </c>
      <c r="F18" s="318">
        <f>SUM(F19:F25)</f>
        <v>44602671</v>
      </c>
      <c r="G18" s="318">
        <f>SUM(G19:G25)</f>
        <v>53358507</v>
      </c>
      <c r="H18" s="291">
        <f t="shared" si="0"/>
        <v>97.811797576707235</v>
      </c>
      <c r="I18" s="291">
        <f t="shared" si="1"/>
        <v>119.63074363864889</v>
      </c>
      <c r="J18" s="104"/>
      <c r="K18" s="276"/>
      <c r="L18" s="276"/>
      <c r="M18" s="276"/>
      <c r="N18" s="276"/>
      <c r="O18" s="276"/>
      <c r="P18" s="276"/>
      <c r="Q18" s="276"/>
      <c r="R18" s="276"/>
      <c r="S18" s="276"/>
      <c r="T18" s="276"/>
      <c r="U18" s="276"/>
      <c r="V18" s="276"/>
      <c r="W18" s="276"/>
      <c r="X18" s="276"/>
      <c r="Y18" s="276"/>
      <c r="Z18" s="276"/>
      <c r="AA18" s="276"/>
      <c r="AB18" s="276"/>
      <c r="AC18" s="276"/>
      <c r="AD18" s="276"/>
    </row>
    <row r="19" spans="2:31" s="292" customFormat="1" ht="12.95" customHeight="1">
      <c r="B19" s="284" t="s">
        <v>537</v>
      </c>
      <c r="C19" s="285">
        <v>600</v>
      </c>
      <c r="D19" s="282">
        <f>Rashodi!F9</f>
        <v>1055000</v>
      </c>
      <c r="E19" s="282">
        <f>Rashodi!G9</f>
        <v>1145000</v>
      </c>
      <c r="F19" s="282">
        <f>Rashodi!H9</f>
        <v>646712</v>
      </c>
      <c r="G19" s="270">
        <f>Rashodi!K9</f>
        <v>1087862</v>
      </c>
      <c r="H19" s="287">
        <f t="shared" si="0"/>
        <v>95.009781659388651</v>
      </c>
      <c r="I19" s="287">
        <f t="shared" si="1"/>
        <v>168.21429013223815</v>
      </c>
      <c r="J19" s="293"/>
      <c r="K19" s="294"/>
      <c r="L19" s="294"/>
      <c r="M19" s="294"/>
      <c r="N19" s="294"/>
      <c r="O19" s="294"/>
      <c r="P19" s="294"/>
      <c r="Q19" s="294"/>
      <c r="R19" s="294"/>
      <c r="S19" s="294"/>
      <c r="T19" s="294"/>
      <c r="U19" s="294"/>
      <c r="V19" s="294"/>
      <c r="W19" s="294"/>
      <c r="X19" s="294"/>
      <c r="Y19" s="294"/>
      <c r="Z19" s="294"/>
      <c r="AA19" s="294"/>
      <c r="AB19" s="294"/>
      <c r="AC19" s="294"/>
      <c r="AD19" s="294"/>
    </row>
    <row r="20" spans="2:31" s="292" customFormat="1" ht="12.95" customHeight="1">
      <c r="B20" s="284" t="s">
        <v>538</v>
      </c>
      <c r="C20" s="285">
        <v>611</v>
      </c>
      <c r="D20" s="282">
        <f>Rashodi!F15</f>
        <v>27027340</v>
      </c>
      <c r="E20" s="282">
        <f>Rashodi!G15</f>
        <v>27014450</v>
      </c>
      <c r="F20" s="282">
        <f>Rashodi!H15</f>
        <v>23387037</v>
      </c>
      <c r="G20" s="270">
        <f>Rashodi!K15</f>
        <v>26800902</v>
      </c>
      <c r="H20" s="287">
        <f t="shared" si="0"/>
        <v>99.209504542939058</v>
      </c>
      <c r="I20" s="287">
        <f t="shared" si="1"/>
        <v>114.59725317063464</v>
      </c>
      <c r="J20" s="293"/>
      <c r="K20" s="294"/>
      <c r="L20" s="294"/>
      <c r="M20" s="294"/>
      <c r="N20" s="294"/>
      <c r="O20" s="294"/>
      <c r="P20" s="294"/>
      <c r="Q20" s="294"/>
      <c r="R20" s="294"/>
      <c r="S20" s="294"/>
      <c r="T20" s="294"/>
      <c r="U20" s="294"/>
      <c r="V20" s="294"/>
      <c r="W20" s="294"/>
      <c r="X20" s="294"/>
      <c r="Y20" s="294"/>
      <c r="Z20" s="294"/>
      <c r="AA20" s="294"/>
      <c r="AB20" s="294"/>
      <c r="AC20" s="294"/>
      <c r="AD20" s="294"/>
    </row>
    <row r="21" spans="2:31" s="273" customFormat="1" ht="12.95" customHeight="1">
      <c r="B21" s="284" t="s">
        <v>539</v>
      </c>
      <c r="C21" s="285">
        <v>612</v>
      </c>
      <c r="D21" s="286">
        <f>Rashodi!F21</f>
        <v>2698780</v>
      </c>
      <c r="E21" s="286">
        <f>Rashodi!G21</f>
        <v>2700180</v>
      </c>
      <c r="F21" s="286">
        <f>Rashodi!H21</f>
        <v>2489148</v>
      </c>
      <c r="G21" s="271">
        <f>Rashodi!K21</f>
        <v>2676798</v>
      </c>
      <c r="H21" s="287">
        <f t="shared" si="0"/>
        <v>99.134057729484709</v>
      </c>
      <c r="I21" s="287">
        <f t="shared" si="1"/>
        <v>107.53872409354526</v>
      </c>
      <c r="J21" s="104"/>
      <c r="K21" s="276"/>
      <c r="L21" s="276"/>
      <c r="M21" s="276"/>
      <c r="N21" s="276"/>
      <c r="O21" s="276"/>
      <c r="P21" s="276"/>
      <c r="Q21" s="276"/>
      <c r="R21" s="276"/>
      <c r="S21" s="276"/>
      <c r="T21" s="276"/>
      <c r="U21" s="276"/>
      <c r="V21" s="276"/>
      <c r="W21" s="276"/>
      <c r="X21" s="276"/>
      <c r="Y21" s="276"/>
      <c r="Z21" s="276"/>
      <c r="AA21" s="276"/>
      <c r="AB21" s="276"/>
      <c r="AC21" s="276"/>
      <c r="AD21" s="276"/>
      <c r="AE21" s="276"/>
    </row>
    <row r="22" spans="2:31" s="273" customFormat="1" ht="12.95" customHeight="1">
      <c r="B22" s="284" t="s">
        <v>540</v>
      </c>
      <c r="C22" s="285">
        <v>613</v>
      </c>
      <c r="D22" s="286">
        <f>Rashodi!F25</f>
        <v>5499980</v>
      </c>
      <c r="E22" s="286">
        <f>Rashodi!G25</f>
        <v>5511470</v>
      </c>
      <c r="F22" s="286">
        <f>Rashodi!H25</f>
        <v>4001861</v>
      </c>
      <c r="G22" s="271">
        <f>Rashodi!K25</f>
        <v>5045290</v>
      </c>
      <c r="H22" s="287">
        <f>IF(E22=0,,G22/E22*100)</f>
        <v>91.541639526296976</v>
      </c>
      <c r="I22" s="287">
        <f t="shared" si="1"/>
        <v>126.07359426027041</v>
      </c>
      <c r="J22" s="104"/>
      <c r="K22" s="276"/>
      <c r="L22" s="276"/>
      <c r="M22" s="276"/>
      <c r="N22" s="276"/>
      <c r="O22" s="276"/>
      <c r="P22" s="276"/>
      <c r="Q22" s="276"/>
      <c r="R22" s="276"/>
      <c r="S22" s="276"/>
      <c r="T22" s="276"/>
      <c r="U22" s="276"/>
      <c r="V22" s="276"/>
      <c r="W22" s="276"/>
      <c r="X22" s="276"/>
      <c r="Y22" s="276"/>
      <c r="Z22" s="276"/>
      <c r="AA22" s="276"/>
      <c r="AB22" s="276"/>
      <c r="AC22" s="276"/>
      <c r="AD22" s="276"/>
    </row>
    <row r="23" spans="2:31" s="273" customFormat="1" ht="12.95" customHeight="1">
      <c r="B23" s="284" t="s">
        <v>541</v>
      </c>
      <c r="C23" s="285">
        <v>614</v>
      </c>
      <c r="D23" s="286">
        <f>Rashodi!F50</f>
        <v>16440210</v>
      </c>
      <c r="E23" s="286">
        <f>Rashodi!G50</f>
        <v>16350210</v>
      </c>
      <c r="F23" s="286">
        <f>Rashodi!H50</f>
        <v>12589083</v>
      </c>
      <c r="G23" s="271">
        <f>Rashodi!K50</f>
        <v>15916755</v>
      </c>
      <c r="H23" s="287">
        <f t="shared" si="0"/>
        <v>97.348933132968924</v>
      </c>
      <c r="I23" s="287">
        <f t="shared" si="1"/>
        <v>126.43299754239447</v>
      </c>
      <c r="J23" s="104"/>
      <c r="K23" s="276"/>
      <c r="L23" s="276"/>
      <c r="M23" s="276"/>
      <c r="N23" s="276"/>
      <c r="O23" s="276"/>
      <c r="P23" s="276"/>
      <c r="Q23" s="276"/>
      <c r="R23" s="276"/>
      <c r="S23" s="276"/>
      <c r="T23" s="276"/>
      <c r="U23" s="276"/>
      <c r="V23" s="276"/>
      <c r="W23" s="276"/>
      <c r="X23" s="276"/>
      <c r="Y23" s="276"/>
      <c r="Z23" s="276"/>
      <c r="AA23" s="276"/>
      <c r="AB23" s="276"/>
      <c r="AC23" s="276"/>
      <c r="AD23" s="276"/>
    </row>
    <row r="24" spans="2:31" s="273" customFormat="1" ht="12.95" customHeight="1">
      <c r="B24" s="284" t="s">
        <v>542</v>
      </c>
      <c r="C24" s="285">
        <v>615</v>
      </c>
      <c r="D24" s="286">
        <f>Rashodi!F90</f>
        <v>1801990</v>
      </c>
      <c r="E24" s="286">
        <f>Rashodi!G90</f>
        <v>1801990</v>
      </c>
      <c r="F24" s="286">
        <f>Rashodi!H90</f>
        <v>1454071</v>
      </c>
      <c r="G24" s="271">
        <f>Rashodi!K90</f>
        <v>1801990</v>
      </c>
      <c r="H24" s="287">
        <f>IF(E24=0,,G24/E24*100)</f>
        <v>100</v>
      </c>
      <c r="I24" s="287">
        <f t="shared" si="1"/>
        <v>123.92723601529774</v>
      </c>
      <c r="J24" s="104"/>
      <c r="K24" s="276"/>
      <c r="L24" s="276"/>
      <c r="M24" s="276"/>
      <c r="N24" s="276"/>
      <c r="O24" s="276"/>
      <c r="P24" s="276"/>
      <c r="Q24" s="276"/>
      <c r="R24" s="276"/>
      <c r="S24" s="276"/>
      <c r="T24" s="276"/>
      <c r="U24" s="276"/>
      <c r="V24" s="276"/>
      <c r="W24" s="276"/>
      <c r="X24" s="276"/>
      <c r="Y24" s="276"/>
      <c r="Z24" s="276"/>
      <c r="AA24" s="276"/>
      <c r="AB24" s="276"/>
      <c r="AC24" s="276"/>
      <c r="AD24" s="276"/>
    </row>
    <row r="25" spans="2:31" s="273" customFormat="1" ht="12.95" customHeight="1" thickBot="1">
      <c r="B25" s="295" t="s">
        <v>543</v>
      </c>
      <c r="C25" s="296">
        <v>616</v>
      </c>
      <c r="D25" s="297">
        <f>Rashodi!F97</f>
        <v>28920</v>
      </c>
      <c r="E25" s="297">
        <f>Rashodi!G97</f>
        <v>28920</v>
      </c>
      <c r="F25" s="297">
        <f>Rashodi!H97</f>
        <v>34759</v>
      </c>
      <c r="G25" s="272">
        <f>Rashodi!K97</f>
        <v>28910</v>
      </c>
      <c r="H25" s="298">
        <f t="shared" si="0"/>
        <v>99.965421853388662</v>
      </c>
      <c r="I25" s="298">
        <f t="shared" si="1"/>
        <v>83.172703472481942</v>
      </c>
      <c r="J25" s="104"/>
      <c r="K25" s="276"/>
      <c r="L25" s="276"/>
      <c r="M25" s="276"/>
      <c r="N25" s="276"/>
      <c r="O25" s="276"/>
      <c r="P25" s="276"/>
      <c r="Q25" s="276"/>
      <c r="R25" s="276"/>
      <c r="S25" s="276"/>
      <c r="T25" s="276"/>
      <c r="U25" s="276"/>
      <c r="V25" s="276"/>
      <c r="W25" s="276"/>
      <c r="X25" s="276"/>
      <c r="Y25" s="276"/>
      <c r="Z25" s="276"/>
      <c r="AA25" s="276"/>
      <c r="AB25" s="276"/>
      <c r="AC25" s="276"/>
      <c r="AD25" s="276"/>
    </row>
    <row r="26" spans="2:31" s="273" customFormat="1" ht="14.1" customHeight="1" thickTop="1" thickBot="1">
      <c r="B26" s="299" t="s">
        <v>546</v>
      </c>
      <c r="C26" s="300"/>
      <c r="D26" s="301">
        <f>D12-D18</f>
        <v>4181680</v>
      </c>
      <c r="E26" s="301">
        <f>E12-E18</f>
        <v>4181680</v>
      </c>
      <c r="F26" s="319">
        <f>F12-F18</f>
        <v>3776217</v>
      </c>
      <c r="G26" s="319">
        <f>G12-G18</f>
        <v>4533678</v>
      </c>
      <c r="H26" s="302">
        <f t="shared" si="0"/>
        <v>108.41762162575807</v>
      </c>
      <c r="I26" s="302">
        <f t="shared" si="1"/>
        <v>120.05872543871288</v>
      </c>
      <c r="J26" s="104"/>
      <c r="K26" s="276"/>
      <c r="L26" s="276"/>
      <c r="M26" s="276"/>
      <c r="N26" s="276"/>
      <c r="O26" s="276"/>
      <c r="P26" s="276"/>
      <c r="Q26" s="276"/>
      <c r="R26" s="276"/>
      <c r="S26" s="276"/>
      <c r="T26" s="276"/>
      <c r="U26" s="276"/>
      <c r="V26" s="276"/>
      <c r="W26" s="276"/>
      <c r="X26" s="276"/>
      <c r="Y26" s="276"/>
      <c r="Z26" s="276"/>
      <c r="AA26" s="276"/>
      <c r="AB26" s="276"/>
      <c r="AC26" s="276"/>
      <c r="AD26" s="276"/>
    </row>
    <row r="27" spans="2:31" s="273" customFormat="1" ht="14.1" customHeight="1" thickTop="1">
      <c r="B27" s="288" t="s">
        <v>547</v>
      </c>
      <c r="C27" s="289">
        <v>811</v>
      </c>
      <c r="D27" s="290">
        <f>Prihodi!D253</f>
        <v>22710</v>
      </c>
      <c r="E27" s="290">
        <f>Prihodi!E253</f>
        <v>22710</v>
      </c>
      <c r="F27" s="318">
        <f>Prihodi!F253</f>
        <v>10142</v>
      </c>
      <c r="G27" s="318">
        <f>Prihodi!G253</f>
        <v>22697</v>
      </c>
      <c r="H27" s="291">
        <f t="shared" si="0"/>
        <v>99.942756494936148</v>
      </c>
      <c r="I27" s="291">
        <f t="shared" si="1"/>
        <v>223.79215144941824</v>
      </c>
      <c r="J27" s="104"/>
      <c r="K27" s="276"/>
      <c r="L27" s="276"/>
      <c r="M27" s="276"/>
      <c r="N27" s="276"/>
      <c r="O27" s="276"/>
      <c r="P27" s="276"/>
      <c r="Q27" s="276"/>
      <c r="R27" s="276"/>
      <c r="S27" s="276"/>
      <c r="T27" s="276"/>
      <c r="U27" s="276"/>
      <c r="V27" s="276"/>
      <c r="W27" s="276"/>
      <c r="X27" s="276"/>
      <c r="Y27" s="276"/>
      <c r="Z27" s="276"/>
      <c r="AA27" s="276"/>
      <c r="AB27" s="276"/>
      <c r="AC27" s="276"/>
      <c r="AD27" s="276"/>
    </row>
    <row r="28" spans="2:31" s="273" customFormat="1" ht="14.1" customHeight="1">
      <c r="B28" s="288" t="s">
        <v>548</v>
      </c>
      <c r="C28" s="289">
        <v>821</v>
      </c>
      <c r="D28" s="290">
        <f>D29</f>
        <v>3688470</v>
      </c>
      <c r="E28" s="290">
        <f>E29</f>
        <v>3688470</v>
      </c>
      <c r="F28" s="290">
        <f>F29</f>
        <v>1867774</v>
      </c>
      <c r="G28" s="318">
        <f>G29</f>
        <v>3327391</v>
      </c>
      <c r="H28" s="291">
        <f t="shared" si="0"/>
        <v>90.210602228024086</v>
      </c>
      <c r="I28" s="291">
        <f t="shared" si="1"/>
        <v>178.14740969731884</v>
      </c>
      <c r="J28" s="104"/>
      <c r="K28" s="276"/>
      <c r="L28" s="276"/>
      <c r="M28" s="276"/>
      <c r="N28" s="276"/>
      <c r="O28" s="276"/>
      <c r="P28" s="276"/>
      <c r="Q28" s="276"/>
      <c r="R28" s="276"/>
      <c r="S28" s="276"/>
      <c r="T28" s="276"/>
      <c r="U28" s="276"/>
      <c r="V28" s="276"/>
      <c r="W28" s="276"/>
      <c r="X28" s="276"/>
      <c r="Y28" s="276"/>
      <c r="Z28" s="276"/>
      <c r="AA28" s="276"/>
      <c r="AB28" s="276"/>
      <c r="AC28" s="276"/>
      <c r="AD28" s="276"/>
    </row>
    <row r="29" spans="2:31" s="273" customFormat="1" ht="12.95" customHeight="1" thickBot="1">
      <c r="B29" s="284" t="s">
        <v>431</v>
      </c>
      <c r="C29" s="285">
        <v>821</v>
      </c>
      <c r="D29" s="286">
        <f>Rashodi!F101</f>
        <v>3688470</v>
      </c>
      <c r="E29" s="286">
        <f>Rashodi!G101</f>
        <v>3688470</v>
      </c>
      <c r="F29" s="286">
        <f>Rashodi!H101</f>
        <v>1867774</v>
      </c>
      <c r="G29" s="271">
        <f>Rashodi!K101</f>
        <v>3327391</v>
      </c>
      <c r="H29" s="287">
        <f>IF(E29=0,,G29/E29*100)</f>
        <v>90.210602228024086</v>
      </c>
      <c r="I29" s="287">
        <f t="shared" si="1"/>
        <v>178.14740969731884</v>
      </c>
      <c r="J29" s="104"/>
      <c r="K29" s="276"/>
      <c r="L29" s="276"/>
      <c r="M29" s="276"/>
      <c r="N29" s="276"/>
      <c r="O29" s="276"/>
      <c r="P29" s="276"/>
      <c r="Q29" s="276"/>
      <c r="R29" s="276"/>
      <c r="S29" s="276"/>
      <c r="T29" s="276"/>
      <c r="U29" s="276"/>
      <c r="V29" s="276"/>
      <c r="W29" s="276"/>
      <c r="X29" s="276"/>
      <c r="Y29" s="276"/>
      <c r="Z29" s="276"/>
      <c r="AA29" s="276"/>
      <c r="AB29" s="276"/>
      <c r="AC29" s="276"/>
      <c r="AD29" s="276"/>
      <c r="AE29" s="276"/>
    </row>
    <row r="30" spans="2:31" s="273" customFormat="1" ht="14.1" customHeight="1" thickTop="1" thickBot="1">
      <c r="B30" s="303" t="s">
        <v>549</v>
      </c>
      <c r="C30" s="304"/>
      <c r="D30" s="305">
        <f>D27-D28</f>
        <v>-3665760</v>
      </c>
      <c r="E30" s="305">
        <f>E27-E28</f>
        <v>-3665760</v>
      </c>
      <c r="F30" s="320">
        <f>F27-F28</f>
        <v>-1857632</v>
      </c>
      <c r="G30" s="320">
        <f>G27-G28</f>
        <v>-3304694</v>
      </c>
      <c r="H30" s="306">
        <f t="shared" si="0"/>
        <v>90.150309894810349</v>
      </c>
      <c r="I30" s="306">
        <f t="shared" si="1"/>
        <v>177.89820588792614</v>
      </c>
      <c r="J30" s="104"/>
      <c r="K30" s="276"/>
      <c r="L30" s="276"/>
      <c r="M30" s="276"/>
      <c r="N30" s="276"/>
      <c r="O30" s="276"/>
      <c r="P30" s="276"/>
      <c r="Q30" s="276"/>
      <c r="R30" s="276"/>
      <c r="S30" s="276"/>
      <c r="T30" s="276"/>
      <c r="U30" s="276"/>
      <c r="V30" s="276"/>
      <c r="W30" s="276"/>
      <c r="X30" s="276"/>
      <c r="Y30" s="276"/>
      <c r="Z30" s="276"/>
      <c r="AA30" s="276"/>
      <c r="AB30" s="276"/>
      <c r="AC30" s="276"/>
      <c r="AD30" s="276"/>
    </row>
    <row r="31" spans="2:31" s="273" customFormat="1" ht="19.5" customHeight="1" thickTop="1" thickBot="1">
      <c r="B31" s="299" t="s">
        <v>550</v>
      </c>
      <c r="C31" s="300"/>
      <c r="D31" s="307">
        <f>D26+D30</f>
        <v>515920</v>
      </c>
      <c r="E31" s="307">
        <f>E26+E30</f>
        <v>515920</v>
      </c>
      <c r="F31" s="321">
        <f>F26+F30</f>
        <v>1918585</v>
      </c>
      <c r="G31" s="321">
        <f>G26+G30</f>
        <v>1228984</v>
      </c>
      <c r="H31" s="302">
        <f t="shared" si="0"/>
        <v>238.21212591099393</v>
      </c>
      <c r="I31" s="302">
        <f t="shared" si="1"/>
        <v>64.056791854413547</v>
      </c>
      <c r="J31" s="104"/>
      <c r="K31" s="276"/>
      <c r="L31" s="276"/>
      <c r="M31" s="276"/>
      <c r="N31" s="276"/>
      <c r="O31" s="276"/>
      <c r="P31" s="276"/>
      <c r="Q31" s="276"/>
      <c r="R31" s="276"/>
      <c r="S31" s="276"/>
      <c r="T31" s="276"/>
      <c r="U31" s="276"/>
      <c r="V31" s="276"/>
      <c r="W31" s="276"/>
      <c r="X31" s="276"/>
      <c r="Y31" s="276"/>
      <c r="Z31" s="276"/>
      <c r="AA31" s="276"/>
      <c r="AB31" s="276"/>
      <c r="AC31" s="276"/>
      <c r="AD31" s="276"/>
    </row>
    <row r="32" spans="2:31" s="273" customFormat="1" ht="14.1" customHeight="1" thickTop="1">
      <c r="B32" s="288" t="s">
        <v>551</v>
      </c>
      <c r="C32" s="289" t="s">
        <v>530</v>
      </c>
      <c r="D32" s="290">
        <f>0</f>
        <v>0</v>
      </c>
      <c r="E32" s="290">
        <f>0</f>
        <v>0</v>
      </c>
      <c r="F32" s="318">
        <f>0</f>
        <v>0</v>
      </c>
      <c r="G32" s="318">
        <f>0</f>
        <v>0</v>
      </c>
      <c r="H32" s="291">
        <f t="shared" si="0"/>
        <v>0</v>
      </c>
      <c r="I32" s="291">
        <f t="shared" si="1"/>
        <v>0</v>
      </c>
      <c r="J32" s="104"/>
      <c r="K32" s="276"/>
      <c r="L32" s="276"/>
      <c r="M32" s="276"/>
      <c r="N32" s="276"/>
      <c r="O32" s="276"/>
      <c r="P32" s="276"/>
      <c r="Q32" s="276"/>
      <c r="R32" s="276"/>
      <c r="S32" s="276"/>
      <c r="T32" s="276"/>
      <c r="U32" s="276"/>
      <c r="V32" s="276"/>
      <c r="W32" s="276"/>
      <c r="X32" s="276"/>
      <c r="Y32" s="276"/>
      <c r="Z32" s="276"/>
      <c r="AA32" s="276"/>
      <c r="AB32" s="276"/>
      <c r="AC32" s="276"/>
      <c r="AD32" s="276"/>
    </row>
    <row r="33" spans="2:31" s="273" customFormat="1" ht="14.1" customHeight="1">
      <c r="B33" s="308" t="s">
        <v>748</v>
      </c>
      <c r="C33" s="309" t="s">
        <v>529</v>
      </c>
      <c r="D33" s="310">
        <f>D34</f>
        <v>515920</v>
      </c>
      <c r="E33" s="310">
        <f>E34</f>
        <v>515920</v>
      </c>
      <c r="F33" s="310">
        <f>F34</f>
        <v>512956</v>
      </c>
      <c r="G33" s="322">
        <f>G34</f>
        <v>515908</v>
      </c>
      <c r="H33" s="291">
        <f t="shared" si="0"/>
        <v>99.997674057993493</v>
      </c>
      <c r="I33" s="291">
        <f t="shared" si="1"/>
        <v>100.575487956082</v>
      </c>
      <c r="J33" s="104"/>
      <c r="K33" s="276"/>
      <c r="L33" s="276"/>
      <c r="M33" s="276"/>
      <c r="N33" s="276"/>
      <c r="O33" s="276"/>
      <c r="P33" s="276"/>
      <c r="Q33" s="276"/>
      <c r="R33" s="276"/>
      <c r="S33" s="276"/>
      <c r="T33" s="276"/>
      <c r="U33" s="276"/>
      <c r="V33" s="276"/>
      <c r="W33" s="276"/>
      <c r="X33" s="276"/>
      <c r="Y33" s="276"/>
      <c r="Z33" s="276"/>
      <c r="AA33" s="276"/>
      <c r="AB33" s="276"/>
      <c r="AC33" s="276"/>
      <c r="AD33" s="276"/>
    </row>
    <row r="34" spans="2:31" s="273" customFormat="1" ht="12.95" customHeight="1" thickBot="1">
      <c r="B34" s="284" t="s">
        <v>306</v>
      </c>
      <c r="C34" s="285">
        <v>823</v>
      </c>
      <c r="D34" s="286">
        <f>Rashodi!F109</f>
        <v>515920</v>
      </c>
      <c r="E34" s="286">
        <f>Rashodi!G109</f>
        <v>515920</v>
      </c>
      <c r="F34" s="286">
        <f>Rashodi!H109</f>
        <v>512956</v>
      </c>
      <c r="G34" s="271">
        <f>Rashodi!K109</f>
        <v>515908</v>
      </c>
      <c r="H34" s="287">
        <f t="shared" si="0"/>
        <v>99.997674057993493</v>
      </c>
      <c r="I34" s="287">
        <f t="shared" si="1"/>
        <v>100.575487956082</v>
      </c>
      <c r="J34" s="104"/>
      <c r="K34" s="276"/>
      <c r="L34" s="276"/>
      <c r="M34" s="276"/>
      <c r="N34" s="276"/>
      <c r="O34" s="276"/>
      <c r="P34" s="276"/>
      <c r="Q34" s="276"/>
      <c r="R34" s="276"/>
      <c r="S34" s="276"/>
      <c r="T34" s="276"/>
      <c r="U34" s="276"/>
      <c r="V34" s="276"/>
      <c r="W34" s="276"/>
      <c r="X34" s="276"/>
      <c r="Y34" s="276"/>
      <c r="Z34" s="276"/>
      <c r="AA34" s="276"/>
      <c r="AB34" s="276"/>
      <c r="AC34" s="276"/>
      <c r="AD34" s="276"/>
      <c r="AE34" s="276"/>
    </row>
    <row r="35" spans="2:31" s="273" customFormat="1" ht="14.1" customHeight="1" thickTop="1" thickBot="1">
      <c r="B35" s="303" t="s">
        <v>552</v>
      </c>
      <c r="C35" s="304"/>
      <c r="D35" s="305">
        <f>D32-D33</f>
        <v>-515920</v>
      </c>
      <c r="E35" s="305">
        <f>E32-E33</f>
        <v>-515920</v>
      </c>
      <c r="F35" s="320">
        <f>F32-F33</f>
        <v>-512956</v>
      </c>
      <c r="G35" s="320">
        <f>G32-G33</f>
        <v>-515908</v>
      </c>
      <c r="H35" s="306">
        <f t="shared" si="0"/>
        <v>99.997674057993493</v>
      </c>
      <c r="I35" s="306">
        <f t="shared" si="1"/>
        <v>100.575487956082</v>
      </c>
      <c r="J35" s="104"/>
      <c r="K35" s="276"/>
      <c r="L35" s="276"/>
      <c r="M35" s="276"/>
      <c r="N35" s="276"/>
      <c r="O35" s="276"/>
      <c r="P35" s="276"/>
      <c r="Q35" s="276"/>
      <c r="R35" s="276"/>
      <c r="S35" s="276"/>
      <c r="T35" s="276"/>
      <c r="U35" s="276"/>
      <c r="V35" s="276"/>
      <c r="W35" s="276"/>
      <c r="X35" s="276"/>
      <c r="Y35" s="276"/>
      <c r="Z35" s="276"/>
      <c r="AA35" s="276"/>
      <c r="AB35" s="276"/>
      <c r="AC35" s="276"/>
      <c r="AD35" s="276"/>
    </row>
    <row r="36" spans="2:31" s="273" customFormat="1" ht="14.1" customHeight="1" thickTop="1" thickBot="1">
      <c r="B36" s="303" t="s">
        <v>553</v>
      </c>
      <c r="C36" s="304"/>
      <c r="D36" s="305">
        <f>D31+D35</f>
        <v>0</v>
      </c>
      <c r="E36" s="305">
        <f>E31+E35</f>
        <v>0</v>
      </c>
      <c r="F36" s="320">
        <f>F31+F35</f>
        <v>1405629</v>
      </c>
      <c r="G36" s="320">
        <f>G31+G35</f>
        <v>713076</v>
      </c>
      <c r="H36" s="872">
        <f t="shared" si="0"/>
        <v>0</v>
      </c>
      <c r="I36" s="872">
        <f t="shared" si="1"/>
        <v>50.730029047494043</v>
      </c>
      <c r="J36" s="104"/>
      <c r="K36" s="276"/>
      <c r="L36" s="276"/>
      <c r="M36" s="276"/>
      <c r="N36" s="276"/>
      <c r="O36" s="276"/>
      <c r="P36" s="276"/>
      <c r="Q36" s="276"/>
      <c r="R36" s="276"/>
      <c r="S36" s="276"/>
      <c r="T36" s="276"/>
      <c r="U36" s="276"/>
      <c r="V36" s="276"/>
      <c r="W36" s="276"/>
      <c r="X36" s="276"/>
      <c r="Y36" s="276"/>
      <c r="Z36" s="276"/>
      <c r="AA36" s="276"/>
      <c r="AB36" s="276"/>
      <c r="AC36" s="276"/>
      <c r="AD36" s="276"/>
    </row>
    <row r="37" spans="2:31" s="273" customFormat="1" ht="9" customHeight="1" thickTop="1">
      <c r="B37" s="311"/>
      <c r="C37" s="312"/>
      <c r="D37" s="313"/>
      <c r="E37" s="313"/>
      <c r="F37" s="323"/>
      <c r="G37" s="323"/>
      <c r="H37" s="314"/>
      <c r="I37" s="314"/>
      <c r="J37" s="104"/>
      <c r="K37" s="276"/>
      <c r="L37" s="276"/>
      <c r="M37" s="276"/>
      <c r="N37" s="276"/>
      <c r="O37" s="276"/>
      <c r="P37" s="276"/>
      <c r="Q37" s="276"/>
      <c r="R37" s="276"/>
      <c r="S37" s="276"/>
      <c r="T37" s="276"/>
      <c r="U37" s="276"/>
      <c r="V37" s="276"/>
      <c r="W37" s="276"/>
      <c r="X37" s="276"/>
      <c r="Y37" s="276"/>
      <c r="Z37" s="276"/>
      <c r="AA37" s="276"/>
      <c r="AB37" s="276"/>
      <c r="AC37" s="276"/>
      <c r="AD37" s="276"/>
    </row>
    <row r="38" spans="2:31" s="273" customFormat="1" ht="14.1" customHeight="1">
      <c r="B38" s="288" t="s">
        <v>554</v>
      </c>
      <c r="C38" s="289"/>
      <c r="D38" s="290">
        <f>D12+D27+D32</f>
        <v>58756610</v>
      </c>
      <c r="E38" s="290">
        <f>E12+E27+E32</f>
        <v>58756610</v>
      </c>
      <c r="F38" s="318">
        <f>F12+F27+F32</f>
        <v>48389030</v>
      </c>
      <c r="G38" s="318">
        <f>G12+G27+G32</f>
        <v>57914882</v>
      </c>
      <c r="H38" s="291">
        <f t="shared" si="0"/>
        <v>98.567432668426576</v>
      </c>
      <c r="I38" s="291">
        <f t="shared" si="1"/>
        <v>119.68597427970762</v>
      </c>
      <c r="J38" s="104"/>
      <c r="K38" s="315"/>
      <c r="L38" s="315"/>
      <c r="M38" s="276"/>
      <c r="N38" s="276"/>
      <c r="O38" s="276"/>
      <c r="P38" s="276"/>
      <c r="Q38" s="276"/>
      <c r="R38" s="276"/>
      <c r="S38" s="276"/>
      <c r="T38" s="276"/>
      <c r="U38" s="276"/>
      <c r="V38" s="276"/>
      <c r="W38" s="276"/>
      <c r="X38" s="276"/>
      <c r="Y38" s="276"/>
      <c r="Z38" s="276"/>
      <c r="AA38" s="276"/>
      <c r="AB38" s="276"/>
      <c r="AC38" s="276"/>
      <c r="AD38" s="276"/>
    </row>
    <row r="39" spans="2:31" s="273" customFormat="1" ht="14.1" customHeight="1">
      <c r="B39" s="288" t="s">
        <v>555</v>
      </c>
      <c r="C39" s="289"/>
      <c r="D39" s="290">
        <f>D18+D28+D33</f>
        <v>58756610</v>
      </c>
      <c r="E39" s="290">
        <f>E18+E28+E33</f>
        <v>58756610</v>
      </c>
      <c r="F39" s="318">
        <f>F18+F28+F33</f>
        <v>46983401</v>
      </c>
      <c r="G39" s="318">
        <f>G18+G28+G33</f>
        <v>57201806</v>
      </c>
      <c r="H39" s="291">
        <f t="shared" si="0"/>
        <v>97.353822829465486</v>
      </c>
      <c r="I39" s="291">
        <f t="shared" si="1"/>
        <v>121.74896832181221</v>
      </c>
      <c r="J39" s="104"/>
      <c r="K39" s="315"/>
      <c r="L39" s="315"/>
      <c r="M39" s="276"/>
      <c r="N39" s="276"/>
      <c r="O39" s="276"/>
      <c r="P39" s="276"/>
      <c r="Q39" s="276"/>
      <c r="R39" s="276"/>
      <c r="S39" s="276"/>
      <c r="T39" s="276"/>
      <c r="U39" s="276"/>
      <c r="V39" s="276"/>
      <c r="W39" s="276"/>
      <c r="X39" s="276"/>
      <c r="Y39" s="276"/>
      <c r="Z39" s="276"/>
      <c r="AA39" s="276"/>
      <c r="AB39" s="276"/>
      <c r="AC39" s="276"/>
      <c r="AD39" s="276"/>
    </row>
    <row r="40" spans="2:31" s="273" customFormat="1" ht="14.1" customHeight="1">
      <c r="B40" s="288" t="s">
        <v>556</v>
      </c>
      <c r="C40" s="289"/>
      <c r="D40" s="290">
        <f>D38-D39</f>
        <v>0</v>
      </c>
      <c r="E40" s="290">
        <f>E38-E39</f>
        <v>0</v>
      </c>
      <c r="F40" s="318">
        <f>F38-F39</f>
        <v>1405629</v>
      </c>
      <c r="G40" s="318">
        <f>G38-G39</f>
        <v>713076</v>
      </c>
      <c r="H40" s="871">
        <f t="shared" si="0"/>
        <v>0</v>
      </c>
      <c r="I40" s="871">
        <f t="shared" si="1"/>
        <v>50.730029047494043</v>
      </c>
      <c r="K40" s="276"/>
      <c r="L40" s="315"/>
      <c r="M40" s="276"/>
      <c r="N40" s="276"/>
      <c r="O40" s="276"/>
      <c r="P40" s="276"/>
      <c r="Q40" s="276"/>
      <c r="R40" s="276"/>
      <c r="S40" s="276"/>
      <c r="T40" s="276"/>
      <c r="U40" s="276"/>
      <c r="V40" s="276"/>
      <c r="W40" s="276"/>
      <c r="X40" s="276"/>
      <c r="Y40" s="276"/>
      <c r="Z40" s="276"/>
      <c r="AA40" s="276"/>
      <c r="AB40" s="276"/>
      <c r="AC40" s="276"/>
      <c r="AD40" s="276"/>
      <c r="AE40" s="276"/>
    </row>
    <row r="41" spans="2:31" ht="7.5" customHeight="1">
      <c r="B41" s="86"/>
      <c r="C41" s="86"/>
      <c r="D41" s="121"/>
      <c r="E41" s="121"/>
      <c r="F41" s="121"/>
      <c r="G41" s="121"/>
      <c r="H41" s="122"/>
      <c r="I41" s="122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</row>
    <row r="42" spans="2:31" ht="15" customHeight="1">
      <c r="B42" s="34"/>
      <c r="C42" s="34"/>
      <c r="D42" s="471"/>
      <c r="E42" s="346"/>
      <c r="F42" s="57"/>
      <c r="G42" s="57"/>
      <c r="H42" s="471"/>
      <c r="J42" s="471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</row>
    <row r="43" spans="2:31" s="839" customFormat="1" ht="15" customHeight="1">
      <c r="B43" s="34"/>
      <c r="C43" s="34"/>
      <c r="E43" s="346"/>
      <c r="F43" s="57"/>
      <c r="I43" s="906"/>
      <c r="J43" s="846"/>
      <c r="K43" s="846"/>
      <c r="L43" s="846"/>
      <c r="M43" s="846"/>
      <c r="N43" s="846"/>
      <c r="O43" s="846"/>
      <c r="P43" s="846"/>
      <c r="Q43" s="846"/>
      <c r="R43" s="846"/>
      <c r="S43" s="846"/>
      <c r="T43" s="846"/>
      <c r="U43" s="846"/>
      <c r="V43" s="846"/>
      <c r="W43" s="846"/>
      <c r="X43" s="846"/>
      <c r="Y43" s="846"/>
      <c r="Z43" s="846"/>
      <c r="AA43" s="846"/>
      <c r="AB43" s="846"/>
      <c r="AC43" s="846"/>
      <c r="AD43" s="846"/>
    </row>
    <row r="44" spans="2:31" s="839" customFormat="1" ht="15" customHeight="1">
      <c r="F44" s="473"/>
      <c r="I44" s="906"/>
      <c r="J44" s="846"/>
      <c r="K44" s="846"/>
      <c r="L44" s="846"/>
      <c r="M44" s="846"/>
      <c r="N44" s="846"/>
      <c r="O44" s="846"/>
      <c r="P44" s="846"/>
      <c r="Q44" s="846"/>
      <c r="R44" s="846"/>
      <c r="S44" s="846"/>
      <c r="T44" s="846"/>
      <c r="U44" s="846"/>
      <c r="V44" s="846"/>
      <c r="W44" s="846"/>
      <c r="X44" s="846"/>
      <c r="Y44" s="846"/>
      <c r="Z44" s="846"/>
      <c r="AA44" s="846"/>
      <c r="AB44" s="846"/>
      <c r="AC44" s="846"/>
      <c r="AD44" s="846"/>
    </row>
    <row r="45" spans="2:31" s="839" customFormat="1" ht="15.75" customHeight="1">
      <c r="B45" s="996"/>
      <c r="C45" s="996"/>
      <c r="D45" s="996"/>
      <c r="E45" s="996"/>
      <c r="F45" s="996"/>
      <c r="G45" s="996"/>
      <c r="H45" s="996"/>
      <c r="I45" s="907"/>
      <c r="J45" s="846"/>
      <c r="K45" s="846"/>
      <c r="L45" s="846"/>
      <c r="M45" s="846"/>
      <c r="N45" s="846"/>
      <c r="O45" s="846"/>
      <c r="P45" s="846"/>
      <c r="Q45" s="846"/>
      <c r="R45" s="846"/>
      <c r="S45" s="846"/>
      <c r="T45" s="846"/>
      <c r="U45" s="846"/>
      <c r="V45" s="846"/>
      <c r="W45" s="846"/>
      <c r="X45" s="846"/>
      <c r="Y45" s="846"/>
      <c r="Z45" s="846"/>
      <c r="AA45" s="846"/>
      <c r="AB45" s="846"/>
      <c r="AC45" s="846"/>
      <c r="AD45" s="846"/>
    </row>
    <row r="46" spans="2:31" ht="4.5" customHeight="1">
      <c r="B46" s="471"/>
      <c r="C46" s="471"/>
      <c r="D46" s="471"/>
      <c r="E46" s="471"/>
      <c r="F46" s="473"/>
      <c r="G46" s="473"/>
      <c r="H46" s="471"/>
      <c r="J46" s="471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</row>
    <row r="47" spans="2:31" ht="15.75" customHeight="1">
      <c r="B47" s="996"/>
      <c r="C47" s="996"/>
      <c r="D47" s="996"/>
      <c r="E47" s="996"/>
      <c r="F47" s="996"/>
      <c r="G47" s="996"/>
      <c r="H47" s="996"/>
      <c r="I47" s="996"/>
      <c r="J47" s="996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</row>
    <row r="48" spans="2:31" ht="15" customHeight="1">
      <c r="B48" s="48"/>
      <c r="C48" s="48"/>
      <c r="D48" s="47"/>
      <c r="E48" s="47"/>
      <c r="F48" s="722"/>
      <c r="G48" s="47"/>
      <c r="H48" s="47"/>
      <c r="I48" s="909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</row>
    <row r="49" spans="2:31" ht="15" customHeight="1">
      <c r="B49" s="47"/>
      <c r="C49" s="47"/>
      <c r="D49" s="47"/>
      <c r="E49" s="47"/>
      <c r="F49" s="722"/>
      <c r="G49" s="47"/>
      <c r="H49" s="47"/>
      <c r="I49" s="909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</row>
    <row r="50" spans="2:31" ht="15" customHeight="1">
      <c r="B50" s="47"/>
      <c r="C50" s="47"/>
      <c r="D50" s="47"/>
      <c r="E50" s="47"/>
      <c r="F50" s="722"/>
      <c r="G50" s="47"/>
      <c r="H50" s="47"/>
      <c r="I50" s="909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</row>
    <row r="51" spans="2:31" ht="15" customHeight="1">
      <c r="B51" s="47"/>
      <c r="C51" s="47"/>
      <c r="D51" s="47"/>
      <c r="E51" s="47"/>
      <c r="F51" s="722"/>
      <c r="G51" s="47"/>
      <c r="H51" s="47"/>
      <c r="I51" s="909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</row>
    <row r="52" spans="2:31" ht="15" customHeight="1">
      <c r="B52" s="47"/>
      <c r="C52" s="47"/>
      <c r="D52" s="47"/>
      <c r="E52" s="47"/>
      <c r="F52" s="722"/>
      <c r="G52" s="47"/>
      <c r="H52" s="47"/>
      <c r="I52" s="909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</row>
    <row r="53" spans="2:31" ht="15" customHeight="1">
      <c r="B53" s="47"/>
      <c r="C53" s="47"/>
      <c r="D53" s="47"/>
      <c r="E53" s="47"/>
      <c r="F53" s="722"/>
      <c r="G53" s="47"/>
      <c r="H53" s="47"/>
      <c r="I53" s="909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</row>
    <row r="54" spans="2:31" ht="15" customHeight="1">
      <c r="B54" s="47"/>
      <c r="C54" s="47"/>
      <c r="D54" s="47"/>
      <c r="E54" s="47"/>
      <c r="F54" s="722"/>
      <c r="G54" s="47"/>
      <c r="H54" s="47"/>
      <c r="I54" s="909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</row>
    <row r="55" spans="2:31" ht="15" customHeight="1">
      <c r="B55" s="47"/>
      <c r="C55" s="47"/>
      <c r="D55" s="47"/>
      <c r="E55" s="47"/>
      <c r="F55" s="722"/>
      <c r="G55" s="47"/>
      <c r="H55" s="47"/>
      <c r="I55" s="909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</row>
    <row r="56" spans="2:31" ht="15" customHeight="1">
      <c r="B56" s="47"/>
      <c r="C56" s="47"/>
      <c r="D56" s="47"/>
      <c r="E56" s="47"/>
      <c r="F56" s="722"/>
      <c r="G56" s="47"/>
      <c r="H56" s="47"/>
      <c r="I56" s="909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</row>
    <row r="57" spans="2:31" ht="15" customHeight="1">
      <c r="B57" s="47"/>
      <c r="C57" s="47"/>
      <c r="D57" s="47"/>
      <c r="E57" s="47"/>
      <c r="F57" s="722"/>
      <c r="G57" s="47"/>
      <c r="H57" s="47"/>
      <c r="I57" s="909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</row>
    <row r="58" spans="2:31" ht="15" customHeight="1">
      <c r="B58" s="47"/>
      <c r="C58" s="47"/>
      <c r="D58" s="47"/>
      <c r="E58" s="47"/>
      <c r="F58" s="722"/>
      <c r="G58" s="47"/>
      <c r="H58" s="47"/>
      <c r="I58" s="909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</row>
    <row r="59" spans="2:31" ht="15" customHeight="1">
      <c r="B59" s="47"/>
      <c r="C59" s="47"/>
      <c r="D59" s="47"/>
      <c r="E59" s="47"/>
      <c r="F59" s="722"/>
      <c r="G59" s="47"/>
      <c r="H59" s="47"/>
      <c r="I59" s="909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</row>
    <row r="60" spans="2:31" ht="15" customHeight="1">
      <c r="B60" s="47"/>
      <c r="C60" s="47"/>
      <c r="D60" s="47"/>
      <c r="E60" s="47"/>
      <c r="F60" s="722"/>
      <c r="G60" s="47"/>
      <c r="H60" s="47"/>
      <c r="I60" s="909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</row>
    <row r="61" spans="2:31" ht="15" customHeight="1">
      <c r="B61" s="47"/>
      <c r="C61" s="47"/>
      <c r="D61" s="47"/>
      <c r="E61" s="47"/>
      <c r="F61" s="722"/>
      <c r="G61" s="47"/>
      <c r="H61" s="47"/>
      <c r="I61" s="909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</row>
    <row r="62" spans="2:31" ht="15" customHeight="1">
      <c r="B62" s="47"/>
      <c r="C62" s="47"/>
      <c r="D62" s="47"/>
      <c r="E62" s="47"/>
      <c r="F62" s="722"/>
      <c r="G62" s="47"/>
      <c r="H62" s="47"/>
      <c r="I62" s="909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</row>
    <row r="63" spans="2:31" ht="15" customHeight="1">
      <c r="B63" s="47"/>
      <c r="C63" s="47"/>
      <c r="D63" s="47"/>
      <c r="E63" s="47"/>
      <c r="F63" s="722"/>
      <c r="G63" s="47"/>
      <c r="H63" s="47"/>
      <c r="I63" s="909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E63" s="47"/>
    </row>
    <row r="64" spans="2:31" ht="15" customHeight="1">
      <c r="B64" s="47"/>
      <c r="C64" s="47"/>
      <c r="D64" s="47"/>
      <c r="E64" s="47"/>
      <c r="F64" s="722"/>
      <c r="G64" s="47"/>
      <c r="H64" s="47"/>
      <c r="I64" s="909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</row>
    <row r="65" spans="2:31" ht="15" customHeight="1">
      <c r="B65" s="47"/>
      <c r="C65" s="47"/>
      <c r="D65" s="47"/>
      <c r="E65" s="47"/>
      <c r="F65" s="722"/>
      <c r="G65" s="47"/>
      <c r="H65" s="47"/>
      <c r="I65" s="909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E65" s="47"/>
    </row>
    <row r="66" spans="2:31" ht="15" customHeight="1">
      <c r="B66" s="47"/>
      <c r="C66" s="47"/>
      <c r="D66" s="47"/>
      <c r="E66" s="47"/>
      <c r="F66" s="722"/>
      <c r="G66" s="47"/>
      <c r="H66" s="47"/>
      <c r="I66" s="909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  <c r="AA66" s="47"/>
      <c r="AB66" s="47"/>
      <c r="AC66" s="47"/>
      <c r="AD66" s="47"/>
      <c r="AE66" s="47"/>
    </row>
    <row r="67" spans="2:31" ht="15" customHeight="1">
      <c r="B67" s="47"/>
      <c r="C67" s="47"/>
      <c r="D67" s="47"/>
      <c r="E67" s="47"/>
      <c r="F67" s="722"/>
      <c r="G67" s="47"/>
      <c r="H67" s="47"/>
      <c r="I67" s="909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  <c r="AB67" s="47"/>
      <c r="AC67" s="47"/>
      <c r="AD67" s="47"/>
      <c r="AE67" s="47"/>
    </row>
    <row r="68" spans="2:31" ht="15" customHeight="1">
      <c r="B68" s="47"/>
      <c r="C68" s="47"/>
      <c r="D68" s="47"/>
      <c r="E68" s="47"/>
      <c r="F68" s="722"/>
      <c r="G68" s="47"/>
      <c r="H68" s="47"/>
      <c r="I68" s="909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  <c r="AA68" s="47"/>
      <c r="AB68" s="47"/>
      <c r="AC68" s="47"/>
      <c r="AD68" s="47"/>
      <c r="AE68" s="47"/>
    </row>
    <row r="69" spans="2:31" ht="15" customHeight="1">
      <c r="B69" s="47"/>
      <c r="C69" s="47"/>
      <c r="D69" s="47"/>
      <c r="E69" s="47"/>
      <c r="F69" s="722"/>
      <c r="G69" s="47"/>
      <c r="H69" s="47"/>
      <c r="I69" s="909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47"/>
      <c r="AD69" s="47"/>
      <c r="AE69" s="47"/>
    </row>
    <row r="70" spans="2:31" ht="15" customHeight="1">
      <c r="B70" s="47"/>
      <c r="C70" s="47"/>
      <c r="D70" s="47"/>
      <c r="E70" s="47"/>
      <c r="F70" s="722"/>
      <c r="G70" s="47"/>
      <c r="H70" s="47"/>
      <c r="I70" s="909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  <c r="AA70" s="47"/>
      <c r="AB70" s="47"/>
      <c r="AC70" s="47"/>
      <c r="AD70" s="47"/>
      <c r="AE70" s="47"/>
    </row>
    <row r="71" spans="2:31" ht="15" customHeight="1">
      <c r="B71" s="47"/>
      <c r="C71" s="47"/>
      <c r="D71" s="47"/>
      <c r="E71" s="47"/>
      <c r="F71" s="722"/>
      <c r="G71" s="47"/>
      <c r="H71" s="47"/>
      <c r="I71" s="909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47"/>
      <c r="AD71" s="47"/>
      <c r="AE71" s="47"/>
    </row>
    <row r="72" spans="2:31" ht="15" customHeight="1">
      <c r="B72" s="47"/>
      <c r="C72" s="47"/>
      <c r="D72" s="47"/>
      <c r="E72" s="47"/>
      <c r="F72" s="722"/>
      <c r="G72" s="47"/>
      <c r="H72" s="47"/>
      <c r="I72" s="909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7"/>
      <c r="AA72" s="47"/>
      <c r="AB72" s="47"/>
      <c r="AC72" s="47"/>
      <c r="AD72" s="47"/>
      <c r="AE72" s="47"/>
    </row>
    <row r="73" spans="2:31" ht="15" customHeight="1">
      <c r="B73" s="47"/>
      <c r="C73" s="47"/>
      <c r="D73" s="47"/>
      <c r="E73" s="47"/>
      <c r="F73" s="722"/>
      <c r="G73" s="47"/>
      <c r="H73" s="47"/>
      <c r="I73" s="909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47"/>
      <c r="AD73" s="47"/>
      <c r="AE73" s="47"/>
    </row>
    <row r="74" spans="2:31" ht="15" customHeight="1">
      <c r="B74" s="47"/>
      <c r="C74" s="47"/>
      <c r="D74" s="47"/>
      <c r="E74" s="47"/>
      <c r="F74" s="722"/>
      <c r="G74" s="47"/>
      <c r="H74" s="47"/>
      <c r="I74" s="909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  <c r="AA74" s="47"/>
      <c r="AB74" s="47"/>
      <c r="AC74" s="47"/>
      <c r="AD74" s="47"/>
      <c r="AE74" s="47"/>
    </row>
    <row r="75" spans="2:31" ht="15" customHeight="1">
      <c r="B75" s="47"/>
      <c r="C75" s="47"/>
      <c r="D75" s="47"/>
      <c r="E75" s="47"/>
      <c r="F75" s="722"/>
      <c r="G75" s="47"/>
      <c r="H75" s="47"/>
      <c r="I75" s="909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7"/>
      <c r="Z75" s="47"/>
      <c r="AA75" s="47"/>
      <c r="AB75" s="47"/>
      <c r="AC75" s="47"/>
      <c r="AD75" s="47"/>
      <c r="AE75" s="47"/>
    </row>
    <row r="76" spans="2:31" ht="15" customHeight="1">
      <c r="B76" s="47"/>
      <c r="C76" s="47"/>
      <c r="D76" s="47"/>
      <c r="E76" s="47"/>
      <c r="F76" s="722"/>
      <c r="G76" s="47"/>
      <c r="H76" s="47"/>
      <c r="I76" s="909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7"/>
      <c r="Z76" s="47"/>
      <c r="AA76" s="47"/>
      <c r="AB76" s="47"/>
      <c r="AC76" s="47"/>
      <c r="AD76" s="47"/>
      <c r="AE76" s="47"/>
    </row>
    <row r="77" spans="2:31" ht="15" customHeight="1">
      <c r="B77" s="47"/>
      <c r="C77" s="47"/>
      <c r="D77" s="47"/>
      <c r="E77" s="47"/>
      <c r="F77" s="722"/>
      <c r="G77" s="47"/>
      <c r="H77" s="47"/>
      <c r="I77" s="909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E77" s="47"/>
    </row>
    <row r="78" spans="2:31" ht="15" customHeight="1">
      <c r="B78" s="47"/>
      <c r="C78" s="47"/>
      <c r="D78" s="47"/>
      <c r="E78" s="47"/>
      <c r="F78" s="722"/>
      <c r="G78" s="47"/>
      <c r="H78" s="47"/>
      <c r="I78" s="909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7"/>
      <c r="Z78" s="47"/>
      <c r="AA78" s="47"/>
      <c r="AB78" s="47"/>
      <c r="AC78" s="47"/>
      <c r="AD78" s="47"/>
      <c r="AE78" s="47"/>
    </row>
    <row r="79" spans="2:31" ht="15" customHeight="1">
      <c r="B79" s="47"/>
      <c r="C79" s="47"/>
      <c r="D79" s="47"/>
      <c r="E79" s="47"/>
      <c r="F79" s="722"/>
      <c r="G79" s="47"/>
      <c r="H79" s="47"/>
      <c r="I79" s="909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7"/>
      <c r="Z79" s="47"/>
      <c r="AA79" s="47"/>
      <c r="AB79" s="47"/>
      <c r="AC79" s="47"/>
      <c r="AD79" s="47"/>
      <c r="AE79" s="47"/>
    </row>
    <row r="80" spans="2:31" ht="15" customHeight="1">
      <c r="B80" s="47"/>
      <c r="C80" s="47"/>
      <c r="D80" s="47"/>
      <c r="E80" s="47"/>
      <c r="F80" s="722"/>
      <c r="G80" s="47"/>
      <c r="H80" s="47"/>
      <c r="I80" s="909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  <c r="X80" s="47"/>
      <c r="Y80" s="47"/>
      <c r="Z80" s="47"/>
      <c r="AA80" s="47"/>
      <c r="AB80" s="47"/>
      <c r="AC80" s="47"/>
      <c r="AD80" s="47"/>
      <c r="AE80" s="47"/>
    </row>
    <row r="81" spans="2:31" ht="15" customHeight="1">
      <c r="B81" s="47"/>
      <c r="C81" s="47"/>
      <c r="D81" s="47"/>
      <c r="E81" s="47"/>
      <c r="F81" s="722"/>
      <c r="G81" s="47"/>
      <c r="H81" s="47"/>
      <c r="I81" s="909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</row>
    <row r="82" spans="2:31" ht="15" customHeight="1">
      <c r="B82" s="47"/>
      <c r="C82" s="47"/>
      <c r="D82" s="47"/>
      <c r="E82" s="47"/>
      <c r="F82" s="722"/>
      <c r="G82" s="47"/>
      <c r="H82" s="47"/>
      <c r="I82" s="909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  <c r="X82" s="47"/>
      <c r="Y82" s="47"/>
      <c r="Z82" s="47"/>
      <c r="AA82" s="47"/>
      <c r="AB82" s="47"/>
      <c r="AC82" s="47"/>
      <c r="AD82" s="47"/>
      <c r="AE82" s="47"/>
    </row>
    <row r="83" spans="2:31" ht="15" customHeight="1">
      <c r="B83" s="47"/>
      <c r="C83" s="47"/>
      <c r="D83" s="47"/>
      <c r="E83" s="47"/>
      <c r="F83" s="722"/>
      <c r="G83" s="47"/>
      <c r="H83" s="47"/>
      <c r="I83" s="909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47"/>
      <c r="Z83" s="47"/>
      <c r="AA83" s="47"/>
      <c r="AB83" s="47"/>
      <c r="AC83" s="47"/>
      <c r="AD83" s="47"/>
      <c r="AE83" s="47"/>
    </row>
    <row r="84" spans="2:31" ht="15" customHeight="1">
      <c r="B84" s="47"/>
      <c r="C84" s="47"/>
      <c r="D84" s="47"/>
      <c r="E84" s="47"/>
      <c r="F84" s="722"/>
      <c r="G84" s="47"/>
      <c r="H84" s="47"/>
      <c r="I84" s="909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  <c r="X84" s="47"/>
      <c r="Y84" s="47"/>
      <c r="Z84" s="47"/>
      <c r="AA84" s="47"/>
      <c r="AB84" s="47"/>
      <c r="AC84" s="47"/>
      <c r="AD84" s="47"/>
      <c r="AE84" s="47"/>
    </row>
    <row r="85" spans="2:31" ht="15" customHeight="1">
      <c r="B85" s="47"/>
      <c r="C85" s="47"/>
      <c r="D85" s="47"/>
      <c r="E85" s="47"/>
      <c r="F85" s="722"/>
      <c r="G85" s="47"/>
      <c r="H85" s="47"/>
      <c r="I85" s="909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  <c r="X85" s="47"/>
      <c r="Y85" s="47"/>
      <c r="Z85" s="47"/>
      <c r="AA85" s="47"/>
      <c r="AB85" s="47"/>
      <c r="AC85" s="47"/>
      <c r="AD85" s="47"/>
      <c r="AE85" s="47"/>
    </row>
    <row r="86" spans="2:31" ht="15" customHeight="1">
      <c r="B86" s="47"/>
      <c r="C86" s="47"/>
      <c r="D86" s="47"/>
      <c r="E86" s="47"/>
      <c r="F86" s="722"/>
      <c r="G86" s="47"/>
      <c r="H86" s="47"/>
      <c r="I86" s="909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7"/>
      <c r="AA86" s="47"/>
      <c r="AB86" s="47"/>
      <c r="AC86" s="47"/>
      <c r="AD86" s="47"/>
      <c r="AE86" s="47"/>
    </row>
    <row r="87" spans="2:31" ht="15" customHeight="1">
      <c r="B87" s="47"/>
      <c r="C87" s="47"/>
      <c r="D87" s="47"/>
      <c r="E87" s="47"/>
      <c r="F87" s="722"/>
      <c r="G87" s="47"/>
      <c r="H87" s="47"/>
      <c r="I87" s="909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7"/>
      <c r="AA87" s="47"/>
      <c r="AB87" s="47"/>
      <c r="AC87" s="47"/>
      <c r="AD87" s="47"/>
      <c r="AE87" s="47"/>
    </row>
    <row r="88" spans="2:31" ht="15" customHeight="1">
      <c r="B88" s="47"/>
      <c r="C88" s="47"/>
      <c r="D88" s="47"/>
      <c r="E88" s="47"/>
      <c r="F88" s="722"/>
      <c r="G88" s="47"/>
      <c r="H88" s="47"/>
      <c r="I88" s="909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7"/>
      <c r="AA88" s="47"/>
      <c r="AB88" s="47"/>
      <c r="AC88" s="47"/>
      <c r="AD88" s="47"/>
      <c r="AE88" s="47"/>
    </row>
    <row r="89" spans="2:31" ht="15" customHeight="1">
      <c r="B89" s="47"/>
      <c r="C89" s="47"/>
      <c r="D89" s="47"/>
      <c r="E89" s="47"/>
      <c r="F89" s="722"/>
      <c r="G89" s="47"/>
      <c r="H89" s="47"/>
      <c r="I89" s="909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  <c r="X89" s="47"/>
      <c r="Y89" s="47"/>
      <c r="Z89" s="47"/>
      <c r="AA89" s="47"/>
      <c r="AB89" s="47"/>
      <c r="AC89" s="47"/>
      <c r="AD89" s="47"/>
      <c r="AE89" s="47"/>
    </row>
    <row r="90" spans="2:31" ht="15" customHeight="1">
      <c r="B90" s="47"/>
      <c r="C90" s="47"/>
      <c r="D90" s="47"/>
      <c r="E90" s="47"/>
      <c r="F90" s="722"/>
      <c r="G90" s="47"/>
      <c r="H90" s="47"/>
      <c r="I90" s="909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  <c r="X90" s="47"/>
      <c r="Y90" s="47"/>
      <c r="Z90" s="47"/>
      <c r="AA90" s="47"/>
      <c r="AB90" s="47"/>
      <c r="AC90" s="47"/>
      <c r="AD90" s="47"/>
      <c r="AE90" s="47"/>
    </row>
    <row r="91" spans="2:31" ht="15" customHeight="1">
      <c r="B91" s="47"/>
      <c r="C91" s="47"/>
      <c r="D91" s="47"/>
      <c r="E91" s="47"/>
      <c r="F91" s="722"/>
      <c r="G91" s="47"/>
      <c r="H91" s="47"/>
      <c r="I91" s="909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  <c r="X91" s="47"/>
      <c r="Y91" s="47"/>
      <c r="Z91" s="47"/>
      <c r="AA91" s="47"/>
      <c r="AB91" s="47"/>
      <c r="AC91" s="47"/>
      <c r="AD91" s="47"/>
      <c r="AE91" s="47"/>
    </row>
    <row r="92" spans="2:31" ht="15" customHeight="1">
      <c r="B92" s="47"/>
      <c r="C92" s="47"/>
      <c r="D92" s="47"/>
      <c r="E92" s="47"/>
      <c r="F92" s="722"/>
      <c r="G92" s="47"/>
      <c r="H92" s="47"/>
      <c r="I92" s="909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  <c r="X92" s="47"/>
      <c r="Y92" s="47"/>
      <c r="Z92" s="47"/>
      <c r="AA92" s="47"/>
      <c r="AB92" s="47"/>
      <c r="AC92" s="47"/>
      <c r="AD92" s="47"/>
      <c r="AE92" s="47"/>
    </row>
    <row r="93" spans="2:31" ht="15" customHeight="1">
      <c r="B93" s="47"/>
      <c r="C93" s="47"/>
      <c r="D93" s="47"/>
      <c r="E93" s="47"/>
      <c r="F93" s="722"/>
      <c r="G93" s="47"/>
      <c r="H93" s="47"/>
      <c r="I93" s="909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  <c r="X93" s="47"/>
      <c r="Y93" s="47"/>
      <c r="Z93" s="47"/>
      <c r="AA93" s="47"/>
      <c r="AB93" s="47"/>
      <c r="AC93" s="47"/>
      <c r="AD93" s="47"/>
      <c r="AE93" s="47"/>
    </row>
    <row r="94" spans="2:31" ht="15" customHeight="1">
      <c r="B94" s="47"/>
      <c r="C94" s="47"/>
      <c r="D94" s="47"/>
      <c r="E94" s="47"/>
      <c r="F94" s="722"/>
      <c r="G94" s="47"/>
      <c r="H94" s="47"/>
      <c r="I94" s="909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  <c r="X94" s="47"/>
      <c r="Y94" s="47"/>
      <c r="Z94" s="47"/>
      <c r="AA94" s="47"/>
      <c r="AB94" s="47"/>
      <c r="AC94" s="47"/>
      <c r="AD94" s="47"/>
      <c r="AE94" s="47"/>
    </row>
    <row r="95" spans="2:31" ht="15" customHeight="1">
      <c r="B95" s="47"/>
      <c r="C95" s="47"/>
      <c r="D95" s="47"/>
      <c r="E95" s="47"/>
      <c r="F95" s="722"/>
      <c r="G95" s="47"/>
      <c r="H95" s="47"/>
      <c r="I95" s="909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7"/>
      <c r="X95" s="47"/>
      <c r="Y95" s="47"/>
      <c r="Z95" s="47"/>
      <c r="AA95" s="47"/>
      <c r="AB95" s="47"/>
      <c r="AC95" s="47"/>
      <c r="AD95" s="47"/>
      <c r="AE95" s="47"/>
    </row>
    <row r="96" spans="2:31" ht="15" customHeight="1">
      <c r="B96" s="47"/>
      <c r="C96" s="47"/>
      <c r="D96" s="47"/>
      <c r="E96" s="47"/>
      <c r="F96" s="722"/>
      <c r="G96" s="47"/>
      <c r="H96" s="47"/>
      <c r="I96" s="909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  <c r="X96" s="47"/>
      <c r="Y96" s="47"/>
      <c r="Z96" s="47"/>
      <c r="AA96" s="47"/>
      <c r="AB96" s="47"/>
      <c r="AC96" s="47"/>
      <c r="AD96" s="47"/>
      <c r="AE96" s="47"/>
    </row>
    <row r="97" spans="2:31" ht="15" customHeight="1">
      <c r="B97" s="47"/>
      <c r="C97" s="47"/>
      <c r="D97" s="47"/>
      <c r="E97" s="47"/>
      <c r="F97" s="722"/>
      <c r="G97" s="47"/>
      <c r="H97" s="47"/>
      <c r="I97" s="909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  <c r="X97" s="47"/>
      <c r="Y97" s="47"/>
      <c r="Z97" s="47"/>
      <c r="AA97" s="47"/>
      <c r="AB97" s="47"/>
      <c r="AC97" s="47"/>
      <c r="AD97" s="47"/>
      <c r="AE97" s="47"/>
    </row>
    <row r="98" spans="2:31" ht="15" customHeight="1">
      <c r="B98" s="47"/>
      <c r="C98" s="47"/>
      <c r="D98" s="47"/>
      <c r="E98" s="47"/>
      <c r="F98" s="722"/>
      <c r="G98" s="47"/>
      <c r="H98" s="47"/>
      <c r="I98" s="909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  <c r="X98" s="47"/>
      <c r="Y98" s="47"/>
      <c r="Z98" s="47"/>
      <c r="AA98" s="47"/>
      <c r="AB98" s="47"/>
      <c r="AC98" s="47"/>
      <c r="AD98" s="47"/>
      <c r="AE98" s="47"/>
    </row>
    <row r="99" spans="2:31" ht="15" customHeight="1">
      <c r="B99" s="47"/>
      <c r="C99" s="47"/>
      <c r="D99" s="47"/>
      <c r="E99" s="47"/>
      <c r="F99" s="722"/>
      <c r="G99" s="47"/>
      <c r="H99" s="47"/>
      <c r="I99" s="909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  <c r="X99" s="47"/>
      <c r="Y99" s="47"/>
      <c r="Z99" s="47"/>
      <c r="AA99" s="47"/>
      <c r="AB99" s="47"/>
      <c r="AC99" s="47"/>
      <c r="AD99" s="47"/>
      <c r="AE99" s="47"/>
    </row>
    <row r="100" spans="2:31" ht="15" customHeight="1">
      <c r="B100" s="47"/>
      <c r="C100" s="47"/>
      <c r="D100" s="47"/>
      <c r="E100" s="47"/>
      <c r="F100" s="722"/>
      <c r="G100" s="47"/>
      <c r="H100" s="47"/>
      <c r="I100" s="909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  <c r="X100" s="47"/>
      <c r="Y100" s="47"/>
      <c r="Z100" s="47"/>
      <c r="AA100" s="47"/>
      <c r="AB100" s="47"/>
      <c r="AC100" s="47"/>
      <c r="AD100" s="47"/>
      <c r="AE100" s="47"/>
    </row>
    <row r="101" spans="2:31" ht="15" customHeight="1">
      <c r="B101" s="47"/>
      <c r="C101" s="47"/>
      <c r="D101" s="47"/>
      <c r="E101" s="47"/>
      <c r="F101" s="722"/>
      <c r="G101" s="47"/>
      <c r="H101" s="47"/>
      <c r="I101" s="909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  <c r="X101" s="47"/>
      <c r="Y101" s="47"/>
      <c r="Z101" s="47"/>
      <c r="AA101" s="47"/>
      <c r="AB101" s="47"/>
      <c r="AC101" s="47"/>
      <c r="AD101" s="47"/>
      <c r="AE101" s="47"/>
    </row>
    <row r="102" spans="2:31" ht="15" customHeight="1">
      <c r="B102" s="47"/>
      <c r="C102" s="47"/>
      <c r="D102" s="47"/>
      <c r="E102" s="47"/>
      <c r="F102" s="722"/>
      <c r="G102" s="47"/>
      <c r="H102" s="47"/>
      <c r="I102" s="909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  <c r="X102" s="47"/>
      <c r="Y102" s="47"/>
      <c r="Z102" s="47"/>
      <c r="AA102" s="47"/>
      <c r="AB102" s="47"/>
      <c r="AC102" s="47"/>
      <c r="AD102" s="47"/>
      <c r="AE102" s="47"/>
    </row>
    <row r="103" spans="2:31" ht="15" customHeight="1">
      <c r="B103" s="47"/>
      <c r="C103" s="47"/>
      <c r="D103" s="47"/>
      <c r="E103" s="47"/>
      <c r="F103" s="722"/>
      <c r="G103" s="47"/>
      <c r="H103" s="47"/>
      <c r="I103" s="909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  <c r="X103" s="47"/>
      <c r="Y103" s="47"/>
      <c r="Z103" s="47"/>
      <c r="AA103" s="47"/>
      <c r="AB103" s="47"/>
      <c r="AC103" s="47"/>
      <c r="AD103" s="47"/>
      <c r="AE103" s="47"/>
    </row>
    <row r="104" spans="2:31" ht="15" customHeight="1">
      <c r="B104" s="47"/>
      <c r="C104" s="47"/>
      <c r="D104" s="47"/>
      <c r="E104" s="47"/>
      <c r="F104" s="722"/>
      <c r="G104" s="47"/>
      <c r="H104" s="47"/>
      <c r="I104" s="909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  <c r="X104" s="47"/>
      <c r="Y104" s="47"/>
      <c r="Z104" s="47"/>
      <c r="AA104" s="47"/>
      <c r="AB104" s="47"/>
      <c r="AC104" s="47"/>
      <c r="AD104" s="47"/>
      <c r="AE104" s="47"/>
    </row>
    <row r="105" spans="2:31" ht="15" customHeight="1">
      <c r="B105" s="47"/>
      <c r="C105" s="47"/>
      <c r="D105" s="47"/>
      <c r="E105" s="47"/>
      <c r="F105" s="722"/>
      <c r="G105" s="47"/>
      <c r="H105" s="47"/>
      <c r="I105" s="909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  <c r="X105" s="47"/>
      <c r="Y105" s="47"/>
      <c r="Z105" s="47"/>
      <c r="AA105" s="47"/>
      <c r="AB105" s="47"/>
      <c r="AC105" s="47"/>
      <c r="AD105" s="47"/>
      <c r="AE105" s="47"/>
    </row>
    <row r="106" spans="2:31" ht="15" customHeight="1">
      <c r="B106" s="47"/>
      <c r="C106" s="47"/>
      <c r="D106" s="47"/>
      <c r="E106" s="47"/>
      <c r="F106" s="722"/>
      <c r="G106" s="47"/>
      <c r="H106" s="47"/>
      <c r="I106" s="909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47"/>
      <c r="Z106" s="47"/>
      <c r="AA106" s="47"/>
      <c r="AB106" s="47"/>
      <c r="AC106" s="47"/>
      <c r="AD106" s="47"/>
      <c r="AE106" s="47"/>
    </row>
    <row r="107" spans="2:31" ht="15" customHeight="1">
      <c r="B107" s="47"/>
      <c r="C107" s="47"/>
      <c r="D107" s="47"/>
      <c r="E107" s="47"/>
      <c r="F107" s="722"/>
      <c r="G107" s="47"/>
      <c r="H107" s="47"/>
      <c r="I107" s="909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7"/>
      <c r="X107" s="47"/>
      <c r="Y107" s="47"/>
      <c r="Z107" s="47"/>
      <c r="AA107" s="47"/>
      <c r="AB107" s="47"/>
      <c r="AC107" s="47"/>
      <c r="AD107" s="47"/>
      <c r="AE107" s="47"/>
    </row>
    <row r="108" spans="2:31" ht="15" customHeight="1">
      <c r="B108" s="47"/>
      <c r="C108" s="47"/>
      <c r="D108" s="47"/>
      <c r="E108" s="47"/>
      <c r="F108" s="722"/>
      <c r="G108" s="47"/>
      <c r="H108" s="47"/>
      <c r="I108" s="909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  <c r="W108" s="47"/>
      <c r="X108" s="47"/>
      <c r="Y108" s="47"/>
      <c r="Z108" s="47"/>
      <c r="AA108" s="47"/>
      <c r="AB108" s="47"/>
      <c r="AC108" s="47"/>
      <c r="AD108" s="47"/>
      <c r="AE108" s="47"/>
    </row>
    <row r="109" spans="2:31" ht="15" customHeight="1">
      <c r="B109" s="47"/>
      <c r="C109" s="47"/>
      <c r="D109" s="47"/>
      <c r="E109" s="47"/>
      <c r="F109" s="722"/>
      <c r="G109" s="47"/>
      <c r="H109" s="47"/>
      <c r="I109" s="909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7"/>
      <c r="Z109" s="47"/>
      <c r="AA109" s="47"/>
      <c r="AB109" s="47"/>
      <c r="AC109" s="47"/>
      <c r="AD109" s="47"/>
      <c r="AE109" s="47"/>
    </row>
    <row r="110" spans="2:31" ht="15" customHeight="1">
      <c r="B110" s="47"/>
      <c r="C110" s="47"/>
      <c r="D110" s="47"/>
      <c r="E110" s="47"/>
      <c r="F110" s="722"/>
      <c r="G110" s="47"/>
      <c r="H110" s="47"/>
      <c r="I110" s="909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V110" s="47"/>
      <c r="W110" s="47"/>
      <c r="X110" s="47"/>
      <c r="Y110" s="47"/>
      <c r="Z110" s="47"/>
      <c r="AA110" s="47"/>
      <c r="AB110" s="47"/>
      <c r="AC110" s="47"/>
      <c r="AD110" s="47"/>
      <c r="AE110" s="47"/>
    </row>
    <row r="111" spans="2:31" ht="15" customHeight="1">
      <c r="B111" s="47"/>
      <c r="C111" s="47"/>
      <c r="D111" s="47"/>
      <c r="E111" s="47"/>
      <c r="F111" s="722"/>
      <c r="G111" s="47"/>
      <c r="H111" s="47"/>
      <c r="I111" s="909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V111" s="47"/>
      <c r="W111" s="47"/>
      <c r="X111" s="47"/>
      <c r="Y111" s="47"/>
      <c r="Z111" s="47"/>
      <c r="AA111" s="47"/>
      <c r="AB111" s="47"/>
      <c r="AC111" s="47"/>
      <c r="AD111" s="47"/>
      <c r="AE111" s="47"/>
    </row>
    <row r="112" spans="2:31" ht="15" customHeight="1">
      <c r="B112" s="47"/>
      <c r="C112" s="47"/>
      <c r="D112" s="47"/>
      <c r="E112" s="47"/>
      <c r="F112" s="722"/>
      <c r="G112" s="47"/>
      <c r="H112" s="47"/>
      <c r="I112" s="909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7"/>
      <c r="U112" s="47"/>
      <c r="V112" s="47"/>
      <c r="W112" s="47"/>
      <c r="X112" s="47"/>
      <c r="Y112" s="47"/>
      <c r="Z112" s="47"/>
      <c r="AA112" s="47"/>
      <c r="AB112" s="47"/>
      <c r="AC112" s="47"/>
      <c r="AD112" s="47"/>
      <c r="AE112" s="47"/>
    </row>
    <row r="113" spans="2:31" ht="15" customHeight="1">
      <c r="B113" s="47"/>
      <c r="C113" s="47"/>
      <c r="D113" s="47"/>
      <c r="E113" s="47"/>
      <c r="F113" s="722"/>
      <c r="G113" s="47"/>
      <c r="H113" s="47"/>
      <c r="I113" s="909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/>
      <c r="W113" s="47"/>
      <c r="X113" s="47"/>
      <c r="Y113" s="47"/>
      <c r="Z113" s="47"/>
      <c r="AA113" s="47"/>
      <c r="AB113" s="47"/>
      <c r="AC113" s="47"/>
      <c r="AD113" s="47"/>
      <c r="AE113" s="47"/>
    </row>
    <row r="114" spans="2:31" ht="15" customHeight="1">
      <c r="B114" s="47"/>
      <c r="C114" s="47"/>
      <c r="D114" s="47"/>
      <c r="E114" s="47"/>
      <c r="F114" s="722"/>
      <c r="G114" s="47"/>
      <c r="H114" s="47"/>
      <c r="I114" s="909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7"/>
      <c r="X114" s="47"/>
      <c r="Y114" s="47"/>
      <c r="Z114" s="47"/>
      <c r="AA114" s="47"/>
      <c r="AB114" s="47"/>
      <c r="AC114" s="47"/>
      <c r="AD114" s="47"/>
      <c r="AE114" s="47"/>
    </row>
    <row r="115" spans="2:31" ht="15" customHeight="1">
      <c r="B115" s="47"/>
      <c r="C115" s="47"/>
      <c r="D115" s="47"/>
      <c r="E115" s="47"/>
      <c r="F115" s="722"/>
      <c r="G115" s="47"/>
      <c r="H115" s="47"/>
      <c r="I115" s="909"/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47"/>
      <c r="V115" s="47"/>
      <c r="W115" s="47"/>
      <c r="X115" s="47"/>
      <c r="Y115" s="47"/>
      <c r="Z115" s="47"/>
      <c r="AA115" s="47"/>
      <c r="AB115" s="47"/>
      <c r="AC115" s="47"/>
      <c r="AD115" s="47"/>
      <c r="AE115" s="47"/>
    </row>
    <row r="116" spans="2:31" ht="15" customHeight="1">
      <c r="B116" s="47"/>
      <c r="C116" s="47"/>
      <c r="D116" s="47"/>
      <c r="E116" s="47"/>
      <c r="F116" s="722"/>
      <c r="G116" s="47"/>
      <c r="H116" s="47"/>
      <c r="I116" s="909"/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V116" s="47"/>
      <c r="W116" s="47"/>
      <c r="X116" s="47"/>
      <c r="Y116" s="47"/>
      <c r="Z116" s="47"/>
      <c r="AA116" s="47"/>
      <c r="AB116" s="47"/>
      <c r="AC116" s="47"/>
      <c r="AD116" s="47"/>
      <c r="AE116" s="47"/>
    </row>
    <row r="117" spans="2:31" ht="15" customHeight="1">
      <c r="B117" s="47"/>
      <c r="C117" s="47"/>
      <c r="D117" s="47"/>
      <c r="E117" s="47"/>
      <c r="F117" s="722"/>
      <c r="G117" s="47"/>
      <c r="H117" s="47"/>
      <c r="I117" s="909"/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47"/>
      <c r="U117" s="47"/>
      <c r="V117" s="47"/>
      <c r="W117" s="47"/>
      <c r="X117" s="47"/>
      <c r="Y117" s="47"/>
      <c r="Z117" s="47"/>
      <c r="AA117" s="47"/>
      <c r="AB117" s="47"/>
      <c r="AC117" s="47"/>
      <c r="AD117" s="47"/>
      <c r="AE117" s="47"/>
    </row>
    <row r="118" spans="2:31" ht="15" customHeight="1">
      <c r="B118" s="47"/>
      <c r="C118" s="47"/>
      <c r="D118" s="47"/>
      <c r="E118" s="47"/>
      <c r="F118" s="722"/>
      <c r="G118" s="47"/>
      <c r="H118" s="47"/>
      <c r="I118" s="909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47"/>
      <c r="U118" s="47"/>
      <c r="V118" s="47"/>
      <c r="W118" s="47"/>
      <c r="X118" s="47"/>
      <c r="Y118" s="47"/>
      <c r="Z118" s="47"/>
      <c r="AA118" s="47"/>
      <c r="AB118" s="47"/>
      <c r="AC118" s="47"/>
      <c r="AD118" s="47"/>
      <c r="AE118" s="47"/>
    </row>
    <row r="119" spans="2:31" ht="15" customHeight="1">
      <c r="B119" s="47"/>
      <c r="C119" s="47"/>
      <c r="D119" s="47"/>
      <c r="E119" s="47"/>
      <c r="F119" s="722"/>
      <c r="G119" s="47"/>
      <c r="H119" s="47"/>
      <c r="I119" s="909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7"/>
      <c r="U119" s="47"/>
      <c r="V119" s="47"/>
      <c r="W119" s="47"/>
      <c r="X119" s="47"/>
      <c r="Y119" s="47"/>
      <c r="Z119" s="47"/>
      <c r="AA119" s="47"/>
      <c r="AB119" s="47"/>
      <c r="AC119" s="47"/>
      <c r="AD119" s="47"/>
      <c r="AE119" s="47"/>
    </row>
    <row r="120" spans="2:31" ht="15" customHeight="1">
      <c r="B120" s="47"/>
      <c r="C120" s="47"/>
      <c r="D120" s="47"/>
      <c r="E120" s="47"/>
      <c r="F120" s="722"/>
      <c r="G120" s="47"/>
      <c r="H120" s="47"/>
      <c r="I120" s="909"/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T120" s="47"/>
      <c r="U120" s="47"/>
      <c r="V120" s="47"/>
      <c r="W120" s="47"/>
      <c r="X120" s="47"/>
      <c r="Y120" s="47"/>
      <c r="Z120" s="47"/>
      <c r="AA120" s="47"/>
      <c r="AB120" s="47"/>
      <c r="AC120" s="47"/>
      <c r="AD120" s="47"/>
      <c r="AE120" s="47"/>
    </row>
    <row r="121" spans="2:31" ht="15" customHeight="1">
      <c r="B121" s="47"/>
      <c r="C121" s="47"/>
      <c r="D121" s="47"/>
      <c r="E121" s="47"/>
      <c r="F121" s="722"/>
      <c r="G121" s="47"/>
      <c r="H121" s="47"/>
      <c r="I121" s="909"/>
      <c r="J121" s="47"/>
      <c r="K121" s="47"/>
      <c r="L121" s="47"/>
      <c r="M121" s="47"/>
      <c r="N121" s="47"/>
      <c r="O121" s="47"/>
      <c r="P121" s="47"/>
      <c r="Q121" s="47"/>
      <c r="R121" s="47"/>
      <c r="S121" s="47"/>
      <c r="T121" s="47"/>
      <c r="U121" s="47"/>
      <c r="V121" s="47"/>
      <c r="W121" s="47"/>
      <c r="X121" s="47"/>
      <c r="Y121" s="47"/>
      <c r="Z121" s="47"/>
      <c r="AA121" s="47"/>
      <c r="AB121" s="47"/>
      <c r="AC121" s="47"/>
      <c r="AD121" s="47"/>
      <c r="AE121" s="47"/>
    </row>
    <row r="122" spans="2:31" ht="15" customHeight="1">
      <c r="B122" s="47"/>
      <c r="C122" s="47"/>
      <c r="D122" s="47"/>
      <c r="E122" s="47"/>
      <c r="F122" s="722"/>
      <c r="G122" s="47"/>
      <c r="H122" s="47"/>
      <c r="I122" s="909"/>
      <c r="J122" s="47"/>
      <c r="K122" s="47"/>
      <c r="L122" s="47"/>
      <c r="M122" s="47"/>
      <c r="N122" s="47"/>
      <c r="O122" s="47"/>
      <c r="P122" s="47"/>
      <c r="Q122" s="47"/>
      <c r="R122" s="47"/>
      <c r="S122" s="47"/>
      <c r="T122" s="47"/>
      <c r="U122" s="47"/>
      <c r="V122" s="47"/>
      <c r="W122" s="47"/>
      <c r="X122" s="47"/>
      <c r="Y122" s="47"/>
      <c r="Z122" s="47"/>
      <c r="AA122" s="47"/>
      <c r="AB122" s="47"/>
      <c r="AC122" s="47"/>
      <c r="AD122" s="47"/>
      <c r="AE122" s="47"/>
    </row>
    <row r="123" spans="2:31" ht="15" customHeight="1">
      <c r="B123" s="47"/>
      <c r="C123" s="47"/>
      <c r="D123" s="47"/>
      <c r="E123" s="47"/>
      <c r="F123" s="722"/>
      <c r="G123" s="47"/>
      <c r="H123" s="47"/>
      <c r="I123" s="909"/>
      <c r="J123" s="47"/>
      <c r="K123" s="47"/>
      <c r="L123" s="47"/>
      <c r="M123" s="47"/>
      <c r="N123" s="47"/>
      <c r="O123" s="47"/>
      <c r="P123" s="47"/>
      <c r="Q123" s="47"/>
      <c r="R123" s="47"/>
      <c r="S123" s="47"/>
      <c r="T123" s="47"/>
      <c r="U123" s="47"/>
      <c r="V123" s="47"/>
      <c r="W123" s="47"/>
      <c r="X123" s="47"/>
      <c r="Y123" s="47"/>
      <c r="Z123" s="47"/>
      <c r="AA123" s="47"/>
      <c r="AB123" s="47"/>
      <c r="AC123" s="47"/>
      <c r="AD123" s="47"/>
      <c r="AE123" s="47"/>
    </row>
    <row r="124" spans="2:31" ht="15" customHeight="1">
      <c r="B124" s="47"/>
      <c r="C124" s="47"/>
      <c r="D124" s="47"/>
      <c r="E124" s="47"/>
      <c r="F124" s="722"/>
      <c r="G124" s="47"/>
      <c r="H124" s="47"/>
      <c r="I124" s="909"/>
      <c r="J124" s="47"/>
      <c r="K124" s="47"/>
      <c r="L124" s="47"/>
      <c r="M124" s="47"/>
      <c r="N124" s="47"/>
      <c r="O124" s="47"/>
      <c r="P124" s="47"/>
      <c r="Q124" s="47"/>
      <c r="R124" s="47"/>
      <c r="S124" s="47"/>
      <c r="T124" s="47"/>
      <c r="U124" s="47"/>
      <c r="V124" s="47"/>
      <c r="W124" s="47"/>
      <c r="X124" s="47"/>
      <c r="Y124" s="47"/>
      <c r="Z124" s="47"/>
      <c r="AA124" s="47"/>
      <c r="AB124" s="47"/>
      <c r="AC124" s="47"/>
      <c r="AD124" s="47"/>
      <c r="AE124" s="47"/>
    </row>
    <row r="125" spans="2:31" ht="15" customHeight="1">
      <c r="B125" s="47"/>
      <c r="C125" s="47"/>
      <c r="D125" s="47"/>
      <c r="E125" s="47"/>
      <c r="F125" s="722"/>
      <c r="G125" s="47"/>
      <c r="H125" s="47"/>
      <c r="I125" s="909"/>
      <c r="J125" s="47"/>
      <c r="K125" s="47"/>
      <c r="L125" s="47"/>
      <c r="M125" s="47"/>
      <c r="N125" s="47"/>
      <c r="O125" s="47"/>
      <c r="P125" s="47"/>
      <c r="Q125" s="47"/>
      <c r="R125" s="47"/>
      <c r="S125" s="47"/>
      <c r="T125" s="47"/>
      <c r="U125" s="47"/>
      <c r="V125" s="47"/>
      <c r="W125" s="47"/>
      <c r="X125" s="47"/>
      <c r="Y125" s="47"/>
      <c r="Z125" s="47"/>
      <c r="AA125" s="47"/>
      <c r="AB125" s="47"/>
      <c r="AC125" s="47"/>
      <c r="AD125" s="47"/>
      <c r="AE125" s="47"/>
    </row>
    <row r="126" spans="2:31" ht="15" customHeight="1">
      <c r="B126" s="47"/>
      <c r="C126" s="47"/>
      <c r="D126" s="47"/>
      <c r="E126" s="47"/>
      <c r="F126" s="722"/>
      <c r="G126" s="47"/>
      <c r="H126" s="47"/>
      <c r="I126" s="909"/>
      <c r="J126" s="47"/>
      <c r="K126" s="47"/>
      <c r="L126" s="47"/>
      <c r="M126" s="47"/>
      <c r="N126" s="47"/>
      <c r="O126" s="47"/>
      <c r="P126" s="47"/>
      <c r="Q126" s="47"/>
      <c r="R126" s="47"/>
      <c r="S126" s="47"/>
      <c r="T126" s="47"/>
      <c r="U126" s="47"/>
      <c r="V126" s="47"/>
      <c r="W126" s="47"/>
      <c r="X126" s="47"/>
      <c r="Y126" s="47"/>
      <c r="Z126" s="47"/>
      <c r="AA126" s="47"/>
      <c r="AB126" s="47"/>
      <c r="AC126" s="47"/>
      <c r="AD126" s="47"/>
      <c r="AE126" s="47"/>
    </row>
    <row r="127" spans="2:31" ht="15" customHeight="1">
      <c r="B127" s="47"/>
      <c r="C127" s="47"/>
      <c r="D127" s="47"/>
      <c r="E127" s="47"/>
      <c r="F127" s="722"/>
      <c r="G127" s="47"/>
      <c r="H127" s="47"/>
      <c r="I127" s="909"/>
      <c r="J127" s="47"/>
      <c r="K127" s="47"/>
      <c r="L127" s="47"/>
      <c r="M127" s="47"/>
      <c r="N127" s="47"/>
      <c r="O127" s="47"/>
      <c r="P127" s="47"/>
      <c r="Q127" s="47"/>
      <c r="R127" s="47"/>
      <c r="S127" s="47"/>
      <c r="T127" s="47"/>
      <c r="U127" s="47"/>
      <c r="V127" s="47"/>
      <c r="W127" s="47"/>
      <c r="X127" s="47"/>
      <c r="Y127" s="47"/>
      <c r="Z127" s="47"/>
      <c r="AA127" s="47"/>
      <c r="AB127" s="47"/>
      <c r="AC127" s="47"/>
      <c r="AD127" s="47"/>
      <c r="AE127" s="47"/>
    </row>
    <row r="128" spans="2:31" ht="15" customHeight="1">
      <c r="B128" s="47"/>
      <c r="C128" s="47"/>
      <c r="D128" s="47"/>
      <c r="E128" s="47"/>
      <c r="F128" s="722"/>
      <c r="G128" s="47"/>
      <c r="H128" s="47"/>
      <c r="I128" s="909"/>
      <c r="J128" s="47"/>
      <c r="K128" s="47"/>
      <c r="L128" s="47"/>
      <c r="M128" s="47"/>
      <c r="N128" s="47"/>
      <c r="O128" s="47"/>
      <c r="P128" s="47"/>
      <c r="Q128" s="47"/>
      <c r="R128" s="47"/>
      <c r="S128" s="47"/>
      <c r="T128" s="47"/>
      <c r="U128" s="47"/>
      <c r="V128" s="47"/>
      <c r="W128" s="47"/>
      <c r="X128" s="47"/>
      <c r="Y128" s="47"/>
      <c r="Z128" s="47"/>
      <c r="AA128" s="47"/>
      <c r="AB128" s="47"/>
      <c r="AC128" s="47"/>
      <c r="AD128" s="47"/>
      <c r="AE128" s="47"/>
    </row>
    <row r="129" spans="2:31" ht="15" customHeight="1">
      <c r="B129" s="47"/>
      <c r="C129" s="47"/>
      <c r="D129" s="47"/>
      <c r="E129" s="47"/>
      <c r="F129" s="722"/>
      <c r="G129" s="47"/>
      <c r="H129" s="47"/>
      <c r="I129" s="909"/>
      <c r="J129" s="47"/>
      <c r="K129" s="47"/>
      <c r="L129" s="47"/>
      <c r="M129" s="47"/>
      <c r="N129" s="47"/>
      <c r="O129" s="47"/>
      <c r="P129" s="47"/>
      <c r="Q129" s="47"/>
      <c r="R129" s="47"/>
      <c r="S129" s="47"/>
      <c r="T129" s="47"/>
      <c r="U129" s="47"/>
      <c r="V129" s="47"/>
      <c r="W129" s="47"/>
      <c r="X129" s="47"/>
      <c r="Y129" s="47"/>
      <c r="Z129" s="47"/>
      <c r="AA129" s="47"/>
      <c r="AB129" s="47"/>
      <c r="AC129" s="47"/>
      <c r="AD129" s="47"/>
      <c r="AE129" s="47"/>
    </row>
    <row r="130" spans="2:31" ht="15" customHeight="1">
      <c r="B130" s="47"/>
      <c r="C130" s="47"/>
      <c r="D130" s="47"/>
      <c r="E130" s="47"/>
      <c r="F130" s="722"/>
      <c r="G130" s="47"/>
      <c r="H130" s="47"/>
      <c r="I130" s="909"/>
      <c r="J130" s="47"/>
      <c r="K130" s="47"/>
      <c r="L130" s="47"/>
      <c r="M130" s="47"/>
      <c r="N130" s="47"/>
      <c r="O130" s="47"/>
      <c r="P130" s="47"/>
      <c r="Q130" s="47"/>
      <c r="R130" s="47"/>
      <c r="S130" s="47"/>
      <c r="T130" s="47"/>
      <c r="U130" s="47"/>
      <c r="V130" s="47"/>
      <c r="W130" s="47"/>
      <c r="X130" s="47"/>
      <c r="Y130" s="47"/>
      <c r="Z130" s="47"/>
      <c r="AA130" s="47"/>
      <c r="AB130" s="47"/>
      <c r="AC130" s="47"/>
      <c r="AD130" s="47"/>
      <c r="AE130" s="47"/>
    </row>
    <row r="131" spans="2:31" ht="15" customHeight="1">
      <c r="B131" s="47"/>
      <c r="C131" s="47"/>
      <c r="D131" s="47"/>
      <c r="E131" s="47"/>
      <c r="F131" s="722"/>
      <c r="G131" s="47"/>
      <c r="H131" s="47"/>
      <c r="I131" s="909"/>
      <c r="J131" s="47"/>
      <c r="K131" s="47"/>
      <c r="L131" s="47"/>
      <c r="M131" s="47"/>
      <c r="N131" s="47"/>
      <c r="O131" s="47"/>
      <c r="P131" s="47"/>
      <c r="Q131" s="47"/>
      <c r="R131" s="47"/>
      <c r="S131" s="47"/>
      <c r="T131" s="47"/>
      <c r="U131" s="47"/>
      <c r="V131" s="47"/>
      <c r="W131" s="47"/>
      <c r="X131" s="47"/>
      <c r="Y131" s="47"/>
      <c r="Z131" s="47"/>
      <c r="AA131" s="47"/>
      <c r="AB131" s="47"/>
      <c r="AC131" s="47"/>
      <c r="AD131" s="47"/>
      <c r="AE131" s="47"/>
    </row>
    <row r="132" spans="2:31" ht="15" customHeight="1">
      <c r="B132" s="47"/>
      <c r="C132" s="47"/>
      <c r="D132" s="47"/>
      <c r="E132" s="47"/>
      <c r="F132" s="722"/>
      <c r="G132" s="47"/>
      <c r="H132" s="47"/>
      <c r="I132" s="909"/>
      <c r="J132" s="47"/>
      <c r="K132" s="47"/>
      <c r="L132" s="47"/>
      <c r="M132" s="47"/>
      <c r="N132" s="47"/>
      <c r="O132" s="47"/>
      <c r="P132" s="47"/>
      <c r="Q132" s="47"/>
      <c r="R132" s="47"/>
      <c r="S132" s="47"/>
      <c r="T132" s="47"/>
      <c r="U132" s="47"/>
      <c r="V132" s="47"/>
      <c r="W132" s="47"/>
      <c r="X132" s="47"/>
      <c r="Y132" s="47"/>
      <c r="Z132" s="47"/>
      <c r="AA132" s="47"/>
      <c r="AB132" s="47"/>
      <c r="AC132" s="47"/>
      <c r="AD132" s="47"/>
      <c r="AE132" s="47"/>
    </row>
    <row r="133" spans="2:31" ht="15" customHeight="1">
      <c r="B133" s="47"/>
      <c r="C133" s="47"/>
      <c r="D133" s="47"/>
      <c r="E133" s="47"/>
      <c r="F133" s="722"/>
      <c r="G133" s="47"/>
      <c r="H133" s="47"/>
      <c r="I133" s="909"/>
      <c r="J133" s="47"/>
      <c r="K133" s="47"/>
      <c r="L133" s="47"/>
      <c r="M133" s="47"/>
      <c r="N133" s="47"/>
      <c r="O133" s="47"/>
      <c r="P133" s="47"/>
      <c r="Q133" s="47"/>
      <c r="R133" s="47"/>
      <c r="S133" s="47"/>
      <c r="T133" s="47"/>
      <c r="U133" s="47"/>
      <c r="V133" s="47"/>
      <c r="W133" s="47"/>
      <c r="X133" s="47"/>
      <c r="Y133" s="47"/>
      <c r="Z133" s="47"/>
      <c r="AA133" s="47"/>
      <c r="AB133" s="47"/>
      <c r="AC133" s="47"/>
      <c r="AD133" s="47"/>
      <c r="AE133" s="47"/>
    </row>
    <row r="134" spans="2:31" ht="15" customHeight="1">
      <c r="B134" s="47"/>
      <c r="C134" s="47"/>
      <c r="D134" s="47"/>
      <c r="E134" s="47"/>
      <c r="F134" s="722"/>
      <c r="G134" s="47"/>
      <c r="H134" s="47"/>
      <c r="I134" s="909"/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  <c r="W134" s="47"/>
      <c r="X134" s="47"/>
      <c r="Y134" s="47"/>
      <c r="Z134" s="47"/>
      <c r="AA134" s="47"/>
      <c r="AB134" s="47"/>
      <c r="AC134" s="47"/>
      <c r="AD134" s="47"/>
      <c r="AE134" s="47"/>
    </row>
    <row r="135" spans="2:31" ht="15" customHeight="1">
      <c r="B135" s="47"/>
      <c r="C135" s="47"/>
      <c r="D135" s="47"/>
      <c r="E135" s="47"/>
      <c r="F135" s="722"/>
      <c r="G135" s="47"/>
      <c r="H135" s="47"/>
      <c r="I135" s="909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V135" s="47"/>
      <c r="W135" s="47"/>
      <c r="X135" s="47"/>
      <c r="Y135" s="47"/>
      <c r="Z135" s="47"/>
      <c r="AA135" s="47"/>
      <c r="AB135" s="47"/>
      <c r="AC135" s="47"/>
      <c r="AD135" s="47"/>
      <c r="AE135" s="47"/>
    </row>
    <row r="136" spans="2:31" ht="15" customHeight="1">
      <c r="B136" s="47"/>
      <c r="C136" s="47"/>
      <c r="D136" s="47"/>
      <c r="E136" s="47"/>
      <c r="F136" s="722"/>
      <c r="G136" s="47"/>
      <c r="H136" s="47"/>
      <c r="I136" s="909"/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T136" s="47"/>
      <c r="U136" s="47"/>
      <c r="V136" s="47"/>
      <c r="W136" s="47"/>
      <c r="X136" s="47"/>
      <c r="Y136" s="47"/>
      <c r="Z136" s="47"/>
      <c r="AA136" s="47"/>
      <c r="AB136" s="47"/>
      <c r="AC136" s="47"/>
      <c r="AD136" s="47"/>
      <c r="AE136" s="47"/>
    </row>
    <row r="137" spans="2:31" ht="15" customHeight="1">
      <c r="B137" s="47"/>
      <c r="C137" s="47"/>
      <c r="D137" s="47"/>
      <c r="E137" s="47"/>
      <c r="F137" s="722"/>
      <c r="G137" s="47"/>
      <c r="H137" s="47"/>
      <c r="I137" s="909"/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47"/>
      <c r="U137" s="47"/>
      <c r="V137" s="47"/>
      <c r="W137" s="47"/>
      <c r="X137" s="47"/>
      <c r="Y137" s="47"/>
      <c r="Z137" s="47"/>
      <c r="AA137" s="47"/>
      <c r="AB137" s="47"/>
      <c r="AC137" s="47"/>
      <c r="AD137" s="47"/>
      <c r="AE137" s="47"/>
    </row>
    <row r="138" spans="2:31" ht="15" customHeight="1">
      <c r="B138" s="47"/>
      <c r="C138" s="47"/>
      <c r="D138" s="47"/>
      <c r="E138" s="47"/>
      <c r="F138" s="722"/>
      <c r="G138" s="47"/>
      <c r="H138" s="47"/>
      <c r="I138" s="909"/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/>
      <c r="W138" s="47"/>
      <c r="X138" s="47"/>
      <c r="Y138" s="47"/>
      <c r="Z138" s="47"/>
      <c r="AA138" s="47"/>
      <c r="AB138" s="47"/>
      <c r="AC138" s="47"/>
      <c r="AD138" s="47"/>
      <c r="AE138" s="47"/>
    </row>
    <row r="139" spans="2:31" ht="15" customHeight="1">
      <c r="B139" s="47"/>
      <c r="C139" s="47"/>
      <c r="D139" s="47"/>
      <c r="E139" s="47"/>
      <c r="F139" s="722"/>
      <c r="G139" s="47"/>
      <c r="H139" s="47"/>
      <c r="I139" s="909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  <c r="W139" s="47"/>
      <c r="X139" s="47"/>
      <c r="Y139" s="47"/>
      <c r="Z139" s="47"/>
      <c r="AA139" s="47"/>
      <c r="AB139" s="47"/>
      <c r="AC139" s="47"/>
      <c r="AD139" s="47"/>
      <c r="AE139" s="47"/>
    </row>
    <row r="140" spans="2:31" ht="15" customHeight="1">
      <c r="B140" s="47"/>
      <c r="C140" s="47"/>
      <c r="D140" s="47"/>
      <c r="E140" s="47"/>
      <c r="F140" s="722"/>
      <c r="G140" s="47"/>
      <c r="H140" s="47"/>
      <c r="I140" s="909"/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T140" s="47"/>
      <c r="U140" s="47"/>
      <c r="V140" s="47"/>
      <c r="W140" s="47"/>
      <c r="X140" s="47"/>
      <c r="Y140" s="47"/>
      <c r="Z140" s="47"/>
      <c r="AA140" s="47"/>
      <c r="AB140" s="47"/>
      <c r="AC140" s="47"/>
      <c r="AD140" s="47"/>
      <c r="AE140" s="47"/>
    </row>
    <row r="141" spans="2:31" ht="15" customHeight="1">
      <c r="B141" s="47"/>
      <c r="C141" s="47"/>
      <c r="D141" s="47"/>
      <c r="E141" s="47"/>
      <c r="F141" s="722"/>
      <c r="G141" s="47"/>
      <c r="H141" s="47"/>
      <c r="I141" s="909"/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47"/>
      <c r="W141" s="47"/>
      <c r="X141" s="47"/>
      <c r="Y141" s="47"/>
      <c r="Z141" s="47"/>
      <c r="AA141" s="47"/>
      <c r="AB141" s="47"/>
      <c r="AC141" s="47"/>
      <c r="AD141" s="47"/>
      <c r="AE141" s="47"/>
    </row>
    <row r="142" spans="2:31" ht="15" customHeight="1">
      <c r="B142" s="47"/>
      <c r="C142" s="47"/>
      <c r="D142" s="47"/>
      <c r="E142" s="47"/>
      <c r="F142" s="722"/>
      <c r="G142" s="47"/>
      <c r="H142" s="47"/>
      <c r="I142" s="909"/>
      <c r="J142" s="47"/>
      <c r="K142" s="47"/>
      <c r="L142" s="47"/>
      <c r="M142" s="47"/>
      <c r="N142" s="47"/>
      <c r="O142" s="47"/>
      <c r="P142" s="47"/>
      <c r="Q142" s="47"/>
      <c r="R142" s="47"/>
      <c r="S142" s="47"/>
      <c r="T142" s="47"/>
      <c r="U142" s="47"/>
      <c r="V142" s="47"/>
      <c r="W142" s="47"/>
      <c r="X142" s="47"/>
      <c r="Y142" s="47"/>
      <c r="Z142" s="47"/>
      <c r="AA142" s="47"/>
      <c r="AB142" s="47"/>
      <c r="AC142" s="47"/>
      <c r="AD142" s="47"/>
      <c r="AE142" s="47"/>
    </row>
    <row r="143" spans="2:31" ht="15" customHeight="1">
      <c r="B143" s="47"/>
      <c r="C143" s="47"/>
      <c r="D143" s="47"/>
      <c r="E143" s="47"/>
      <c r="F143" s="722"/>
      <c r="G143" s="47"/>
      <c r="H143" s="47"/>
      <c r="I143" s="909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  <c r="X143" s="47"/>
      <c r="Y143" s="47"/>
      <c r="Z143" s="47"/>
      <c r="AA143" s="47"/>
      <c r="AB143" s="47"/>
      <c r="AC143" s="47"/>
      <c r="AD143" s="47"/>
      <c r="AE143" s="47"/>
    </row>
    <row r="144" spans="2:31" ht="15" customHeight="1">
      <c r="B144" s="47"/>
      <c r="C144" s="47"/>
      <c r="D144" s="47"/>
      <c r="E144" s="47"/>
      <c r="F144" s="722"/>
      <c r="G144" s="47"/>
      <c r="H144" s="47"/>
      <c r="I144" s="909"/>
      <c r="J144" s="47"/>
      <c r="K144" s="47"/>
      <c r="L144" s="47"/>
      <c r="M144" s="47"/>
      <c r="N144" s="47"/>
      <c r="O144" s="47"/>
      <c r="P144" s="47"/>
      <c r="Q144" s="47"/>
      <c r="R144" s="47"/>
      <c r="S144" s="47"/>
      <c r="T144" s="47"/>
      <c r="U144" s="47"/>
      <c r="V144" s="47"/>
      <c r="W144" s="47"/>
      <c r="X144" s="47"/>
      <c r="Y144" s="47"/>
      <c r="Z144" s="47"/>
      <c r="AA144" s="47"/>
      <c r="AB144" s="47"/>
      <c r="AC144" s="47"/>
      <c r="AD144" s="47"/>
      <c r="AE144" s="47"/>
    </row>
    <row r="145" spans="2:31" ht="15" customHeight="1">
      <c r="B145" s="47"/>
      <c r="C145" s="47"/>
      <c r="D145" s="47"/>
      <c r="E145" s="47"/>
      <c r="F145" s="722"/>
      <c r="G145" s="47"/>
      <c r="H145" s="47"/>
      <c r="I145" s="909"/>
      <c r="J145" s="47"/>
      <c r="K145" s="47"/>
      <c r="L145" s="47"/>
      <c r="M145" s="47"/>
      <c r="N145" s="47"/>
      <c r="O145" s="47"/>
      <c r="P145" s="47"/>
      <c r="Q145" s="47"/>
      <c r="R145" s="47"/>
      <c r="S145" s="47"/>
      <c r="T145" s="47"/>
      <c r="U145" s="47"/>
      <c r="V145" s="47"/>
      <c r="W145" s="47"/>
      <c r="X145" s="47"/>
      <c r="Y145" s="47"/>
      <c r="Z145" s="47"/>
      <c r="AA145" s="47"/>
      <c r="AB145" s="47"/>
      <c r="AC145" s="47"/>
      <c r="AD145" s="47"/>
      <c r="AE145" s="47"/>
    </row>
    <row r="146" spans="2:31" ht="15" customHeight="1">
      <c r="B146" s="47"/>
      <c r="C146" s="47"/>
      <c r="D146" s="47"/>
      <c r="E146" s="47"/>
      <c r="F146" s="722"/>
      <c r="G146" s="47"/>
      <c r="H146" s="47"/>
      <c r="I146" s="909"/>
      <c r="J146" s="47"/>
      <c r="K146" s="47"/>
      <c r="L146" s="47"/>
      <c r="M146" s="47"/>
      <c r="N146" s="47"/>
      <c r="O146" s="47"/>
      <c r="P146" s="47"/>
      <c r="Q146" s="47"/>
      <c r="R146" s="47"/>
      <c r="S146" s="47"/>
      <c r="T146" s="47"/>
      <c r="U146" s="47"/>
      <c r="V146" s="47"/>
      <c r="W146" s="47"/>
      <c r="X146" s="47"/>
      <c r="Y146" s="47"/>
      <c r="Z146" s="47"/>
      <c r="AA146" s="47"/>
      <c r="AB146" s="47"/>
      <c r="AC146" s="47"/>
      <c r="AD146" s="47"/>
      <c r="AE146" s="47"/>
    </row>
    <row r="147" spans="2:31" ht="15" customHeight="1">
      <c r="B147" s="47"/>
      <c r="C147" s="47"/>
      <c r="D147" s="47"/>
      <c r="E147" s="47"/>
      <c r="F147" s="722"/>
      <c r="G147" s="47"/>
      <c r="H147" s="47"/>
      <c r="I147" s="909"/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47"/>
      <c r="V147" s="47"/>
      <c r="W147" s="47"/>
      <c r="X147" s="47"/>
      <c r="Y147" s="47"/>
      <c r="Z147" s="47"/>
      <c r="AA147" s="47"/>
      <c r="AB147" s="47"/>
      <c r="AC147" s="47"/>
      <c r="AD147" s="47"/>
      <c r="AE147" s="47"/>
    </row>
    <row r="148" spans="2:31" ht="15" customHeight="1">
      <c r="B148" s="47"/>
      <c r="C148" s="47"/>
      <c r="D148" s="47"/>
      <c r="E148" s="47"/>
      <c r="F148" s="722"/>
      <c r="G148" s="47"/>
      <c r="H148" s="47"/>
      <c r="I148" s="909"/>
      <c r="J148" s="47"/>
      <c r="K148" s="47"/>
      <c r="L148" s="47"/>
      <c r="M148" s="47"/>
      <c r="N148" s="47"/>
      <c r="O148" s="47"/>
      <c r="P148" s="47"/>
      <c r="Q148" s="47"/>
      <c r="R148" s="47"/>
      <c r="S148" s="47"/>
      <c r="T148" s="47"/>
      <c r="U148" s="47"/>
      <c r="V148" s="47"/>
      <c r="W148" s="47"/>
      <c r="X148" s="47"/>
      <c r="Y148" s="47"/>
      <c r="Z148" s="47"/>
      <c r="AA148" s="47"/>
      <c r="AB148" s="47"/>
      <c r="AC148" s="47"/>
      <c r="AD148" s="47"/>
      <c r="AE148" s="47"/>
    </row>
    <row r="149" spans="2:31" ht="15" customHeight="1">
      <c r="B149" s="47"/>
      <c r="C149" s="47"/>
      <c r="D149" s="47"/>
      <c r="E149" s="47"/>
      <c r="F149" s="722"/>
      <c r="G149" s="47"/>
      <c r="H149" s="47"/>
      <c r="I149" s="909"/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47"/>
      <c r="U149" s="47"/>
      <c r="V149" s="47"/>
      <c r="W149" s="47"/>
      <c r="X149" s="47"/>
      <c r="Y149" s="47"/>
      <c r="Z149" s="47"/>
      <c r="AA149" s="47"/>
      <c r="AB149" s="47"/>
      <c r="AC149" s="47"/>
      <c r="AD149" s="47"/>
      <c r="AE149" s="47"/>
    </row>
    <row r="150" spans="2:31" ht="15" customHeight="1">
      <c r="B150" s="47"/>
      <c r="C150" s="47"/>
      <c r="D150" s="47"/>
      <c r="E150" s="47"/>
      <c r="F150" s="722"/>
      <c r="G150" s="47"/>
      <c r="H150" s="47"/>
      <c r="I150" s="909"/>
      <c r="J150" s="47"/>
      <c r="K150" s="47"/>
      <c r="L150" s="47"/>
      <c r="M150" s="47"/>
      <c r="N150" s="47"/>
      <c r="O150" s="47"/>
      <c r="P150" s="47"/>
      <c r="Q150" s="47"/>
      <c r="R150" s="47"/>
      <c r="S150" s="47"/>
      <c r="T150" s="47"/>
      <c r="U150" s="47"/>
      <c r="V150" s="47"/>
      <c r="W150" s="47"/>
      <c r="X150" s="47"/>
      <c r="Y150" s="47"/>
      <c r="Z150" s="47"/>
      <c r="AA150" s="47"/>
      <c r="AB150" s="47"/>
      <c r="AC150" s="47"/>
      <c r="AD150" s="47"/>
      <c r="AE150" s="47"/>
    </row>
    <row r="151" spans="2:31" ht="15" customHeight="1">
      <c r="B151" s="47"/>
      <c r="C151" s="47"/>
      <c r="D151" s="47"/>
      <c r="E151" s="47"/>
      <c r="F151" s="722"/>
      <c r="G151" s="47"/>
      <c r="H151" s="47"/>
      <c r="I151" s="909"/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47"/>
      <c r="V151" s="47"/>
      <c r="W151" s="47"/>
      <c r="X151" s="47"/>
      <c r="Y151" s="47"/>
      <c r="Z151" s="47"/>
      <c r="AA151" s="47"/>
      <c r="AB151" s="47"/>
      <c r="AC151" s="47"/>
      <c r="AD151" s="47"/>
      <c r="AE151" s="47"/>
    </row>
    <row r="152" spans="2:31" ht="15" customHeight="1">
      <c r="B152" s="47"/>
      <c r="C152" s="47"/>
      <c r="D152" s="47"/>
      <c r="E152" s="47"/>
      <c r="F152" s="722"/>
      <c r="G152" s="47"/>
      <c r="H152" s="47"/>
      <c r="I152" s="909"/>
      <c r="J152" s="47"/>
      <c r="K152" s="47"/>
      <c r="L152" s="47"/>
      <c r="M152" s="47"/>
      <c r="N152" s="47"/>
      <c r="O152" s="47"/>
      <c r="P152" s="47"/>
      <c r="Q152" s="47"/>
      <c r="R152" s="47"/>
      <c r="S152" s="47"/>
      <c r="T152" s="47"/>
      <c r="U152" s="47"/>
      <c r="V152" s="47"/>
      <c r="W152" s="47"/>
      <c r="X152" s="47"/>
      <c r="Y152" s="47"/>
      <c r="Z152" s="47"/>
      <c r="AA152" s="47"/>
      <c r="AB152" s="47"/>
      <c r="AC152" s="47"/>
      <c r="AD152" s="47"/>
      <c r="AE152" s="47"/>
    </row>
    <row r="153" spans="2:31" ht="15" customHeight="1">
      <c r="B153" s="47"/>
      <c r="C153" s="47"/>
      <c r="D153" s="47"/>
      <c r="E153" s="47"/>
      <c r="F153" s="722"/>
      <c r="G153" s="47"/>
      <c r="H153" s="47"/>
      <c r="I153" s="909"/>
      <c r="J153" s="47"/>
      <c r="K153" s="47"/>
      <c r="L153" s="47"/>
      <c r="M153" s="47"/>
      <c r="N153" s="47"/>
      <c r="O153" s="47"/>
      <c r="P153" s="47"/>
      <c r="Q153" s="47"/>
      <c r="R153" s="47"/>
      <c r="S153" s="47"/>
      <c r="T153" s="47"/>
      <c r="U153" s="47"/>
      <c r="V153" s="47"/>
      <c r="W153" s="47"/>
      <c r="X153" s="47"/>
      <c r="Y153" s="47"/>
      <c r="Z153" s="47"/>
      <c r="AA153" s="47"/>
      <c r="AB153" s="47"/>
      <c r="AC153" s="47"/>
      <c r="AD153" s="47"/>
      <c r="AE153" s="47"/>
    </row>
    <row r="154" spans="2:31" ht="15" customHeight="1">
      <c r="B154" s="47"/>
      <c r="C154" s="47"/>
      <c r="D154" s="47"/>
      <c r="E154" s="47"/>
      <c r="F154" s="722"/>
      <c r="G154" s="47"/>
      <c r="H154" s="47"/>
      <c r="I154" s="909"/>
      <c r="J154" s="47"/>
      <c r="K154" s="47"/>
      <c r="L154" s="47"/>
      <c r="M154" s="47"/>
      <c r="N154" s="47"/>
      <c r="O154" s="47"/>
      <c r="P154" s="47"/>
      <c r="Q154" s="47"/>
      <c r="R154" s="47"/>
      <c r="S154" s="47"/>
      <c r="T154" s="47"/>
      <c r="U154" s="47"/>
      <c r="V154" s="47"/>
      <c r="W154" s="47"/>
      <c r="X154" s="47"/>
      <c r="Y154" s="47"/>
      <c r="Z154" s="47"/>
      <c r="AA154" s="47"/>
      <c r="AB154" s="47"/>
      <c r="AC154" s="47"/>
      <c r="AD154" s="47"/>
      <c r="AE154" s="47"/>
    </row>
    <row r="155" spans="2:31" ht="15" customHeight="1">
      <c r="B155" s="47"/>
      <c r="C155" s="47"/>
      <c r="D155" s="47"/>
      <c r="E155" s="47"/>
      <c r="F155" s="722"/>
      <c r="G155" s="47"/>
      <c r="H155" s="47"/>
      <c r="I155" s="909"/>
      <c r="J155" s="47"/>
      <c r="K155" s="47"/>
      <c r="L155" s="47"/>
      <c r="M155" s="47"/>
      <c r="N155" s="47"/>
      <c r="O155" s="47"/>
      <c r="P155" s="47"/>
      <c r="Q155" s="47"/>
      <c r="R155" s="47"/>
      <c r="S155" s="47"/>
      <c r="T155" s="47"/>
      <c r="U155" s="47"/>
      <c r="V155" s="47"/>
      <c r="W155" s="47"/>
      <c r="X155" s="47"/>
      <c r="Y155" s="47"/>
      <c r="Z155" s="47"/>
      <c r="AA155" s="47"/>
      <c r="AB155" s="47"/>
      <c r="AC155" s="47"/>
      <c r="AD155" s="47"/>
      <c r="AE155" s="47"/>
    </row>
    <row r="156" spans="2:31" ht="15" customHeight="1">
      <c r="B156" s="47"/>
      <c r="C156" s="47"/>
      <c r="D156" s="47"/>
      <c r="E156" s="47"/>
      <c r="F156" s="722"/>
      <c r="G156" s="47"/>
      <c r="H156" s="47"/>
      <c r="I156" s="909"/>
      <c r="J156" s="47"/>
      <c r="K156" s="47"/>
      <c r="L156" s="47"/>
      <c r="M156" s="47"/>
      <c r="N156" s="47"/>
      <c r="O156" s="47"/>
      <c r="P156" s="47"/>
      <c r="Q156" s="47"/>
      <c r="R156" s="47"/>
      <c r="S156" s="47"/>
      <c r="T156" s="47"/>
      <c r="U156" s="47"/>
      <c r="V156" s="47"/>
      <c r="W156" s="47"/>
      <c r="X156" s="47"/>
      <c r="Y156" s="47"/>
      <c r="Z156" s="47"/>
      <c r="AA156" s="47"/>
      <c r="AB156" s="47"/>
      <c r="AC156" s="47"/>
      <c r="AD156" s="47"/>
      <c r="AE156" s="47"/>
    </row>
    <row r="157" spans="2:31" ht="15" customHeight="1">
      <c r="B157" s="47"/>
      <c r="C157" s="47"/>
      <c r="D157" s="47"/>
      <c r="E157" s="47"/>
      <c r="F157" s="722"/>
      <c r="G157" s="47"/>
      <c r="H157" s="47"/>
      <c r="I157" s="909"/>
      <c r="J157" s="47"/>
      <c r="K157" s="47"/>
      <c r="L157" s="47"/>
      <c r="M157" s="47"/>
      <c r="N157" s="47"/>
      <c r="O157" s="47"/>
      <c r="P157" s="47"/>
      <c r="Q157" s="47"/>
      <c r="R157" s="47"/>
      <c r="S157" s="47"/>
      <c r="T157" s="47"/>
      <c r="U157" s="47"/>
      <c r="V157" s="47"/>
      <c r="W157" s="47"/>
      <c r="X157" s="47"/>
      <c r="Y157" s="47"/>
      <c r="Z157" s="47"/>
      <c r="AA157" s="47"/>
      <c r="AB157" s="47"/>
      <c r="AC157" s="47"/>
      <c r="AD157" s="47"/>
      <c r="AE157" s="47"/>
    </row>
    <row r="158" spans="2:31" ht="15" customHeight="1">
      <c r="B158" s="47"/>
      <c r="C158" s="47"/>
      <c r="D158" s="47"/>
      <c r="E158" s="47"/>
      <c r="F158" s="722"/>
      <c r="G158" s="47"/>
      <c r="H158" s="47"/>
      <c r="I158" s="909"/>
      <c r="J158" s="47"/>
      <c r="K158" s="47"/>
      <c r="L158" s="47"/>
      <c r="M158" s="47"/>
      <c r="N158" s="47"/>
      <c r="O158" s="47"/>
      <c r="P158" s="47"/>
      <c r="Q158" s="47"/>
      <c r="R158" s="47"/>
      <c r="S158" s="47"/>
      <c r="T158" s="47"/>
      <c r="U158" s="47"/>
      <c r="V158" s="47"/>
      <c r="W158" s="47"/>
      <c r="X158" s="47"/>
      <c r="Y158" s="47"/>
      <c r="Z158" s="47"/>
      <c r="AA158" s="47"/>
      <c r="AB158" s="47"/>
      <c r="AC158" s="47"/>
      <c r="AD158" s="47"/>
      <c r="AE158" s="47"/>
    </row>
    <row r="159" spans="2:31" ht="15" customHeight="1">
      <c r="B159" s="47"/>
      <c r="C159" s="47"/>
      <c r="D159" s="47"/>
      <c r="E159" s="47"/>
      <c r="F159" s="722"/>
      <c r="G159" s="47"/>
      <c r="H159" s="47"/>
      <c r="I159" s="909"/>
      <c r="J159" s="47"/>
      <c r="K159" s="47"/>
      <c r="L159" s="47"/>
      <c r="M159" s="47"/>
      <c r="N159" s="47"/>
      <c r="O159" s="47"/>
      <c r="P159" s="47"/>
      <c r="Q159" s="47"/>
      <c r="R159" s="47"/>
      <c r="S159" s="47"/>
      <c r="T159" s="47"/>
      <c r="U159" s="47"/>
      <c r="V159" s="47"/>
      <c r="W159" s="47"/>
      <c r="X159" s="47"/>
      <c r="Y159" s="47"/>
      <c r="Z159" s="47"/>
      <c r="AA159" s="47"/>
      <c r="AB159" s="47"/>
      <c r="AC159" s="47"/>
      <c r="AD159" s="47"/>
      <c r="AE159" s="47"/>
    </row>
    <row r="160" spans="2:31" ht="15" customHeight="1">
      <c r="B160" s="47"/>
      <c r="C160" s="47"/>
      <c r="D160" s="47"/>
      <c r="E160" s="47"/>
      <c r="F160" s="722"/>
      <c r="G160" s="47"/>
      <c r="H160" s="47"/>
      <c r="I160" s="909"/>
      <c r="J160" s="47"/>
      <c r="K160" s="47"/>
      <c r="L160" s="47"/>
      <c r="M160" s="47"/>
      <c r="N160" s="47"/>
      <c r="O160" s="47"/>
      <c r="P160" s="47"/>
      <c r="Q160" s="47"/>
      <c r="R160" s="47"/>
      <c r="S160" s="47"/>
      <c r="T160" s="47"/>
      <c r="U160" s="47"/>
      <c r="V160" s="47"/>
      <c r="W160" s="47"/>
      <c r="X160" s="47"/>
      <c r="Y160" s="47"/>
      <c r="Z160" s="47"/>
      <c r="AA160" s="47"/>
      <c r="AB160" s="47"/>
      <c r="AC160" s="47"/>
      <c r="AD160" s="47"/>
      <c r="AE160" s="47"/>
    </row>
    <row r="161" spans="2:31" ht="15" customHeight="1">
      <c r="B161" s="47"/>
      <c r="C161" s="47"/>
      <c r="D161" s="47"/>
      <c r="E161" s="47"/>
      <c r="F161" s="722"/>
      <c r="G161" s="47"/>
      <c r="H161" s="47"/>
      <c r="I161" s="909"/>
      <c r="J161" s="47"/>
      <c r="K161" s="47"/>
      <c r="L161" s="47"/>
      <c r="M161" s="47"/>
      <c r="N161" s="47"/>
      <c r="O161" s="47"/>
      <c r="P161" s="47"/>
      <c r="Q161" s="47"/>
      <c r="R161" s="47"/>
      <c r="S161" s="47"/>
      <c r="T161" s="47"/>
      <c r="U161" s="47"/>
      <c r="V161" s="47"/>
      <c r="W161" s="47"/>
      <c r="X161" s="47"/>
      <c r="Y161" s="47"/>
      <c r="Z161" s="47"/>
      <c r="AA161" s="47"/>
      <c r="AB161" s="47"/>
      <c r="AC161" s="47"/>
      <c r="AD161" s="47"/>
      <c r="AE161" s="47"/>
    </row>
    <row r="162" spans="2:31" ht="15" customHeight="1">
      <c r="B162" s="47"/>
      <c r="C162" s="47"/>
      <c r="D162" s="47"/>
      <c r="E162" s="47"/>
      <c r="F162" s="722"/>
      <c r="G162" s="47"/>
      <c r="H162" s="47"/>
      <c r="I162" s="909"/>
      <c r="J162" s="47"/>
      <c r="K162" s="47"/>
      <c r="L162" s="47"/>
      <c r="M162" s="47"/>
      <c r="N162" s="47"/>
      <c r="O162" s="47"/>
      <c r="P162" s="47"/>
      <c r="Q162" s="47"/>
      <c r="R162" s="47"/>
      <c r="S162" s="47"/>
      <c r="T162" s="47"/>
      <c r="U162" s="47"/>
      <c r="V162" s="47"/>
      <c r="W162" s="47"/>
      <c r="X162" s="47"/>
      <c r="Y162" s="47"/>
      <c r="Z162" s="47"/>
      <c r="AA162" s="47"/>
      <c r="AB162" s="47"/>
      <c r="AC162" s="47"/>
      <c r="AD162" s="47"/>
      <c r="AE162" s="47"/>
    </row>
    <row r="163" spans="2:31" ht="15" customHeight="1">
      <c r="B163" s="47"/>
      <c r="C163" s="47"/>
      <c r="D163" s="47"/>
      <c r="E163" s="47"/>
      <c r="F163" s="722"/>
      <c r="G163" s="47"/>
      <c r="H163" s="47"/>
      <c r="I163" s="909"/>
      <c r="J163" s="47"/>
      <c r="K163" s="47"/>
      <c r="L163" s="47"/>
      <c r="M163" s="47"/>
      <c r="N163" s="47"/>
      <c r="O163" s="47"/>
      <c r="P163" s="47"/>
      <c r="Q163" s="47"/>
      <c r="R163" s="47"/>
      <c r="S163" s="47"/>
      <c r="T163" s="47"/>
      <c r="U163" s="47"/>
      <c r="V163" s="47"/>
      <c r="W163" s="47"/>
      <c r="X163" s="47"/>
      <c r="Y163" s="47"/>
      <c r="Z163" s="47"/>
      <c r="AA163" s="47"/>
      <c r="AB163" s="47"/>
      <c r="AC163" s="47"/>
      <c r="AD163" s="47"/>
      <c r="AE163" s="47"/>
    </row>
    <row r="164" spans="2:31" ht="15" customHeight="1">
      <c r="B164" s="47"/>
      <c r="C164" s="47"/>
      <c r="D164" s="47"/>
      <c r="E164" s="47"/>
      <c r="F164" s="722"/>
      <c r="G164" s="47"/>
      <c r="H164" s="47"/>
      <c r="I164" s="909"/>
      <c r="J164" s="47"/>
      <c r="K164" s="47"/>
      <c r="L164" s="47"/>
      <c r="M164" s="47"/>
      <c r="N164" s="47"/>
      <c r="O164" s="47"/>
      <c r="P164" s="47"/>
      <c r="Q164" s="47"/>
      <c r="R164" s="47"/>
      <c r="S164" s="47"/>
      <c r="T164" s="47"/>
      <c r="U164" s="47"/>
      <c r="V164" s="47"/>
      <c r="W164" s="47"/>
      <c r="X164" s="47"/>
      <c r="Y164" s="47"/>
      <c r="Z164" s="47"/>
      <c r="AA164" s="47"/>
      <c r="AB164" s="47"/>
      <c r="AC164" s="47"/>
      <c r="AD164" s="47"/>
      <c r="AE164" s="47"/>
    </row>
    <row r="165" spans="2:31" ht="15" customHeight="1">
      <c r="B165" s="47"/>
      <c r="C165" s="47"/>
      <c r="D165" s="47"/>
      <c r="E165" s="47"/>
      <c r="F165" s="722"/>
      <c r="G165" s="47"/>
      <c r="H165" s="47"/>
      <c r="I165" s="909"/>
      <c r="J165" s="47"/>
      <c r="K165" s="47"/>
      <c r="L165" s="47"/>
      <c r="M165" s="47"/>
      <c r="N165" s="47"/>
      <c r="O165" s="47"/>
      <c r="P165" s="47"/>
      <c r="Q165" s="47"/>
      <c r="R165" s="47"/>
      <c r="S165" s="47"/>
      <c r="T165" s="47"/>
      <c r="U165" s="47"/>
      <c r="V165" s="47"/>
      <c r="W165" s="47"/>
      <c r="X165" s="47"/>
      <c r="Y165" s="47"/>
      <c r="Z165" s="47"/>
      <c r="AA165" s="47"/>
      <c r="AB165" s="47"/>
      <c r="AC165" s="47"/>
      <c r="AD165" s="47"/>
      <c r="AE165" s="47"/>
    </row>
    <row r="166" spans="2:31" ht="15" customHeight="1">
      <c r="B166" s="47"/>
      <c r="C166" s="47"/>
      <c r="D166" s="47"/>
      <c r="E166" s="47"/>
      <c r="F166" s="722"/>
      <c r="G166" s="47"/>
      <c r="H166" s="47"/>
      <c r="I166" s="909"/>
      <c r="J166" s="47"/>
      <c r="K166" s="47"/>
      <c r="L166" s="47"/>
      <c r="M166" s="47"/>
      <c r="N166" s="47"/>
      <c r="O166" s="47"/>
      <c r="P166" s="47"/>
      <c r="Q166" s="47"/>
      <c r="R166" s="47"/>
      <c r="S166" s="47"/>
      <c r="T166" s="47"/>
      <c r="U166" s="47"/>
      <c r="V166" s="47"/>
      <c r="W166" s="47"/>
      <c r="X166" s="47"/>
      <c r="Y166" s="47"/>
      <c r="Z166" s="47"/>
      <c r="AA166" s="47"/>
      <c r="AB166" s="47"/>
      <c r="AC166" s="47"/>
      <c r="AD166" s="47"/>
      <c r="AE166" s="47"/>
    </row>
    <row r="167" spans="2:31" ht="15" customHeight="1">
      <c r="K167" s="47"/>
      <c r="L167" s="47"/>
      <c r="M167" s="47"/>
      <c r="N167" s="47"/>
      <c r="O167" s="47"/>
      <c r="P167" s="47"/>
      <c r="Q167" s="47"/>
      <c r="R167" s="47"/>
      <c r="S167" s="47"/>
      <c r="T167" s="47"/>
      <c r="U167" s="47"/>
      <c r="V167" s="47"/>
      <c r="W167" s="47"/>
      <c r="X167" s="47"/>
      <c r="Y167" s="47"/>
      <c r="Z167" s="47"/>
      <c r="AA167" s="47"/>
      <c r="AB167" s="47"/>
      <c r="AC167" s="47"/>
      <c r="AD167" s="47"/>
      <c r="AE167" s="47"/>
    </row>
    <row r="168" spans="2:31" ht="15" customHeight="1">
      <c r="K168" s="47"/>
      <c r="L168" s="47"/>
      <c r="M168" s="47"/>
      <c r="N168" s="47"/>
      <c r="O168" s="47"/>
      <c r="P168" s="47"/>
      <c r="Q168" s="47"/>
      <c r="R168" s="47"/>
      <c r="S168" s="47"/>
      <c r="T168" s="47"/>
      <c r="U168" s="47"/>
      <c r="V168" s="47"/>
      <c r="W168" s="47"/>
      <c r="X168" s="47"/>
      <c r="Y168" s="47"/>
      <c r="Z168" s="47"/>
      <c r="AA168" s="47"/>
      <c r="AB168" s="47"/>
      <c r="AC168" s="47"/>
      <c r="AD168" s="47"/>
      <c r="AE168" s="47"/>
    </row>
    <row r="169" spans="2:31" ht="15" customHeight="1">
      <c r="K169" s="47"/>
      <c r="L169" s="47"/>
      <c r="M169" s="47"/>
      <c r="N169" s="47"/>
      <c r="O169" s="47"/>
      <c r="P169" s="47"/>
      <c r="Q169" s="47"/>
      <c r="R169" s="47"/>
      <c r="S169" s="47"/>
      <c r="T169" s="47"/>
      <c r="U169" s="47"/>
      <c r="V169" s="47"/>
      <c r="W169" s="47"/>
      <c r="X169" s="47"/>
      <c r="Y169" s="47"/>
      <c r="Z169" s="47"/>
      <c r="AA169" s="47"/>
      <c r="AB169" s="47"/>
      <c r="AC169" s="47"/>
      <c r="AD169" s="47"/>
      <c r="AE169" s="47"/>
    </row>
    <row r="170" spans="2:31" ht="15" customHeight="1">
      <c r="K170" s="47"/>
      <c r="L170" s="47"/>
      <c r="M170" s="47"/>
      <c r="N170" s="47"/>
      <c r="O170" s="47"/>
      <c r="P170" s="47"/>
      <c r="Q170" s="47"/>
      <c r="R170" s="47"/>
      <c r="S170" s="47"/>
      <c r="T170" s="47"/>
      <c r="U170" s="47"/>
      <c r="V170" s="47"/>
      <c r="W170" s="47"/>
      <c r="X170" s="47"/>
      <c r="Y170" s="47"/>
      <c r="Z170" s="47"/>
      <c r="AA170" s="47"/>
      <c r="AB170" s="47"/>
      <c r="AC170" s="47"/>
      <c r="AD170" s="47"/>
      <c r="AE170" s="47"/>
    </row>
    <row r="171" spans="2:31" ht="15" customHeight="1">
      <c r="K171" s="47"/>
      <c r="L171" s="47"/>
      <c r="M171" s="47"/>
      <c r="N171" s="47"/>
      <c r="O171" s="47"/>
      <c r="P171" s="47"/>
      <c r="Q171" s="47"/>
      <c r="R171" s="47"/>
      <c r="S171" s="47"/>
      <c r="T171" s="47"/>
      <c r="U171" s="47"/>
      <c r="V171" s="47"/>
      <c r="W171" s="47"/>
      <c r="X171" s="47"/>
      <c r="Y171" s="47"/>
      <c r="Z171" s="47"/>
      <c r="AA171" s="47"/>
      <c r="AB171" s="47"/>
      <c r="AC171" s="47"/>
      <c r="AD171" s="47"/>
      <c r="AE171" s="47"/>
    </row>
    <row r="172" spans="2:31" ht="15" customHeight="1">
      <c r="K172" s="47"/>
      <c r="L172" s="47"/>
      <c r="M172" s="47"/>
      <c r="N172" s="47"/>
      <c r="O172" s="47"/>
      <c r="P172" s="47"/>
      <c r="Q172" s="47"/>
      <c r="R172" s="47"/>
      <c r="S172" s="47"/>
      <c r="T172" s="47"/>
      <c r="U172" s="47"/>
      <c r="V172" s="47"/>
      <c r="W172" s="47"/>
      <c r="X172" s="47"/>
      <c r="Y172" s="47"/>
      <c r="Z172" s="47"/>
      <c r="AA172" s="47"/>
      <c r="AB172" s="47"/>
      <c r="AC172" s="47"/>
      <c r="AD172" s="47"/>
      <c r="AE172" s="47"/>
    </row>
    <row r="173" spans="2:31" ht="15" customHeight="1">
      <c r="K173" s="47"/>
      <c r="L173" s="47"/>
      <c r="M173" s="47"/>
      <c r="N173" s="47"/>
      <c r="O173" s="47"/>
      <c r="P173" s="47"/>
      <c r="Q173" s="47"/>
      <c r="R173" s="47"/>
      <c r="S173" s="47"/>
      <c r="T173" s="47"/>
      <c r="U173" s="47"/>
      <c r="V173" s="47"/>
      <c r="W173" s="47"/>
      <c r="X173" s="47"/>
      <c r="Y173" s="47"/>
      <c r="Z173" s="47"/>
      <c r="AA173" s="47"/>
      <c r="AB173" s="47"/>
      <c r="AC173" s="47"/>
      <c r="AD173" s="47"/>
      <c r="AE173" s="47"/>
    </row>
    <row r="174" spans="2:31" ht="15" customHeight="1">
      <c r="K174" s="47"/>
      <c r="L174" s="47"/>
      <c r="M174" s="47"/>
      <c r="N174" s="47"/>
      <c r="O174" s="47"/>
      <c r="P174" s="47"/>
      <c r="Q174" s="47"/>
      <c r="R174" s="47"/>
      <c r="S174" s="47"/>
      <c r="T174" s="47"/>
      <c r="U174" s="47"/>
      <c r="V174" s="47"/>
      <c r="W174" s="47"/>
      <c r="X174" s="47"/>
      <c r="Y174" s="47"/>
      <c r="Z174" s="47"/>
      <c r="AA174" s="47"/>
      <c r="AB174" s="47"/>
      <c r="AC174" s="47"/>
      <c r="AD174" s="47"/>
      <c r="AE174" s="47"/>
    </row>
    <row r="175" spans="2:31" ht="15" customHeight="1">
      <c r="K175" s="47"/>
      <c r="L175" s="47"/>
      <c r="M175" s="47"/>
      <c r="N175" s="47"/>
      <c r="O175" s="47"/>
      <c r="P175" s="47"/>
      <c r="Q175" s="47"/>
      <c r="R175" s="47"/>
      <c r="S175" s="47"/>
      <c r="T175" s="47"/>
      <c r="U175" s="47"/>
      <c r="V175" s="47"/>
      <c r="W175" s="47"/>
      <c r="X175" s="47"/>
      <c r="Y175" s="47"/>
      <c r="Z175" s="47"/>
      <c r="AA175" s="47"/>
      <c r="AB175" s="47"/>
      <c r="AC175" s="47"/>
      <c r="AD175" s="47"/>
      <c r="AE175" s="47"/>
    </row>
    <row r="176" spans="2:31" ht="15" customHeight="1">
      <c r="K176" s="47"/>
      <c r="L176" s="47"/>
      <c r="M176" s="47"/>
      <c r="N176" s="47"/>
      <c r="O176" s="47"/>
      <c r="P176" s="47"/>
      <c r="Q176" s="47"/>
      <c r="R176" s="47"/>
      <c r="S176" s="47"/>
      <c r="T176" s="47"/>
      <c r="U176" s="47"/>
      <c r="V176" s="47"/>
      <c r="W176" s="47"/>
      <c r="X176" s="47"/>
      <c r="Y176" s="47"/>
      <c r="Z176" s="47"/>
      <c r="AA176" s="47"/>
      <c r="AB176" s="47"/>
      <c r="AC176" s="47"/>
      <c r="AD176" s="47"/>
      <c r="AE176" s="47"/>
    </row>
    <row r="177" spans="11:31" ht="15" customHeight="1"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  <c r="W177" s="47"/>
      <c r="X177" s="47"/>
      <c r="Y177" s="47"/>
      <c r="Z177" s="47"/>
      <c r="AA177" s="47"/>
      <c r="AB177" s="47"/>
      <c r="AC177" s="47"/>
      <c r="AD177" s="47"/>
      <c r="AE177" s="47"/>
    </row>
    <row r="178" spans="11:31" ht="15" customHeight="1">
      <c r="K178" s="47"/>
      <c r="L178" s="47"/>
      <c r="M178" s="47"/>
      <c r="N178" s="47"/>
      <c r="O178" s="47"/>
      <c r="P178" s="47"/>
      <c r="Q178" s="47"/>
      <c r="R178" s="47"/>
      <c r="S178" s="47"/>
      <c r="T178" s="47"/>
      <c r="U178" s="47"/>
      <c r="V178" s="47"/>
      <c r="W178" s="47"/>
      <c r="X178" s="47"/>
      <c r="Y178" s="47"/>
      <c r="Z178" s="47"/>
      <c r="AA178" s="47"/>
      <c r="AB178" s="47"/>
      <c r="AC178" s="47"/>
      <c r="AD178" s="47"/>
      <c r="AE178" s="47"/>
    </row>
    <row r="179" spans="11:31" ht="15" customHeight="1">
      <c r="K179" s="47"/>
      <c r="L179" s="47"/>
      <c r="M179" s="47"/>
      <c r="N179" s="47"/>
      <c r="O179" s="47"/>
      <c r="P179" s="47"/>
      <c r="Q179" s="47"/>
      <c r="R179" s="47"/>
      <c r="S179" s="47"/>
      <c r="T179" s="47"/>
      <c r="U179" s="47"/>
      <c r="V179" s="47"/>
      <c r="W179" s="47"/>
      <c r="X179" s="47"/>
      <c r="Y179" s="47"/>
      <c r="Z179" s="47"/>
      <c r="AA179" s="47"/>
      <c r="AB179" s="47"/>
      <c r="AC179" s="47"/>
      <c r="AD179" s="47"/>
      <c r="AE179" s="47"/>
    </row>
    <row r="180" spans="11:31" ht="15" customHeight="1">
      <c r="K180" s="47"/>
      <c r="L180" s="47"/>
      <c r="M180" s="47"/>
      <c r="N180" s="47"/>
      <c r="O180" s="47"/>
      <c r="P180" s="47"/>
      <c r="Q180" s="47"/>
      <c r="R180" s="47"/>
      <c r="S180" s="47"/>
      <c r="T180" s="47"/>
      <c r="U180" s="47"/>
      <c r="V180" s="47"/>
      <c r="W180" s="47"/>
      <c r="X180" s="47"/>
      <c r="Y180" s="47"/>
      <c r="Z180" s="47"/>
      <c r="AA180" s="47"/>
      <c r="AB180" s="47"/>
      <c r="AC180" s="47"/>
      <c r="AD180" s="47"/>
      <c r="AE180" s="47"/>
    </row>
    <row r="181" spans="11:31" ht="15" customHeight="1">
      <c r="K181" s="47"/>
      <c r="L181" s="47"/>
      <c r="M181" s="47"/>
      <c r="N181" s="47"/>
      <c r="O181" s="47"/>
      <c r="P181" s="47"/>
      <c r="Q181" s="47"/>
      <c r="R181" s="47"/>
      <c r="S181" s="47"/>
      <c r="T181" s="47"/>
      <c r="U181" s="47"/>
      <c r="V181" s="47"/>
      <c r="W181" s="47"/>
      <c r="X181" s="47"/>
      <c r="Y181" s="47"/>
      <c r="Z181" s="47"/>
      <c r="AA181" s="47"/>
      <c r="AB181" s="47"/>
      <c r="AC181" s="47"/>
      <c r="AD181" s="47"/>
      <c r="AE181" s="47"/>
    </row>
    <row r="182" spans="11:31" ht="15" customHeight="1">
      <c r="K182" s="47"/>
      <c r="L182" s="47"/>
      <c r="M182" s="47"/>
      <c r="N182" s="47"/>
      <c r="O182" s="47"/>
      <c r="P182" s="47"/>
      <c r="Q182" s="47"/>
      <c r="R182" s="47"/>
      <c r="S182" s="47"/>
      <c r="T182" s="47"/>
      <c r="U182" s="47"/>
      <c r="V182" s="47"/>
      <c r="W182" s="47"/>
      <c r="X182" s="47"/>
      <c r="Y182" s="47"/>
      <c r="Z182" s="47"/>
      <c r="AA182" s="47"/>
      <c r="AB182" s="47"/>
      <c r="AC182" s="47"/>
      <c r="AD182" s="47"/>
      <c r="AE182" s="47"/>
    </row>
    <row r="183" spans="11:31" ht="15" customHeight="1">
      <c r="K183" s="47"/>
      <c r="L183" s="47"/>
      <c r="M183" s="47"/>
      <c r="N183" s="47"/>
      <c r="O183" s="47"/>
      <c r="P183" s="47"/>
      <c r="Q183" s="47"/>
      <c r="R183" s="47"/>
      <c r="S183" s="47"/>
      <c r="T183" s="47"/>
      <c r="U183" s="47"/>
      <c r="V183" s="47"/>
      <c r="W183" s="47"/>
      <c r="X183" s="47"/>
      <c r="Y183" s="47"/>
      <c r="Z183" s="47"/>
      <c r="AA183" s="47"/>
      <c r="AB183" s="47"/>
      <c r="AC183" s="47"/>
      <c r="AD183" s="47"/>
      <c r="AE183" s="47"/>
    </row>
    <row r="184" spans="11:31" ht="15" customHeight="1">
      <c r="K184" s="47"/>
      <c r="L184" s="47"/>
      <c r="M184" s="47"/>
      <c r="N184" s="47"/>
      <c r="O184" s="47"/>
      <c r="P184" s="47"/>
      <c r="Q184" s="47"/>
      <c r="R184" s="47"/>
      <c r="S184" s="47"/>
      <c r="T184" s="47"/>
      <c r="U184" s="47"/>
      <c r="V184" s="47"/>
      <c r="W184" s="47"/>
      <c r="X184" s="47"/>
      <c r="Y184" s="47"/>
      <c r="Z184" s="47"/>
      <c r="AA184" s="47"/>
      <c r="AB184" s="47"/>
      <c r="AC184" s="47"/>
      <c r="AD184" s="47"/>
      <c r="AE184" s="47"/>
    </row>
    <row r="185" spans="11:31" ht="15" customHeight="1">
      <c r="K185" s="47"/>
      <c r="L185" s="47"/>
      <c r="M185" s="47"/>
      <c r="N185" s="47"/>
      <c r="O185" s="47"/>
      <c r="P185" s="47"/>
      <c r="Q185" s="47"/>
      <c r="R185" s="47"/>
      <c r="S185" s="47"/>
      <c r="T185" s="47"/>
      <c r="U185" s="47"/>
      <c r="V185" s="47"/>
      <c r="W185" s="47"/>
      <c r="X185" s="47"/>
      <c r="Y185" s="47"/>
      <c r="Z185" s="47"/>
      <c r="AA185" s="47"/>
      <c r="AB185" s="47"/>
      <c r="AC185" s="47"/>
      <c r="AD185" s="47"/>
      <c r="AE185" s="47"/>
    </row>
    <row r="186" spans="11:31" ht="15" customHeight="1">
      <c r="K186" s="47"/>
      <c r="L186" s="47"/>
      <c r="M186" s="47"/>
      <c r="N186" s="47"/>
      <c r="O186" s="47"/>
      <c r="P186" s="47"/>
      <c r="Q186" s="47"/>
      <c r="R186" s="47"/>
      <c r="S186" s="47"/>
      <c r="T186" s="47"/>
      <c r="U186" s="47"/>
      <c r="V186" s="47"/>
      <c r="W186" s="47"/>
      <c r="X186" s="47"/>
      <c r="Y186" s="47"/>
      <c r="Z186" s="47"/>
      <c r="AA186" s="47"/>
      <c r="AB186" s="47"/>
      <c r="AC186" s="47"/>
      <c r="AD186" s="47"/>
      <c r="AE186" s="47"/>
    </row>
    <row r="187" spans="11:31" ht="15" customHeight="1">
      <c r="K187" s="47"/>
      <c r="L187" s="47"/>
      <c r="M187" s="47"/>
      <c r="N187" s="47"/>
      <c r="O187" s="47"/>
      <c r="P187" s="47"/>
      <c r="Q187" s="47"/>
      <c r="R187" s="47"/>
      <c r="S187" s="47"/>
      <c r="T187" s="47"/>
      <c r="U187" s="47"/>
      <c r="V187" s="47"/>
      <c r="W187" s="47"/>
      <c r="X187" s="47"/>
      <c r="Y187" s="47"/>
      <c r="Z187" s="47"/>
      <c r="AA187" s="47"/>
      <c r="AB187" s="47"/>
      <c r="AC187" s="47"/>
      <c r="AD187" s="47"/>
      <c r="AE187" s="47"/>
    </row>
    <row r="188" spans="11:31" ht="15" customHeight="1">
      <c r="K188" s="47"/>
      <c r="L188" s="47"/>
      <c r="M188" s="47"/>
      <c r="N188" s="47"/>
      <c r="O188" s="47"/>
      <c r="P188" s="47"/>
      <c r="Q188" s="47"/>
      <c r="R188" s="47"/>
      <c r="S188" s="47"/>
      <c r="T188" s="47"/>
      <c r="U188" s="47"/>
      <c r="V188" s="47"/>
      <c r="W188" s="47"/>
      <c r="X188" s="47"/>
      <c r="Y188" s="47"/>
      <c r="Z188" s="47"/>
      <c r="AA188" s="47"/>
      <c r="AB188" s="47"/>
      <c r="AC188" s="47"/>
      <c r="AD188" s="47"/>
      <c r="AE188" s="47"/>
    </row>
    <row r="189" spans="11:31" ht="15" customHeight="1">
      <c r="K189" s="47"/>
      <c r="L189" s="47"/>
      <c r="M189" s="47"/>
      <c r="N189" s="47"/>
      <c r="O189" s="47"/>
      <c r="P189" s="47"/>
      <c r="Q189" s="47"/>
      <c r="R189" s="47"/>
      <c r="S189" s="47"/>
      <c r="T189" s="47"/>
      <c r="U189" s="47"/>
      <c r="V189" s="47"/>
      <c r="W189" s="47"/>
      <c r="X189" s="47"/>
      <c r="Y189" s="47"/>
      <c r="Z189" s="47"/>
      <c r="AA189" s="47"/>
      <c r="AB189" s="47"/>
      <c r="AC189" s="47"/>
      <c r="AD189" s="47"/>
      <c r="AE189" s="47"/>
    </row>
    <row r="190" spans="11:31" ht="15" customHeight="1">
      <c r="K190" s="47"/>
      <c r="L190" s="47"/>
      <c r="M190" s="47"/>
      <c r="N190" s="47"/>
      <c r="O190" s="47"/>
      <c r="P190" s="47"/>
      <c r="Q190" s="47"/>
      <c r="R190" s="47"/>
      <c r="S190" s="47"/>
      <c r="T190" s="47"/>
      <c r="U190" s="47"/>
      <c r="V190" s="47"/>
      <c r="W190" s="47"/>
      <c r="X190" s="47"/>
      <c r="Y190" s="47"/>
      <c r="Z190" s="47"/>
      <c r="AA190" s="47"/>
      <c r="AB190" s="47"/>
      <c r="AC190" s="47"/>
      <c r="AD190" s="47"/>
      <c r="AE190" s="47"/>
    </row>
    <row r="191" spans="11:31" ht="15" customHeight="1">
      <c r="K191" s="47"/>
      <c r="L191" s="47"/>
      <c r="M191" s="47"/>
      <c r="N191" s="47"/>
      <c r="O191" s="47"/>
      <c r="P191" s="47"/>
      <c r="Q191" s="47"/>
      <c r="R191" s="47"/>
      <c r="S191" s="47"/>
      <c r="T191" s="47"/>
      <c r="U191" s="47"/>
      <c r="V191" s="47"/>
      <c r="W191" s="47"/>
      <c r="X191" s="47"/>
      <c r="Y191" s="47"/>
      <c r="Z191" s="47"/>
      <c r="AA191" s="47"/>
      <c r="AB191" s="47"/>
      <c r="AC191" s="47"/>
      <c r="AD191" s="47"/>
      <c r="AE191" s="47"/>
    </row>
    <row r="192" spans="11:31" ht="15" customHeight="1">
      <c r="K192" s="47"/>
      <c r="L192" s="47"/>
      <c r="M192" s="47"/>
      <c r="N192" s="47"/>
      <c r="O192" s="47"/>
      <c r="P192" s="47"/>
      <c r="Q192" s="47"/>
      <c r="R192" s="47"/>
      <c r="S192" s="47"/>
      <c r="T192" s="47"/>
      <c r="U192" s="47"/>
      <c r="V192" s="47"/>
      <c r="W192" s="47"/>
      <c r="X192" s="47"/>
      <c r="Y192" s="47"/>
      <c r="Z192" s="47"/>
      <c r="AA192" s="47"/>
      <c r="AB192" s="47"/>
      <c r="AC192" s="47"/>
      <c r="AD192" s="47"/>
      <c r="AE192" s="47"/>
    </row>
    <row r="193" spans="11:31" ht="15" customHeight="1">
      <c r="K193" s="47"/>
      <c r="L193" s="47"/>
      <c r="M193" s="47"/>
      <c r="N193" s="47"/>
      <c r="O193" s="47"/>
      <c r="P193" s="47"/>
      <c r="Q193" s="47"/>
      <c r="R193" s="47"/>
      <c r="S193" s="47"/>
      <c r="T193" s="47"/>
      <c r="U193" s="47"/>
      <c r="V193" s="47"/>
      <c r="W193" s="47"/>
      <c r="X193" s="47"/>
      <c r="Y193" s="47"/>
      <c r="Z193" s="47"/>
      <c r="AA193" s="47"/>
      <c r="AB193" s="47"/>
      <c r="AC193" s="47"/>
      <c r="AD193" s="47"/>
      <c r="AE193" s="47"/>
    </row>
    <row r="194" spans="11:31" ht="15" customHeight="1">
      <c r="K194" s="47"/>
      <c r="L194" s="47"/>
      <c r="M194" s="47"/>
      <c r="N194" s="47"/>
      <c r="O194" s="47"/>
      <c r="P194" s="47"/>
      <c r="Q194" s="47"/>
      <c r="R194" s="47"/>
      <c r="S194" s="47"/>
      <c r="T194" s="47"/>
      <c r="U194" s="47"/>
      <c r="V194" s="47"/>
      <c r="W194" s="47"/>
      <c r="X194" s="47"/>
      <c r="Y194" s="47"/>
      <c r="Z194" s="47"/>
      <c r="AA194" s="47"/>
      <c r="AB194" s="47"/>
      <c r="AC194" s="47"/>
      <c r="AD194" s="47"/>
      <c r="AE194" s="47"/>
    </row>
    <row r="195" spans="11:31" ht="15" customHeight="1">
      <c r="K195" s="47"/>
      <c r="L195" s="47"/>
      <c r="M195" s="47"/>
      <c r="N195" s="47"/>
      <c r="O195" s="47"/>
      <c r="P195" s="47"/>
      <c r="Q195" s="47"/>
      <c r="R195" s="47"/>
      <c r="S195" s="47"/>
      <c r="T195" s="47"/>
      <c r="U195" s="47"/>
      <c r="V195" s="47"/>
      <c r="W195" s="47"/>
      <c r="X195" s="47"/>
      <c r="Y195" s="47"/>
      <c r="Z195" s="47"/>
      <c r="AA195" s="47"/>
      <c r="AB195" s="47"/>
      <c r="AC195" s="47"/>
      <c r="AD195" s="47"/>
      <c r="AE195" s="47"/>
    </row>
    <row r="196" spans="11:31" ht="15" customHeight="1">
      <c r="K196" s="47"/>
      <c r="L196" s="47"/>
      <c r="M196" s="47"/>
      <c r="N196" s="47"/>
      <c r="O196" s="47"/>
      <c r="P196" s="47"/>
      <c r="Q196" s="47"/>
      <c r="R196" s="47"/>
      <c r="S196" s="47"/>
      <c r="T196" s="47"/>
      <c r="U196" s="47"/>
      <c r="V196" s="47"/>
      <c r="W196" s="47"/>
      <c r="X196" s="47"/>
      <c r="Y196" s="47"/>
      <c r="Z196" s="47"/>
      <c r="AA196" s="47"/>
      <c r="AB196" s="47"/>
      <c r="AC196" s="47"/>
      <c r="AD196" s="47"/>
      <c r="AE196" s="47"/>
    </row>
    <row r="197" spans="11:31" ht="15" customHeight="1">
      <c r="K197" s="47"/>
      <c r="L197" s="47"/>
      <c r="M197" s="47"/>
      <c r="N197" s="47"/>
      <c r="O197" s="47"/>
      <c r="P197" s="47"/>
      <c r="Q197" s="47"/>
      <c r="R197" s="47"/>
      <c r="S197" s="47"/>
      <c r="T197" s="47"/>
      <c r="U197" s="47"/>
      <c r="V197" s="47"/>
      <c r="W197" s="47"/>
      <c r="X197" s="47"/>
      <c r="Y197" s="47"/>
      <c r="Z197" s="47"/>
      <c r="AA197" s="47"/>
      <c r="AB197" s="47"/>
      <c r="AC197" s="47"/>
      <c r="AD197" s="47"/>
      <c r="AE197" s="47"/>
    </row>
    <row r="198" spans="11:31" ht="15" customHeight="1">
      <c r="K198" s="47"/>
      <c r="L198" s="47"/>
      <c r="M198" s="47"/>
      <c r="N198" s="47"/>
      <c r="O198" s="47"/>
      <c r="P198" s="47"/>
      <c r="Q198" s="47"/>
      <c r="R198" s="47"/>
      <c r="S198" s="47"/>
      <c r="T198" s="47"/>
      <c r="U198" s="47"/>
      <c r="V198" s="47"/>
      <c r="W198" s="47"/>
      <c r="X198" s="47"/>
      <c r="Y198" s="47"/>
      <c r="Z198" s="47"/>
      <c r="AA198" s="47"/>
      <c r="AB198" s="47"/>
      <c r="AC198" s="47"/>
      <c r="AD198" s="47"/>
      <c r="AE198" s="47"/>
    </row>
    <row r="199" spans="11:31" ht="15" customHeight="1">
      <c r="K199" s="47"/>
      <c r="L199" s="47"/>
      <c r="M199" s="47"/>
      <c r="N199" s="47"/>
      <c r="O199" s="47"/>
      <c r="P199" s="47"/>
      <c r="Q199" s="47"/>
      <c r="R199" s="47"/>
      <c r="S199" s="47"/>
      <c r="T199" s="47"/>
      <c r="U199" s="47"/>
      <c r="V199" s="47"/>
      <c r="W199" s="47"/>
      <c r="X199" s="47"/>
      <c r="Y199" s="47"/>
      <c r="Z199" s="47"/>
      <c r="AA199" s="47"/>
      <c r="AB199" s="47"/>
      <c r="AC199" s="47"/>
      <c r="AD199" s="47"/>
      <c r="AE199" s="47"/>
    </row>
    <row r="200" spans="11:31" ht="15" customHeight="1">
      <c r="K200" s="47"/>
      <c r="L200" s="47"/>
      <c r="M200" s="47"/>
      <c r="N200" s="47"/>
      <c r="O200" s="47"/>
      <c r="P200" s="47"/>
      <c r="Q200" s="47"/>
      <c r="R200" s="47"/>
      <c r="S200" s="47"/>
      <c r="T200" s="47"/>
      <c r="U200" s="47"/>
      <c r="V200" s="47"/>
      <c r="W200" s="47"/>
      <c r="X200" s="47"/>
      <c r="Y200" s="47"/>
      <c r="Z200" s="47"/>
      <c r="AA200" s="47"/>
      <c r="AB200" s="47"/>
      <c r="AC200" s="47"/>
      <c r="AD200" s="47"/>
      <c r="AE200" s="47"/>
    </row>
    <row r="201" spans="11:31" ht="15" customHeight="1">
      <c r="K201" s="47"/>
      <c r="L201" s="47"/>
      <c r="M201" s="47"/>
      <c r="N201" s="47"/>
      <c r="O201" s="47"/>
      <c r="P201" s="47"/>
      <c r="Q201" s="47"/>
      <c r="R201" s="47"/>
      <c r="S201" s="47"/>
      <c r="T201" s="47"/>
      <c r="U201" s="47"/>
      <c r="V201" s="47"/>
      <c r="W201" s="47"/>
      <c r="X201" s="47"/>
      <c r="Y201" s="47"/>
      <c r="Z201" s="47"/>
      <c r="AA201" s="47"/>
      <c r="AB201" s="47"/>
      <c r="AC201" s="47"/>
      <c r="AD201" s="47"/>
      <c r="AE201" s="47"/>
    </row>
    <row r="202" spans="11:31" ht="15" customHeight="1">
      <c r="K202" s="47"/>
      <c r="L202" s="47"/>
      <c r="M202" s="47"/>
      <c r="N202" s="47"/>
      <c r="O202" s="47"/>
      <c r="P202" s="47"/>
      <c r="Q202" s="47"/>
      <c r="R202" s="47"/>
      <c r="S202" s="47"/>
      <c r="T202" s="47"/>
      <c r="U202" s="47"/>
      <c r="V202" s="47"/>
      <c r="W202" s="47"/>
      <c r="X202" s="47"/>
      <c r="Y202" s="47"/>
      <c r="Z202" s="47"/>
      <c r="AA202" s="47"/>
      <c r="AB202" s="47"/>
      <c r="AC202" s="47"/>
      <c r="AD202" s="47"/>
      <c r="AE202" s="47"/>
    </row>
    <row r="203" spans="11:31" ht="15" customHeight="1">
      <c r="K203" s="47"/>
      <c r="L203" s="47"/>
      <c r="M203" s="47"/>
      <c r="N203" s="47"/>
      <c r="O203" s="47"/>
      <c r="P203" s="47"/>
      <c r="Q203" s="47"/>
      <c r="R203" s="47"/>
      <c r="S203" s="47"/>
      <c r="T203" s="47"/>
      <c r="U203" s="47"/>
      <c r="V203" s="47"/>
      <c r="W203" s="47"/>
      <c r="X203" s="47"/>
      <c r="Y203" s="47"/>
      <c r="Z203" s="47"/>
      <c r="AA203" s="47"/>
      <c r="AB203" s="47"/>
      <c r="AC203" s="47"/>
      <c r="AD203" s="47"/>
      <c r="AE203" s="47"/>
    </row>
    <row r="204" spans="11:31" ht="15" customHeight="1">
      <c r="K204" s="47"/>
      <c r="L204" s="47"/>
      <c r="M204" s="47"/>
      <c r="N204" s="47"/>
      <c r="O204" s="47"/>
      <c r="P204" s="47"/>
      <c r="Q204" s="47"/>
      <c r="R204" s="47"/>
      <c r="S204" s="47"/>
      <c r="T204" s="47"/>
      <c r="U204" s="47"/>
      <c r="V204" s="47"/>
      <c r="W204" s="47"/>
      <c r="X204" s="47"/>
      <c r="Y204" s="47"/>
      <c r="Z204" s="47"/>
      <c r="AA204" s="47"/>
      <c r="AB204" s="47"/>
      <c r="AC204" s="47"/>
      <c r="AD204" s="47"/>
      <c r="AE204" s="47"/>
    </row>
    <row r="205" spans="11:31" ht="15" customHeight="1">
      <c r="K205" s="47"/>
      <c r="L205" s="47"/>
      <c r="M205" s="47"/>
      <c r="N205" s="47"/>
      <c r="O205" s="47"/>
      <c r="P205" s="47"/>
      <c r="Q205" s="47"/>
      <c r="R205" s="47"/>
      <c r="S205" s="47"/>
      <c r="T205" s="47"/>
      <c r="U205" s="47"/>
      <c r="V205" s="47"/>
      <c r="W205" s="47"/>
      <c r="X205" s="47"/>
      <c r="Y205" s="47"/>
      <c r="Z205" s="47"/>
      <c r="AA205" s="47"/>
      <c r="AB205" s="47"/>
      <c r="AC205" s="47"/>
      <c r="AD205" s="47"/>
      <c r="AE205" s="47"/>
    </row>
    <row r="206" spans="11:31" ht="15" customHeight="1">
      <c r="K206" s="47"/>
      <c r="L206" s="47"/>
      <c r="M206" s="47"/>
      <c r="N206" s="47"/>
      <c r="O206" s="47"/>
      <c r="P206" s="47"/>
      <c r="Q206" s="47"/>
      <c r="R206" s="47"/>
      <c r="S206" s="47"/>
      <c r="T206" s="47"/>
      <c r="U206" s="47"/>
      <c r="V206" s="47"/>
      <c r="W206" s="47"/>
      <c r="X206" s="47"/>
      <c r="Y206" s="47"/>
      <c r="Z206" s="47"/>
      <c r="AA206" s="47"/>
      <c r="AB206" s="47"/>
      <c r="AC206" s="47"/>
      <c r="AD206" s="47"/>
      <c r="AE206" s="47"/>
    </row>
    <row r="207" spans="11:31" ht="15" customHeight="1">
      <c r="K207" s="47"/>
      <c r="L207" s="47"/>
      <c r="M207" s="47"/>
      <c r="N207" s="47"/>
      <c r="O207" s="47"/>
      <c r="P207" s="47"/>
      <c r="Q207" s="47"/>
      <c r="R207" s="47"/>
      <c r="S207" s="47"/>
      <c r="T207" s="47"/>
      <c r="U207" s="47"/>
      <c r="V207" s="47"/>
      <c r="W207" s="47"/>
      <c r="X207" s="47"/>
      <c r="Y207" s="47"/>
      <c r="Z207" s="47"/>
      <c r="AA207" s="47"/>
      <c r="AB207" s="47"/>
      <c r="AC207" s="47"/>
      <c r="AD207" s="47"/>
      <c r="AE207" s="47"/>
    </row>
    <row r="208" spans="11:31" ht="15" customHeight="1">
      <c r="K208" s="47"/>
      <c r="L208" s="47"/>
      <c r="M208" s="47"/>
      <c r="N208" s="47"/>
      <c r="O208" s="47"/>
      <c r="P208" s="47"/>
      <c r="Q208" s="47"/>
      <c r="R208" s="47"/>
      <c r="S208" s="47"/>
      <c r="T208" s="47"/>
      <c r="U208" s="47"/>
      <c r="V208" s="47"/>
      <c r="W208" s="47"/>
      <c r="X208" s="47"/>
      <c r="Y208" s="47"/>
      <c r="Z208" s="47"/>
      <c r="AA208" s="47"/>
      <c r="AB208" s="47"/>
      <c r="AC208" s="47"/>
      <c r="AD208" s="47"/>
      <c r="AE208" s="47"/>
    </row>
    <row r="209" spans="11:31" ht="15" customHeight="1">
      <c r="K209" s="47"/>
      <c r="L209" s="47"/>
      <c r="M209" s="47"/>
      <c r="N209" s="47"/>
      <c r="O209" s="47"/>
      <c r="P209" s="47"/>
      <c r="Q209" s="47"/>
      <c r="R209" s="47"/>
      <c r="S209" s="47"/>
      <c r="T209" s="47"/>
      <c r="U209" s="47"/>
      <c r="V209" s="47"/>
      <c r="W209" s="47"/>
      <c r="X209" s="47"/>
      <c r="Y209" s="47"/>
      <c r="Z209" s="47"/>
      <c r="AA209" s="47"/>
      <c r="AB209" s="47"/>
      <c r="AC209" s="47"/>
      <c r="AD209" s="47"/>
      <c r="AE209" s="47"/>
    </row>
    <row r="210" spans="11:31" ht="15" customHeight="1">
      <c r="K210" s="47"/>
      <c r="L210" s="47"/>
      <c r="M210" s="47"/>
      <c r="N210" s="47"/>
      <c r="O210" s="47"/>
      <c r="P210" s="47"/>
      <c r="Q210" s="47"/>
      <c r="R210" s="47"/>
      <c r="S210" s="47"/>
      <c r="T210" s="47"/>
      <c r="U210" s="47"/>
      <c r="V210" s="47"/>
      <c r="W210" s="47"/>
      <c r="X210" s="47"/>
      <c r="Y210" s="47"/>
      <c r="Z210" s="47"/>
      <c r="AA210" s="47"/>
      <c r="AB210" s="47"/>
      <c r="AC210" s="47"/>
      <c r="AD210" s="47"/>
      <c r="AE210" s="47"/>
    </row>
    <row r="211" spans="11:31" ht="15" customHeight="1">
      <c r="K211" s="47"/>
      <c r="L211" s="47"/>
      <c r="M211" s="47"/>
      <c r="N211" s="47"/>
      <c r="O211" s="47"/>
      <c r="P211" s="47"/>
      <c r="Q211" s="47"/>
      <c r="R211" s="47"/>
      <c r="S211" s="47"/>
      <c r="T211" s="47"/>
      <c r="U211" s="47"/>
      <c r="V211" s="47"/>
      <c r="W211" s="47"/>
      <c r="X211" s="47"/>
      <c r="Y211" s="47"/>
      <c r="Z211" s="47"/>
      <c r="AA211" s="47"/>
      <c r="AB211" s="47"/>
      <c r="AC211" s="47"/>
      <c r="AD211" s="47"/>
      <c r="AE211" s="47"/>
    </row>
    <row r="212" spans="11:31" ht="15" customHeight="1">
      <c r="K212" s="47"/>
      <c r="L212" s="47"/>
      <c r="M212" s="47"/>
      <c r="N212" s="47"/>
      <c r="O212" s="47"/>
      <c r="P212" s="47"/>
      <c r="Q212" s="47"/>
      <c r="R212" s="47"/>
      <c r="S212" s="47"/>
      <c r="T212" s="47"/>
      <c r="U212" s="47"/>
      <c r="V212" s="47"/>
      <c r="W212" s="47"/>
      <c r="X212" s="47"/>
      <c r="Y212" s="47"/>
      <c r="Z212" s="47"/>
      <c r="AA212" s="47"/>
      <c r="AB212" s="47"/>
      <c r="AC212" s="47"/>
      <c r="AD212" s="47"/>
      <c r="AE212" s="47"/>
    </row>
    <row r="213" spans="11:31" ht="15" customHeight="1">
      <c r="K213" s="47"/>
      <c r="L213" s="47"/>
      <c r="M213" s="47"/>
      <c r="N213" s="47"/>
      <c r="O213" s="47"/>
      <c r="P213" s="47"/>
      <c r="Q213" s="47"/>
      <c r="R213" s="47"/>
      <c r="S213" s="47"/>
      <c r="T213" s="47"/>
      <c r="U213" s="47"/>
      <c r="V213" s="47"/>
      <c r="W213" s="47"/>
      <c r="X213" s="47"/>
      <c r="Y213" s="47"/>
      <c r="Z213" s="47"/>
      <c r="AA213" s="47"/>
      <c r="AB213" s="47"/>
      <c r="AC213" s="47"/>
      <c r="AD213" s="47"/>
      <c r="AE213" s="47"/>
    </row>
    <row r="214" spans="11:31" ht="15" customHeight="1">
      <c r="K214" s="47"/>
      <c r="L214" s="47"/>
      <c r="M214" s="47"/>
      <c r="N214" s="47"/>
      <c r="O214" s="47"/>
      <c r="P214" s="47"/>
      <c r="Q214" s="47"/>
      <c r="R214" s="47"/>
      <c r="S214" s="47"/>
      <c r="T214" s="47"/>
      <c r="U214" s="47"/>
      <c r="V214" s="47"/>
      <c r="W214" s="47"/>
      <c r="X214" s="47"/>
      <c r="Y214" s="47"/>
      <c r="Z214" s="47"/>
      <c r="AA214" s="47"/>
      <c r="AB214" s="47"/>
      <c r="AC214" s="47"/>
      <c r="AD214" s="47"/>
      <c r="AE214" s="47"/>
    </row>
    <row r="215" spans="11:31" ht="15" customHeight="1">
      <c r="K215" s="47"/>
      <c r="L215" s="47"/>
      <c r="M215" s="47"/>
      <c r="N215" s="47"/>
      <c r="O215" s="47"/>
      <c r="P215" s="47"/>
      <c r="Q215" s="47"/>
      <c r="R215" s="47"/>
      <c r="S215" s="47"/>
      <c r="T215" s="47"/>
      <c r="U215" s="47"/>
      <c r="V215" s="47"/>
      <c r="W215" s="47"/>
      <c r="X215" s="47"/>
      <c r="Y215" s="47"/>
      <c r="Z215" s="47"/>
      <c r="AA215" s="47"/>
      <c r="AB215" s="47"/>
      <c r="AC215" s="47"/>
      <c r="AD215" s="47"/>
      <c r="AE215" s="47"/>
    </row>
    <row r="216" spans="11:31" ht="15" customHeight="1">
      <c r="K216" s="47"/>
      <c r="L216" s="47"/>
      <c r="M216" s="47"/>
      <c r="N216" s="47"/>
      <c r="O216" s="47"/>
      <c r="P216" s="47"/>
      <c r="Q216" s="47"/>
      <c r="R216" s="47"/>
      <c r="S216" s="47"/>
      <c r="T216" s="47"/>
      <c r="U216" s="47"/>
      <c r="V216" s="47"/>
      <c r="W216" s="47"/>
      <c r="X216" s="47"/>
      <c r="Y216" s="47"/>
      <c r="Z216" s="47"/>
      <c r="AA216" s="47"/>
      <c r="AB216" s="47"/>
      <c r="AC216" s="47"/>
      <c r="AD216" s="47"/>
      <c r="AE216" s="47"/>
    </row>
    <row r="217" spans="11:31" ht="15" customHeight="1">
      <c r="K217" s="47"/>
      <c r="L217" s="47"/>
      <c r="M217" s="47"/>
      <c r="N217" s="47"/>
      <c r="O217" s="47"/>
      <c r="P217" s="47"/>
      <c r="Q217" s="47"/>
      <c r="R217" s="47"/>
      <c r="S217" s="47"/>
      <c r="T217" s="47"/>
      <c r="U217" s="47"/>
      <c r="V217" s="47"/>
      <c r="W217" s="47"/>
      <c r="X217" s="47"/>
      <c r="Y217" s="47"/>
      <c r="Z217" s="47"/>
      <c r="AA217" s="47"/>
      <c r="AB217" s="47"/>
      <c r="AC217" s="47"/>
      <c r="AD217" s="47"/>
      <c r="AE217" s="47"/>
    </row>
    <row r="218" spans="11:31" ht="15" customHeight="1">
      <c r="K218" s="47"/>
      <c r="L218" s="47"/>
      <c r="M218" s="47"/>
      <c r="N218" s="47"/>
      <c r="O218" s="47"/>
      <c r="P218" s="47"/>
      <c r="Q218" s="47"/>
      <c r="R218" s="47"/>
      <c r="S218" s="47"/>
      <c r="T218" s="47"/>
      <c r="U218" s="47"/>
      <c r="V218" s="47"/>
      <c r="W218" s="47"/>
      <c r="X218" s="47"/>
      <c r="Y218" s="47"/>
      <c r="Z218" s="47"/>
      <c r="AA218" s="47"/>
      <c r="AB218" s="47"/>
      <c r="AC218" s="47"/>
      <c r="AD218" s="47"/>
      <c r="AE218" s="47"/>
    </row>
    <row r="219" spans="11:31" ht="15" customHeight="1">
      <c r="K219" s="47"/>
      <c r="L219" s="47"/>
      <c r="M219" s="47"/>
      <c r="N219" s="47"/>
      <c r="O219" s="47"/>
      <c r="P219" s="47"/>
      <c r="Q219" s="47"/>
      <c r="R219" s="47"/>
      <c r="S219" s="47"/>
      <c r="T219" s="47"/>
      <c r="U219" s="47"/>
      <c r="V219" s="47"/>
      <c r="W219" s="47"/>
      <c r="X219" s="47"/>
      <c r="Y219" s="47"/>
      <c r="Z219" s="47"/>
      <c r="AA219" s="47"/>
      <c r="AB219" s="47"/>
      <c r="AC219" s="47"/>
      <c r="AD219" s="47"/>
      <c r="AE219" s="47"/>
    </row>
    <row r="220" spans="11:31" ht="15" customHeight="1">
      <c r="K220" s="47"/>
      <c r="L220" s="47"/>
      <c r="M220" s="47"/>
      <c r="N220" s="47"/>
      <c r="O220" s="47"/>
      <c r="P220" s="47"/>
      <c r="Q220" s="47"/>
      <c r="R220" s="47"/>
      <c r="S220" s="47"/>
      <c r="T220" s="47"/>
      <c r="U220" s="47"/>
      <c r="V220" s="47"/>
      <c r="W220" s="47"/>
      <c r="X220" s="47"/>
      <c r="Y220" s="47"/>
      <c r="Z220" s="47"/>
      <c r="AA220" s="47"/>
      <c r="AB220" s="47"/>
      <c r="AC220" s="47"/>
      <c r="AD220" s="47"/>
      <c r="AE220" s="47"/>
    </row>
    <row r="221" spans="11:31" ht="15" customHeight="1">
      <c r="K221" s="47"/>
      <c r="L221" s="47"/>
      <c r="M221" s="47"/>
      <c r="N221" s="47"/>
      <c r="O221" s="47"/>
      <c r="P221" s="47"/>
      <c r="Q221" s="47"/>
      <c r="R221" s="47"/>
      <c r="S221" s="47"/>
      <c r="T221" s="47"/>
      <c r="U221" s="47"/>
      <c r="V221" s="47"/>
      <c r="W221" s="47"/>
      <c r="X221" s="47"/>
      <c r="Y221" s="47"/>
      <c r="Z221" s="47"/>
      <c r="AA221" s="47"/>
      <c r="AB221" s="47"/>
      <c r="AC221" s="47"/>
      <c r="AD221" s="47"/>
      <c r="AE221" s="47"/>
    </row>
    <row r="222" spans="11:31" ht="15" customHeight="1">
      <c r="K222" s="47"/>
      <c r="L222" s="47"/>
      <c r="M222" s="47"/>
      <c r="N222" s="47"/>
      <c r="O222" s="47"/>
      <c r="P222" s="47"/>
      <c r="Q222" s="47"/>
      <c r="R222" s="47"/>
      <c r="S222" s="47"/>
      <c r="T222" s="47"/>
      <c r="U222" s="47"/>
      <c r="V222" s="47"/>
      <c r="W222" s="47"/>
      <c r="X222" s="47"/>
      <c r="Y222" s="47"/>
      <c r="Z222" s="47"/>
      <c r="AA222" s="47"/>
      <c r="AB222" s="47"/>
      <c r="AC222" s="47"/>
      <c r="AD222" s="47"/>
      <c r="AE222" s="47"/>
    </row>
    <row r="223" spans="11:31" ht="15" customHeight="1">
      <c r="K223" s="47"/>
      <c r="L223" s="47"/>
      <c r="M223" s="47"/>
      <c r="N223" s="47"/>
      <c r="O223" s="47"/>
      <c r="P223" s="47"/>
      <c r="Q223" s="47"/>
      <c r="R223" s="47"/>
      <c r="S223" s="47"/>
      <c r="T223" s="47"/>
      <c r="U223" s="47"/>
      <c r="V223" s="47"/>
      <c r="W223" s="47"/>
      <c r="X223" s="47"/>
      <c r="Y223" s="47"/>
      <c r="Z223" s="47"/>
      <c r="AA223" s="47"/>
      <c r="AB223" s="47"/>
      <c r="AC223" s="47"/>
      <c r="AD223" s="47"/>
      <c r="AE223" s="47"/>
    </row>
    <row r="224" spans="11:31" ht="15" customHeight="1">
      <c r="K224" s="47"/>
      <c r="L224" s="47"/>
      <c r="M224" s="47"/>
      <c r="N224" s="47"/>
      <c r="O224" s="47"/>
      <c r="P224" s="47"/>
      <c r="Q224" s="47"/>
      <c r="R224" s="47"/>
      <c r="S224" s="47"/>
      <c r="T224" s="47"/>
      <c r="U224" s="47"/>
      <c r="V224" s="47"/>
      <c r="W224" s="47"/>
      <c r="X224" s="47"/>
      <c r="Y224" s="47"/>
      <c r="Z224" s="47"/>
      <c r="AA224" s="47"/>
      <c r="AB224" s="47"/>
      <c r="AC224" s="47"/>
      <c r="AD224" s="47"/>
      <c r="AE224" s="47"/>
    </row>
    <row r="225" spans="11:31" ht="15" customHeight="1">
      <c r="K225" s="47"/>
      <c r="L225" s="47"/>
      <c r="M225" s="47"/>
      <c r="N225" s="47"/>
      <c r="O225" s="47"/>
      <c r="P225" s="47"/>
      <c r="Q225" s="47"/>
      <c r="R225" s="47"/>
      <c r="S225" s="47"/>
      <c r="T225" s="47"/>
      <c r="U225" s="47"/>
      <c r="V225" s="47"/>
      <c r="W225" s="47"/>
      <c r="X225" s="47"/>
      <c r="Y225" s="47"/>
      <c r="Z225" s="47"/>
      <c r="AA225" s="47"/>
      <c r="AB225" s="47"/>
      <c r="AC225" s="47"/>
      <c r="AD225" s="47"/>
      <c r="AE225" s="47"/>
    </row>
    <row r="226" spans="11:31" ht="15" customHeight="1">
      <c r="K226" s="47"/>
      <c r="L226" s="47"/>
      <c r="M226" s="47"/>
      <c r="N226" s="47"/>
      <c r="O226" s="47"/>
      <c r="P226" s="47"/>
      <c r="Q226" s="47"/>
      <c r="R226" s="47"/>
      <c r="S226" s="47"/>
      <c r="T226" s="47"/>
      <c r="U226" s="47"/>
      <c r="V226" s="47"/>
      <c r="W226" s="47"/>
      <c r="X226" s="47"/>
      <c r="Y226" s="47"/>
      <c r="Z226" s="47"/>
      <c r="AA226" s="47"/>
      <c r="AB226" s="47"/>
      <c r="AC226" s="47"/>
      <c r="AD226" s="47"/>
      <c r="AE226" s="47"/>
    </row>
    <row r="227" spans="11:31" ht="15" customHeight="1">
      <c r="K227" s="47"/>
      <c r="L227" s="47"/>
      <c r="M227" s="47"/>
      <c r="N227" s="47"/>
      <c r="O227" s="47"/>
      <c r="P227" s="47"/>
      <c r="Q227" s="47"/>
      <c r="R227" s="47"/>
      <c r="S227" s="47"/>
      <c r="T227" s="47"/>
      <c r="U227" s="47"/>
      <c r="V227" s="47"/>
      <c r="W227" s="47"/>
      <c r="X227" s="47"/>
      <c r="Y227" s="47"/>
      <c r="Z227" s="47"/>
      <c r="AA227" s="47"/>
      <c r="AB227" s="47"/>
      <c r="AC227" s="47"/>
      <c r="AD227" s="47"/>
      <c r="AE227" s="47"/>
    </row>
    <row r="228" spans="11:31" ht="15" customHeight="1">
      <c r="K228" s="47"/>
      <c r="L228" s="47"/>
      <c r="M228" s="47"/>
      <c r="N228" s="47"/>
      <c r="O228" s="47"/>
      <c r="P228" s="47"/>
      <c r="Q228" s="47"/>
      <c r="R228" s="47"/>
      <c r="S228" s="47"/>
      <c r="T228" s="47"/>
      <c r="U228" s="47"/>
      <c r="V228" s="47"/>
      <c r="W228" s="47"/>
      <c r="X228" s="47"/>
      <c r="Y228" s="47"/>
      <c r="Z228" s="47"/>
      <c r="AA228" s="47"/>
      <c r="AB228" s="47"/>
      <c r="AC228" s="47"/>
      <c r="AD228" s="47"/>
      <c r="AE228" s="47"/>
    </row>
    <row r="229" spans="11:31" ht="15" customHeight="1">
      <c r="K229" s="47"/>
      <c r="L229" s="47"/>
      <c r="M229" s="47"/>
      <c r="N229" s="47"/>
      <c r="O229" s="47"/>
      <c r="P229" s="47"/>
      <c r="Q229" s="47"/>
      <c r="R229" s="47"/>
      <c r="S229" s="47"/>
      <c r="T229" s="47"/>
      <c r="U229" s="47"/>
      <c r="V229" s="47"/>
      <c r="W229" s="47"/>
      <c r="X229" s="47"/>
      <c r="Y229" s="47"/>
      <c r="Z229" s="47"/>
      <c r="AA229" s="47"/>
      <c r="AB229" s="47"/>
      <c r="AC229" s="47"/>
      <c r="AD229" s="47"/>
      <c r="AE229" s="47"/>
    </row>
    <row r="230" spans="11:31" ht="15" customHeight="1">
      <c r="K230" s="47"/>
      <c r="L230" s="47"/>
      <c r="M230" s="47"/>
      <c r="N230" s="47"/>
      <c r="O230" s="47"/>
      <c r="P230" s="47"/>
      <c r="Q230" s="47"/>
      <c r="R230" s="47"/>
      <c r="S230" s="47"/>
      <c r="T230" s="47"/>
      <c r="U230" s="47"/>
      <c r="V230" s="47"/>
      <c r="W230" s="47"/>
      <c r="X230" s="47"/>
      <c r="Y230" s="47"/>
      <c r="Z230" s="47"/>
      <c r="AA230" s="47"/>
      <c r="AB230" s="47"/>
      <c r="AC230" s="47"/>
      <c r="AD230" s="47"/>
      <c r="AE230" s="47"/>
    </row>
    <row r="231" spans="11:31" ht="15" customHeight="1">
      <c r="K231" s="47"/>
      <c r="L231" s="47"/>
      <c r="M231" s="47"/>
      <c r="N231" s="47"/>
      <c r="O231" s="47"/>
      <c r="P231" s="47"/>
      <c r="Q231" s="47"/>
      <c r="R231" s="47"/>
      <c r="S231" s="47"/>
      <c r="T231" s="47"/>
      <c r="U231" s="47"/>
      <c r="V231" s="47"/>
      <c r="W231" s="47"/>
      <c r="X231" s="47"/>
      <c r="Y231" s="47"/>
      <c r="Z231" s="47"/>
      <c r="AA231" s="47"/>
      <c r="AB231" s="47"/>
      <c r="AC231" s="47"/>
      <c r="AD231" s="47"/>
      <c r="AE231" s="47"/>
    </row>
    <row r="232" spans="11:31" ht="15" customHeight="1">
      <c r="K232" s="47"/>
      <c r="L232" s="47"/>
      <c r="M232" s="47"/>
      <c r="N232" s="47"/>
      <c r="O232" s="47"/>
      <c r="P232" s="47"/>
      <c r="Q232" s="47"/>
      <c r="R232" s="47"/>
      <c r="S232" s="47"/>
      <c r="T232" s="47"/>
      <c r="U232" s="47"/>
      <c r="V232" s="47"/>
      <c r="W232" s="47"/>
      <c r="X232" s="47"/>
      <c r="Y232" s="47"/>
      <c r="Z232" s="47"/>
      <c r="AA232" s="47"/>
      <c r="AB232" s="47"/>
      <c r="AC232" s="47"/>
      <c r="AD232" s="47"/>
      <c r="AE232" s="47"/>
    </row>
    <row r="233" spans="11:31" ht="15" customHeight="1">
      <c r="K233" s="47"/>
      <c r="L233" s="47"/>
      <c r="M233" s="47"/>
      <c r="N233" s="47"/>
      <c r="O233" s="47"/>
      <c r="P233" s="47"/>
      <c r="Q233" s="47"/>
      <c r="R233" s="47"/>
      <c r="S233" s="47"/>
      <c r="T233" s="47"/>
      <c r="U233" s="47"/>
      <c r="V233" s="47"/>
      <c r="W233" s="47"/>
      <c r="X233" s="47"/>
      <c r="Y233" s="47"/>
      <c r="Z233" s="47"/>
      <c r="AA233" s="47"/>
      <c r="AB233" s="47"/>
      <c r="AC233" s="47"/>
      <c r="AD233" s="47"/>
      <c r="AE233" s="47"/>
    </row>
    <row r="234" spans="11:31" ht="15" customHeight="1">
      <c r="K234" s="47"/>
      <c r="L234" s="47"/>
      <c r="M234" s="47"/>
      <c r="N234" s="47"/>
      <c r="O234" s="47"/>
      <c r="P234" s="47"/>
      <c r="Q234" s="47"/>
      <c r="R234" s="47"/>
      <c r="S234" s="47"/>
      <c r="T234" s="47"/>
      <c r="U234" s="47"/>
      <c r="V234" s="47"/>
      <c r="W234" s="47"/>
      <c r="X234" s="47"/>
      <c r="Y234" s="47"/>
      <c r="Z234" s="47"/>
      <c r="AA234" s="47"/>
      <c r="AB234" s="47"/>
      <c r="AC234" s="47"/>
      <c r="AD234" s="47"/>
      <c r="AE234" s="47"/>
    </row>
    <row r="235" spans="11:31" ht="15" customHeight="1">
      <c r="K235" s="47"/>
      <c r="L235" s="47"/>
      <c r="M235" s="47"/>
      <c r="N235" s="47"/>
      <c r="O235" s="47"/>
      <c r="P235" s="47"/>
      <c r="Q235" s="47"/>
      <c r="R235" s="47"/>
      <c r="S235" s="47"/>
      <c r="T235" s="47"/>
      <c r="U235" s="47"/>
      <c r="V235" s="47"/>
      <c r="W235" s="47"/>
      <c r="X235" s="47"/>
      <c r="Y235" s="47"/>
      <c r="Z235" s="47"/>
      <c r="AA235" s="47"/>
      <c r="AB235" s="47"/>
      <c r="AC235" s="47"/>
      <c r="AD235" s="47"/>
      <c r="AE235" s="47"/>
    </row>
    <row r="236" spans="11:31" ht="15" customHeight="1">
      <c r="K236" s="47"/>
      <c r="L236" s="47"/>
      <c r="M236" s="47"/>
      <c r="N236" s="47"/>
      <c r="O236" s="47"/>
      <c r="P236" s="47"/>
      <c r="Q236" s="47"/>
      <c r="R236" s="47"/>
      <c r="S236" s="47"/>
      <c r="T236" s="47"/>
      <c r="U236" s="47"/>
      <c r="V236" s="47"/>
      <c r="W236" s="47"/>
      <c r="X236" s="47"/>
      <c r="Y236" s="47"/>
      <c r="Z236" s="47"/>
      <c r="AA236" s="47"/>
      <c r="AB236" s="47"/>
      <c r="AC236" s="47"/>
      <c r="AD236" s="47"/>
      <c r="AE236" s="47"/>
    </row>
    <row r="237" spans="11:31" ht="15" customHeight="1">
      <c r="K237" s="47"/>
      <c r="L237" s="47"/>
      <c r="M237" s="47"/>
      <c r="N237" s="47"/>
      <c r="O237" s="47"/>
      <c r="P237" s="47"/>
      <c r="Q237" s="47"/>
      <c r="R237" s="47"/>
      <c r="S237" s="47"/>
      <c r="T237" s="47"/>
      <c r="U237" s="47"/>
      <c r="V237" s="47"/>
      <c r="W237" s="47"/>
      <c r="X237" s="47"/>
      <c r="Y237" s="47"/>
      <c r="Z237" s="47"/>
      <c r="AA237" s="47"/>
      <c r="AB237" s="47"/>
      <c r="AC237" s="47"/>
      <c r="AD237" s="47"/>
      <c r="AE237" s="47"/>
    </row>
    <row r="238" spans="11:31" ht="15" customHeight="1">
      <c r="K238" s="47"/>
      <c r="L238" s="47"/>
      <c r="M238" s="47"/>
      <c r="N238" s="47"/>
      <c r="O238" s="47"/>
      <c r="P238" s="47"/>
      <c r="Q238" s="47"/>
      <c r="R238" s="47"/>
      <c r="S238" s="47"/>
      <c r="T238" s="47"/>
      <c r="U238" s="47"/>
      <c r="V238" s="47"/>
      <c r="W238" s="47"/>
      <c r="X238" s="47"/>
      <c r="Y238" s="47"/>
      <c r="Z238" s="47"/>
      <c r="AA238" s="47"/>
      <c r="AB238" s="47"/>
      <c r="AC238" s="47"/>
      <c r="AD238" s="47"/>
      <c r="AE238" s="47"/>
    </row>
    <row r="239" spans="11:31" ht="15" customHeight="1">
      <c r="K239" s="47"/>
      <c r="L239" s="47"/>
      <c r="M239" s="47"/>
      <c r="N239" s="47"/>
      <c r="O239" s="47"/>
      <c r="P239" s="47"/>
      <c r="Q239" s="47"/>
      <c r="R239" s="47"/>
      <c r="S239" s="47"/>
      <c r="T239" s="47"/>
      <c r="U239" s="47"/>
      <c r="V239" s="47"/>
      <c r="W239" s="47"/>
      <c r="X239" s="47"/>
      <c r="Y239" s="47"/>
      <c r="Z239" s="47"/>
      <c r="AA239" s="47"/>
      <c r="AB239" s="47"/>
      <c r="AC239" s="47"/>
      <c r="AD239" s="47"/>
      <c r="AE239" s="47"/>
    </row>
    <row r="240" spans="11:31" ht="15" customHeight="1">
      <c r="K240" s="47"/>
      <c r="L240" s="47"/>
      <c r="M240" s="47"/>
      <c r="N240" s="47"/>
      <c r="O240" s="47"/>
      <c r="P240" s="47"/>
      <c r="Q240" s="47"/>
      <c r="R240" s="47"/>
      <c r="S240" s="47"/>
      <c r="T240" s="47"/>
      <c r="U240" s="47"/>
      <c r="V240" s="47"/>
      <c r="W240" s="47"/>
      <c r="X240" s="47"/>
      <c r="Y240" s="47"/>
      <c r="Z240" s="47"/>
      <c r="AA240" s="47"/>
      <c r="AB240" s="47"/>
      <c r="AC240" s="47"/>
      <c r="AD240" s="47"/>
      <c r="AE240" s="47"/>
    </row>
    <row r="241" spans="11:31" ht="15" customHeight="1">
      <c r="K241" s="47"/>
      <c r="L241" s="47"/>
      <c r="M241" s="47"/>
      <c r="N241" s="47"/>
      <c r="O241" s="47"/>
      <c r="P241" s="47"/>
      <c r="Q241" s="47"/>
      <c r="R241" s="47"/>
      <c r="S241" s="47"/>
      <c r="T241" s="47"/>
      <c r="U241" s="47"/>
      <c r="V241" s="47"/>
      <c r="W241" s="47"/>
      <c r="X241" s="47"/>
      <c r="Y241" s="47"/>
      <c r="Z241" s="47"/>
      <c r="AA241" s="47"/>
      <c r="AB241" s="47"/>
      <c r="AC241" s="47"/>
      <c r="AD241" s="47"/>
      <c r="AE241" s="47"/>
    </row>
    <row r="242" spans="11:31" ht="15" customHeight="1">
      <c r="K242" s="47"/>
      <c r="L242" s="47"/>
      <c r="M242" s="47"/>
      <c r="N242" s="47"/>
      <c r="O242" s="47"/>
      <c r="P242" s="47"/>
      <c r="Q242" s="47"/>
      <c r="R242" s="47"/>
      <c r="S242" s="47"/>
      <c r="T242" s="47"/>
      <c r="U242" s="47"/>
      <c r="V242" s="47"/>
      <c r="W242" s="47"/>
      <c r="X242" s="47"/>
      <c r="Y242" s="47"/>
      <c r="Z242" s="47"/>
      <c r="AA242" s="47"/>
      <c r="AB242" s="47"/>
      <c r="AC242" s="47"/>
      <c r="AD242" s="47"/>
      <c r="AE242" s="47"/>
    </row>
    <row r="243" spans="11:31" ht="15" customHeight="1">
      <c r="K243" s="47"/>
      <c r="L243" s="47"/>
      <c r="M243" s="47"/>
      <c r="N243" s="47"/>
      <c r="O243" s="47"/>
      <c r="P243" s="47"/>
      <c r="Q243" s="47"/>
      <c r="R243" s="47"/>
      <c r="S243" s="47"/>
      <c r="T243" s="47"/>
      <c r="U243" s="47"/>
      <c r="V243" s="47"/>
      <c r="W243" s="47"/>
      <c r="X243" s="47"/>
      <c r="Y243" s="47"/>
      <c r="Z243" s="47"/>
      <c r="AA243" s="47"/>
      <c r="AB243" s="47"/>
      <c r="AC243" s="47"/>
      <c r="AD243" s="47"/>
      <c r="AE243" s="47"/>
    </row>
    <row r="244" spans="11:31" ht="15" customHeight="1">
      <c r="K244" s="47"/>
      <c r="L244" s="47"/>
      <c r="M244" s="47"/>
      <c r="N244" s="47"/>
      <c r="O244" s="47"/>
      <c r="P244" s="47"/>
      <c r="Q244" s="47"/>
      <c r="R244" s="47"/>
      <c r="S244" s="47"/>
      <c r="T244" s="47"/>
      <c r="U244" s="47"/>
      <c r="V244" s="47"/>
      <c r="W244" s="47"/>
      <c r="X244" s="47"/>
      <c r="Y244" s="47"/>
      <c r="Z244" s="47"/>
      <c r="AA244" s="47"/>
      <c r="AB244" s="47"/>
      <c r="AC244" s="47"/>
      <c r="AD244" s="47"/>
      <c r="AE244" s="47"/>
    </row>
    <row r="245" spans="11:31" ht="15" customHeight="1">
      <c r="K245" s="47"/>
      <c r="L245" s="47"/>
      <c r="M245" s="47"/>
      <c r="N245" s="47"/>
      <c r="O245" s="47"/>
      <c r="P245" s="47"/>
      <c r="Q245" s="47"/>
      <c r="R245" s="47"/>
      <c r="S245" s="47"/>
      <c r="T245" s="47"/>
      <c r="U245" s="47"/>
      <c r="V245" s="47"/>
      <c r="W245" s="47"/>
      <c r="X245" s="47"/>
      <c r="Y245" s="47"/>
      <c r="Z245" s="47"/>
      <c r="AA245" s="47"/>
      <c r="AB245" s="47"/>
      <c r="AC245" s="47"/>
      <c r="AD245" s="47"/>
      <c r="AE245" s="47"/>
    </row>
    <row r="246" spans="11:31" ht="15" customHeight="1">
      <c r="K246" s="47"/>
      <c r="L246" s="47"/>
      <c r="M246" s="47"/>
      <c r="N246" s="47"/>
      <c r="O246" s="47"/>
      <c r="P246" s="47"/>
      <c r="Q246" s="47"/>
      <c r="R246" s="47"/>
      <c r="S246" s="47"/>
      <c r="T246" s="47"/>
      <c r="U246" s="47"/>
      <c r="V246" s="47"/>
      <c r="W246" s="47"/>
      <c r="X246" s="47"/>
      <c r="Y246" s="47"/>
      <c r="Z246" s="47"/>
      <c r="AA246" s="47"/>
      <c r="AB246" s="47"/>
      <c r="AC246" s="47"/>
      <c r="AD246" s="47"/>
      <c r="AE246" s="47"/>
    </row>
    <row r="247" spans="11:31" ht="15" customHeight="1">
      <c r="K247" s="47"/>
      <c r="L247" s="47"/>
      <c r="M247" s="47"/>
      <c r="N247" s="47"/>
      <c r="O247" s="47"/>
      <c r="P247" s="47"/>
      <c r="Q247" s="47"/>
      <c r="R247" s="47"/>
      <c r="S247" s="47"/>
      <c r="T247" s="47"/>
      <c r="U247" s="47"/>
      <c r="V247" s="47"/>
      <c r="W247" s="47"/>
      <c r="X247" s="47"/>
      <c r="Y247" s="47"/>
      <c r="Z247" s="47"/>
      <c r="AA247" s="47"/>
      <c r="AB247" s="47"/>
      <c r="AC247" s="47"/>
      <c r="AD247" s="47"/>
      <c r="AE247" s="47"/>
    </row>
    <row r="248" spans="11:31" ht="15" customHeight="1">
      <c r="K248" s="47"/>
      <c r="L248" s="47"/>
      <c r="M248" s="47"/>
      <c r="N248" s="47"/>
      <c r="O248" s="47"/>
      <c r="P248" s="47"/>
      <c r="Q248" s="47"/>
      <c r="R248" s="47"/>
      <c r="S248" s="47"/>
      <c r="T248" s="47"/>
      <c r="U248" s="47"/>
      <c r="V248" s="47"/>
      <c r="W248" s="47"/>
      <c r="X248" s="47"/>
      <c r="Y248" s="47"/>
      <c r="Z248" s="47"/>
      <c r="AA248" s="47"/>
      <c r="AB248" s="47"/>
      <c r="AC248" s="47"/>
      <c r="AD248" s="47"/>
      <c r="AE248" s="47"/>
    </row>
    <row r="249" spans="11:31" ht="15" customHeight="1">
      <c r="K249" s="47"/>
      <c r="L249" s="47"/>
      <c r="M249" s="47"/>
      <c r="N249" s="47"/>
      <c r="O249" s="47"/>
      <c r="P249" s="47"/>
      <c r="Q249" s="47"/>
      <c r="R249" s="47"/>
      <c r="S249" s="47"/>
      <c r="T249" s="47"/>
      <c r="U249" s="47"/>
      <c r="V249" s="47"/>
      <c r="W249" s="47"/>
      <c r="X249" s="47"/>
      <c r="Y249" s="47"/>
      <c r="Z249" s="47"/>
      <c r="AA249" s="47"/>
      <c r="AB249" s="47"/>
      <c r="AC249" s="47"/>
      <c r="AD249" s="47"/>
      <c r="AE249" s="47"/>
    </row>
    <row r="250" spans="11:31" ht="15" customHeight="1">
      <c r="K250" s="47"/>
      <c r="L250" s="47"/>
      <c r="M250" s="47"/>
      <c r="N250" s="47"/>
      <c r="O250" s="47"/>
      <c r="P250" s="47"/>
      <c r="Q250" s="47"/>
      <c r="R250" s="47"/>
      <c r="S250" s="47"/>
      <c r="T250" s="47"/>
      <c r="U250" s="47"/>
      <c r="V250" s="47"/>
      <c r="W250" s="47"/>
      <c r="X250" s="47"/>
      <c r="Y250" s="47"/>
      <c r="Z250" s="47"/>
      <c r="AA250" s="47"/>
      <c r="AB250" s="47"/>
      <c r="AC250" s="47"/>
      <c r="AD250" s="47"/>
      <c r="AE250" s="47"/>
    </row>
    <row r="251" spans="11:31" ht="15" customHeight="1">
      <c r="K251" s="47"/>
      <c r="L251" s="47"/>
      <c r="M251" s="47"/>
      <c r="N251" s="47"/>
      <c r="O251" s="47"/>
      <c r="P251" s="47"/>
      <c r="Q251" s="47"/>
      <c r="R251" s="47"/>
      <c r="S251" s="47"/>
      <c r="T251" s="47"/>
      <c r="U251" s="47"/>
      <c r="V251" s="47"/>
      <c r="W251" s="47"/>
      <c r="X251" s="47"/>
      <c r="Y251" s="47"/>
      <c r="Z251" s="47"/>
      <c r="AA251" s="47"/>
      <c r="AB251" s="47"/>
      <c r="AC251" s="47"/>
      <c r="AD251" s="47"/>
      <c r="AE251" s="47"/>
    </row>
    <row r="252" spans="11:31" ht="15" customHeight="1">
      <c r="K252" s="47"/>
      <c r="L252" s="47"/>
      <c r="M252" s="47"/>
      <c r="N252" s="47"/>
      <c r="O252" s="47"/>
      <c r="P252" s="47"/>
      <c r="Q252" s="47"/>
      <c r="R252" s="47"/>
      <c r="S252" s="47"/>
      <c r="T252" s="47"/>
      <c r="U252" s="47"/>
      <c r="V252" s="47"/>
      <c r="W252" s="47"/>
      <c r="X252" s="47"/>
      <c r="Y252" s="47"/>
      <c r="Z252" s="47"/>
      <c r="AA252" s="47"/>
      <c r="AB252" s="47"/>
      <c r="AC252" s="47"/>
      <c r="AD252" s="47"/>
      <c r="AE252" s="47"/>
    </row>
    <row r="253" spans="11:31" ht="15" customHeight="1">
      <c r="K253" s="47"/>
      <c r="L253" s="47"/>
      <c r="M253" s="47"/>
      <c r="N253" s="47"/>
      <c r="O253" s="47"/>
      <c r="P253" s="47"/>
      <c r="Q253" s="47"/>
      <c r="R253" s="47"/>
      <c r="S253" s="47"/>
      <c r="T253" s="47"/>
      <c r="U253" s="47"/>
      <c r="V253" s="47"/>
      <c r="W253" s="47"/>
      <c r="X253" s="47"/>
      <c r="Y253" s="47"/>
      <c r="Z253" s="47"/>
      <c r="AA253" s="47"/>
      <c r="AB253" s="47"/>
      <c r="AC253" s="47"/>
      <c r="AD253" s="47"/>
      <c r="AE253" s="47"/>
    </row>
    <row r="254" spans="11:31" ht="15" customHeight="1">
      <c r="K254" s="47"/>
      <c r="L254" s="47"/>
      <c r="M254" s="47"/>
      <c r="N254" s="47"/>
      <c r="O254" s="47"/>
      <c r="P254" s="47"/>
      <c r="Q254" s="47"/>
      <c r="R254" s="47"/>
      <c r="S254" s="47"/>
      <c r="T254" s="47"/>
      <c r="U254" s="47"/>
      <c r="V254" s="47"/>
      <c r="W254" s="47"/>
      <c r="X254" s="47"/>
      <c r="Y254" s="47"/>
      <c r="Z254" s="47"/>
      <c r="AA254" s="47"/>
      <c r="AB254" s="47"/>
      <c r="AC254" s="47"/>
      <c r="AD254" s="47"/>
      <c r="AE254" s="47"/>
    </row>
    <row r="255" spans="11:31" ht="15" customHeight="1">
      <c r="K255" s="47"/>
      <c r="L255" s="47"/>
      <c r="M255" s="47"/>
      <c r="N255" s="47"/>
      <c r="O255" s="47"/>
      <c r="P255" s="47"/>
      <c r="Q255" s="47"/>
      <c r="R255" s="47"/>
      <c r="S255" s="47"/>
      <c r="T255" s="47"/>
      <c r="U255" s="47"/>
      <c r="V255" s="47"/>
      <c r="W255" s="47"/>
      <c r="X255" s="47"/>
      <c r="Y255" s="47"/>
      <c r="Z255" s="47"/>
      <c r="AA255" s="47"/>
      <c r="AB255" s="47"/>
      <c r="AC255" s="47"/>
      <c r="AD255" s="47"/>
      <c r="AE255" s="47"/>
    </row>
    <row r="256" spans="11:31" ht="15" customHeight="1">
      <c r="K256" s="47"/>
      <c r="L256" s="47"/>
      <c r="M256" s="47"/>
      <c r="N256" s="47"/>
      <c r="O256" s="47"/>
      <c r="P256" s="47"/>
      <c r="Q256" s="47"/>
      <c r="R256" s="47"/>
      <c r="S256" s="47"/>
      <c r="T256" s="47"/>
      <c r="U256" s="47"/>
      <c r="V256" s="47"/>
      <c r="W256" s="47"/>
      <c r="X256" s="47"/>
      <c r="Y256" s="47"/>
      <c r="Z256" s="47"/>
      <c r="AA256" s="47"/>
      <c r="AB256" s="47"/>
      <c r="AC256" s="47"/>
      <c r="AD256" s="47"/>
      <c r="AE256" s="47"/>
    </row>
    <row r="257" spans="11:31" ht="15" customHeight="1">
      <c r="K257" s="47"/>
      <c r="L257" s="47"/>
      <c r="M257" s="47"/>
      <c r="N257" s="47"/>
      <c r="O257" s="47"/>
      <c r="P257" s="47"/>
      <c r="Q257" s="47"/>
      <c r="R257" s="47"/>
      <c r="S257" s="47"/>
      <c r="T257" s="47"/>
      <c r="U257" s="47"/>
      <c r="V257" s="47"/>
      <c r="W257" s="47"/>
      <c r="X257" s="47"/>
      <c r="Y257" s="47"/>
      <c r="Z257" s="47"/>
      <c r="AA257" s="47"/>
      <c r="AB257" s="47"/>
      <c r="AC257" s="47"/>
      <c r="AD257" s="47"/>
      <c r="AE257" s="47"/>
    </row>
    <row r="258" spans="11:31" ht="15" customHeight="1">
      <c r="K258" s="47"/>
      <c r="L258" s="47"/>
      <c r="M258" s="47"/>
      <c r="N258" s="47"/>
      <c r="O258" s="47"/>
      <c r="P258" s="47"/>
      <c r="Q258" s="47"/>
      <c r="R258" s="47"/>
      <c r="S258" s="47"/>
      <c r="T258" s="47"/>
      <c r="U258" s="47"/>
      <c r="V258" s="47"/>
      <c r="W258" s="47"/>
      <c r="X258" s="47"/>
      <c r="Y258" s="47"/>
      <c r="Z258" s="47"/>
      <c r="AA258" s="47"/>
      <c r="AB258" s="47"/>
      <c r="AC258" s="47"/>
      <c r="AD258" s="47"/>
      <c r="AE258" s="47"/>
    </row>
    <row r="259" spans="11:31" ht="15" customHeight="1">
      <c r="K259" s="47"/>
      <c r="L259" s="47"/>
      <c r="M259" s="47"/>
      <c r="N259" s="47"/>
      <c r="O259" s="47"/>
      <c r="P259" s="47"/>
      <c r="Q259" s="47"/>
      <c r="R259" s="47"/>
      <c r="S259" s="47"/>
      <c r="T259" s="47"/>
      <c r="U259" s="47"/>
      <c r="V259" s="47"/>
      <c r="W259" s="47"/>
      <c r="X259" s="47"/>
      <c r="Y259" s="47"/>
      <c r="Z259" s="47"/>
      <c r="AA259" s="47"/>
      <c r="AB259" s="47"/>
      <c r="AC259" s="47"/>
      <c r="AD259" s="47"/>
      <c r="AE259" s="47"/>
    </row>
    <row r="260" spans="11:31" ht="15" customHeight="1">
      <c r="K260" s="47"/>
      <c r="L260" s="47"/>
      <c r="M260" s="47"/>
      <c r="N260" s="47"/>
      <c r="O260" s="47"/>
      <c r="P260" s="47"/>
      <c r="Q260" s="47"/>
      <c r="R260" s="47"/>
      <c r="S260" s="47"/>
      <c r="T260" s="47"/>
      <c r="U260" s="47"/>
      <c r="V260" s="47"/>
      <c r="W260" s="47"/>
      <c r="X260" s="47"/>
      <c r="Y260" s="47"/>
      <c r="Z260" s="47"/>
      <c r="AA260" s="47"/>
      <c r="AB260" s="47"/>
      <c r="AC260" s="47"/>
      <c r="AD260" s="47"/>
      <c r="AE260" s="47"/>
    </row>
    <row r="261" spans="11:31" ht="15" customHeight="1">
      <c r="K261" s="47"/>
      <c r="L261" s="47"/>
      <c r="M261" s="47"/>
      <c r="N261" s="47"/>
      <c r="O261" s="47"/>
      <c r="P261" s="47"/>
      <c r="Q261" s="47"/>
      <c r="R261" s="47"/>
      <c r="S261" s="47"/>
      <c r="T261" s="47"/>
      <c r="U261" s="47"/>
      <c r="V261" s="47"/>
      <c r="W261" s="47"/>
      <c r="X261" s="47"/>
      <c r="Y261" s="47"/>
      <c r="Z261" s="47"/>
      <c r="AA261" s="47"/>
      <c r="AB261" s="47"/>
      <c r="AC261" s="47"/>
      <c r="AD261" s="47"/>
      <c r="AE261" s="47"/>
    </row>
    <row r="262" spans="11:31" ht="15" customHeight="1">
      <c r="K262" s="47"/>
      <c r="L262" s="47"/>
      <c r="M262" s="47"/>
      <c r="N262" s="47"/>
      <c r="O262" s="47"/>
      <c r="P262" s="47"/>
      <c r="Q262" s="47"/>
      <c r="R262" s="47"/>
      <c r="S262" s="47"/>
      <c r="T262" s="47"/>
      <c r="U262" s="47"/>
      <c r="V262" s="47"/>
      <c r="W262" s="47"/>
      <c r="X262" s="47"/>
      <c r="Y262" s="47"/>
      <c r="Z262" s="47"/>
      <c r="AA262" s="47"/>
      <c r="AB262" s="47"/>
      <c r="AC262" s="47"/>
      <c r="AD262" s="47"/>
      <c r="AE262" s="47"/>
    </row>
    <row r="263" spans="11:31" ht="15" customHeight="1">
      <c r="K263" s="47"/>
      <c r="L263" s="47"/>
      <c r="M263" s="47"/>
      <c r="N263" s="47"/>
      <c r="O263" s="47"/>
      <c r="P263" s="47"/>
      <c r="Q263" s="47"/>
      <c r="R263" s="47"/>
      <c r="S263" s="47"/>
      <c r="T263" s="47"/>
      <c r="U263" s="47"/>
      <c r="V263" s="47"/>
      <c r="W263" s="47"/>
      <c r="X263" s="47"/>
      <c r="Y263" s="47"/>
      <c r="Z263" s="47"/>
      <c r="AA263" s="47"/>
      <c r="AB263" s="47"/>
      <c r="AC263" s="47"/>
      <c r="AD263" s="47"/>
      <c r="AE263" s="47"/>
    </row>
    <row r="264" spans="11:31" ht="15" customHeight="1">
      <c r="K264" s="47"/>
      <c r="L264" s="47"/>
      <c r="M264" s="47"/>
      <c r="N264" s="47"/>
      <c r="O264" s="47"/>
      <c r="P264" s="47"/>
      <c r="Q264" s="47"/>
      <c r="R264" s="47"/>
      <c r="S264" s="47"/>
      <c r="T264" s="47"/>
      <c r="U264" s="47"/>
      <c r="V264" s="47"/>
      <c r="W264" s="47"/>
      <c r="X264" s="47"/>
      <c r="Y264" s="47"/>
      <c r="Z264" s="47"/>
      <c r="AA264" s="47"/>
      <c r="AB264" s="47"/>
      <c r="AC264" s="47"/>
      <c r="AD264" s="47"/>
      <c r="AE264" s="47"/>
    </row>
    <row r="265" spans="11:31" ht="15" customHeight="1">
      <c r="K265" s="47"/>
      <c r="L265" s="47"/>
      <c r="M265" s="47"/>
      <c r="N265" s="47"/>
      <c r="O265" s="47"/>
      <c r="P265" s="47"/>
      <c r="Q265" s="47"/>
      <c r="R265" s="47"/>
      <c r="S265" s="47"/>
      <c r="T265" s="47"/>
      <c r="U265" s="47"/>
      <c r="V265" s="47"/>
      <c r="W265" s="47"/>
      <c r="X265" s="47"/>
      <c r="Y265" s="47"/>
      <c r="Z265" s="47"/>
      <c r="AA265" s="47"/>
      <c r="AB265" s="47"/>
      <c r="AC265" s="47"/>
      <c r="AD265" s="47"/>
      <c r="AE265" s="47"/>
    </row>
    <row r="266" spans="11:31" ht="15" customHeight="1">
      <c r="K266" s="47"/>
      <c r="L266" s="47"/>
      <c r="M266" s="47"/>
      <c r="N266" s="47"/>
      <c r="O266" s="47"/>
      <c r="P266" s="47"/>
      <c r="Q266" s="47"/>
      <c r="R266" s="47"/>
      <c r="S266" s="47"/>
      <c r="T266" s="47"/>
      <c r="U266" s="47"/>
      <c r="V266" s="47"/>
      <c r="W266" s="47"/>
      <c r="X266" s="47"/>
      <c r="Y266" s="47"/>
      <c r="Z266" s="47"/>
      <c r="AA266" s="47"/>
      <c r="AB266" s="47"/>
      <c r="AC266" s="47"/>
      <c r="AD266" s="47"/>
      <c r="AE266" s="47"/>
    </row>
    <row r="267" spans="11:31" ht="15" customHeight="1">
      <c r="K267" s="47"/>
      <c r="L267" s="47"/>
      <c r="M267" s="47"/>
      <c r="N267" s="47"/>
      <c r="O267" s="47"/>
      <c r="P267" s="47"/>
      <c r="Q267" s="47"/>
      <c r="R267" s="47"/>
      <c r="S267" s="47"/>
      <c r="T267" s="47"/>
      <c r="U267" s="47"/>
      <c r="V267" s="47"/>
      <c r="W267" s="47"/>
      <c r="X267" s="47"/>
      <c r="Y267" s="47"/>
      <c r="Z267" s="47"/>
      <c r="AA267" s="47"/>
      <c r="AB267" s="47"/>
      <c r="AC267" s="47"/>
      <c r="AD267" s="47"/>
      <c r="AE267" s="47"/>
    </row>
    <row r="268" spans="11:31" ht="15" customHeight="1">
      <c r="K268" s="47"/>
      <c r="L268" s="47"/>
      <c r="M268" s="47"/>
      <c r="N268" s="47"/>
      <c r="O268" s="47"/>
      <c r="P268" s="47"/>
      <c r="Q268" s="47"/>
      <c r="R268" s="47"/>
      <c r="S268" s="47"/>
      <c r="T268" s="47"/>
      <c r="U268" s="47"/>
      <c r="V268" s="47"/>
      <c r="W268" s="47"/>
      <c r="X268" s="47"/>
      <c r="Y268" s="47"/>
      <c r="Z268" s="47"/>
      <c r="AA268" s="47"/>
      <c r="AB268" s="47"/>
      <c r="AC268" s="47"/>
      <c r="AD268" s="47"/>
      <c r="AE268" s="47"/>
    </row>
    <row r="269" spans="11:31" ht="15" customHeight="1">
      <c r="K269" s="47"/>
      <c r="L269" s="47"/>
      <c r="M269" s="47"/>
      <c r="N269" s="47"/>
      <c r="O269" s="47"/>
      <c r="P269" s="47"/>
      <c r="Q269" s="47"/>
      <c r="R269" s="47"/>
      <c r="S269" s="47"/>
      <c r="T269" s="47"/>
      <c r="U269" s="47"/>
      <c r="V269" s="47"/>
      <c r="W269" s="47"/>
      <c r="X269" s="47"/>
      <c r="Y269" s="47"/>
      <c r="Z269" s="47"/>
      <c r="AA269" s="47"/>
      <c r="AB269" s="47"/>
      <c r="AC269" s="47"/>
      <c r="AD269" s="47"/>
      <c r="AE269" s="47"/>
    </row>
    <row r="270" spans="11:31" ht="15" customHeight="1">
      <c r="K270" s="47"/>
      <c r="L270" s="47"/>
      <c r="M270" s="47"/>
      <c r="N270" s="47"/>
      <c r="O270" s="47"/>
      <c r="P270" s="47"/>
      <c r="Q270" s="47"/>
      <c r="R270" s="47"/>
      <c r="S270" s="47"/>
      <c r="T270" s="47"/>
      <c r="U270" s="47"/>
      <c r="V270" s="47"/>
      <c r="W270" s="47"/>
      <c r="X270" s="47"/>
      <c r="Y270" s="47"/>
      <c r="Z270" s="47"/>
      <c r="AA270" s="47"/>
      <c r="AB270" s="47"/>
      <c r="AC270" s="47"/>
      <c r="AD270" s="47"/>
      <c r="AE270" s="47"/>
    </row>
    <row r="271" spans="11:31" ht="15" customHeight="1">
      <c r="K271" s="47"/>
      <c r="L271" s="47"/>
      <c r="M271" s="47"/>
      <c r="N271" s="47"/>
      <c r="O271" s="47"/>
      <c r="P271" s="47"/>
      <c r="Q271" s="47"/>
      <c r="R271" s="47"/>
      <c r="S271" s="47"/>
      <c r="T271" s="47"/>
      <c r="U271" s="47"/>
      <c r="V271" s="47"/>
      <c r="W271" s="47"/>
      <c r="X271" s="47"/>
      <c r="Y271" s="47"/>
      <c r="Z271" s="47"/>
      <c r="AA271" s="47"/>
      <c r="AB271" s="47"/>
      <c r="AC271" s="47"/>
      <c r="AD271" s="47"/>
      <c r="AE271" s="47"/>
    </row>
    <row r="272" spans="11:31" ht="15" customHeight="1">
      <c r="K272" s="47"/>
      <c r="L272" s="47"/>
      <c r="M272" s="47"/>
      <c r="N272" s="47"/>
      <c r="O272" s="47"/>
      <c r="P272" s="47"/>
      <c r="Q272" s="47"/>
      <c r="R272" s="47"/>
      <c r="S272" s="47"/>
      <c r="T272" s="47"/>
      <c r="U272" s="47"/>
      <c r="V272" s="47"/>
      <c r="W272" s="47"/>
      <c r="X272" s="47"/>
      <c r="Y272" s="47"/>
      <c r="Z272" s="47"/>
      <c r="AA272" s="47"/>
      <c r="AB272" s="47"/>
      <c r="AC272" s="47"/>
      <c r="AD272" s="47"/>
      <c r="AE272" s="47"/>
    </row>
    <row r="273" spans="11:31" ht="15" customHeight="1">
      <c r="K273" s="47"/>
      <c r="L273" s="47"/>
      <c r="M273" s="47"/>
      <c r="N273" s="47"/>
      <c r="O273" s="47"/>
      <c r="P273" s="47"/>
      <c r="Q273" s="47"/>
      <c r="R273" s="47"/>
      <c r="S273" s="47"/>
      <c r="T273" s="47"/>
      <c r="U273" s="47"/>
      <c r="V273" s="47"/>
      <c r="W273" s="47"/>
      <c r="X273" s="47"/>
      <c r="Y273" s="47"/>
      <c r="Z273" s="47"/>
      <c r="AA273" s="47"/>
      <c r="AB273" s="47"/>
      <c r="AC273" s="47"/>
      <c r="AD273" s="47"/>
      <c r="AE273" s="47"/>
    </row>
    <row r="274" spans="11:31" ht="15" customHeight="1">
      <c r="K274" s="47"/>
      <c r="L274" s="47"/>
      <c r="M274" s="47"/>
      <c r="N274" s="47"/>
      <c r="O274" s="47"/>
      <c r="P274" s="47"/>
      <c r="Q274" s="47"/>
      <c r="R274" s="47"/>
      <c r="S274" s="47"/>
      <c r="T274" s="47"/>
      <c r="U274" s="47"/>
      <c r="V274" s="47"/>
      <c r="W274" s="47"/>
      <c r="X274" s="47"/>
      <c r="Y274" s="47"/>
      <c r="Z274" s="47"/>
      <c r="AA274" s="47"/>
      <c r="AB274" s="47"/>
      <c r="AC274" s="47"/>
      <c r="AD274" s="47"/>
      <c r="AE274" s="47"/>
    </row>
    <row r="275" spans="11:31" ht="15" customHeight="1">
      <c r="K275" s="47"/>
      <c r="L275" s="47"/>
      <c r="M275" s="47"/>
      <c r="N275" s="47"/>
      <c r="O275" s="47"/>
      <c r="P275" s="47"/>
      <c r="Q275" s="47"/>
      <c r="R275" s="47"/>
      <c r="S275" s="47"/>
      <c r="T275" s="47"/>
      <c r="U275" s="47"/>
      <c r="V275" s="47"/>
      <c r="W275" s="47"/>
      <c r="X275" s="47"/>
      <c r="Y275" s="47"/>
      <c r="Z275" s="47"/>
      <c r="AA275" s="47"/>
      <c r="AB275" s="47"/>
      <c r="AC275" s="47"/>
      <c r="AD275" s="47"/>
      <c r="AE275" s="47"/>
    </row>
    <row r="276" spans="11:31" ht="15" customHeight="1">
      <c r="K276" s="47"/>
      <c r="L276" s="47"/>
      <c r="M276" s="47"/>
      <c r="N276" s="47"/>
      <c r="O276" s="47"/>
      <c r="P276" s="47"/>
      <c r="Q276" s="47"/>
      <c r="R276" s="47"/>
      <c r="S276" s="47"/>
      <c r="T276" s="47"/>
      <c r="U276" s="47"/>
      <c r="V276" s="47"/>
      <c r="W276" s="47"/>
      <c r="X276" s="47"/>
      <c r="Y276" s="47"/>
      <c r="Z276" s="47"/>
      <c r="AA276" s="47"/>
      <c r="AB276" s="47"/>
      <c r="AC276" s="47"/>
      <c r="AD276" s="47"/>
      <c r="AE276" s="47"/>
    </row>
    <row r="277" spans="11:31" ht="15" customHeight="1">
      <c r="K277" s="47"/>
      <c r="L277" s="47"/>
      <c r="M277" s="47"/>
      <c r="N277" s="47"/>
      <c r="O277" s="47"/>
      <c r="P277" s="47"/>
      <c r="Q277" s="47"/>
      <c r="R277" s="47"/>
      <c r="S277" s="47"/>
      <c r="T277" s="47"/>
      <c r="U277" s="47"/>
      <c r="V277" s="47"/>
      <c r="W277" s="47"/>
      <c r="X277" s="47"/>
      <c r="Y277" s="47"/>
      <c r="Z277" s="47"/>
      <c r="AA277" s="47"/>
      <c r="AB277" s="47"/>
      <c r="AC277" s="47"/>
      <c r="AD277" s="47"/>
      <c r="AE277" s="47"/>
    </row>
    <row r="278" spans="11:31" ht="15" customHeight="1">
      <c r="K278" s="47"/>
      <c r="L278" s="47"/>
      <c r="M278" s="47"/>
      <c r="N278" s="47"/>
      <c r="O278" s="47"/>
      <c r="P278" s="47"/>
      <c r="Q278" s="47"/>
      <c r="R278" s="47"/>
      <c r="S278" s="47"/>
      <c r="T278" s="47"/>
      <c r="U278" s="47"/>
      <c r="V278" s="47"/>
      <c r="W278" s="47"/>
      <c r="X278" s="47"/>
      <c r="Y278" s="47"/>
      <c r="Z278" s="47"/>
      <c r="AA278" s="47"/>
      <c r="AB278" s="47"/>
      <c r="AC278" s="47"/>
      <c r="AD278" s="47"/>
      <c r="AE278" s="47"/>
    </row>
    <row r="279" spans="11:31" ht="15" customHeight="1">
      <c r="K279" s="47"/>
      <c r="L279" s="47"/>
      <c r="M279" s="47"/>
      <c r="N279" s="47"/>
      <c r="O279" s="47"/>
      <c r="P279" s="47"/>
      <c r="Q279" s="47"/>
      <c r="R279" s="47"/>
      <c r="S279" s="47"/>
      <c r="T279" s="47"/>
      <c r="U279" s="47"/>
      <c r="V279" s="47"/>
      <c r="W279" s="47"/>
      <c r="X279" s="47"/>
      <c r="Y279" s="47"/>
      <c r="Z279" s="47"/>
      <c r="AA279" s="47"/>
      <c r="AB279" s="47"/>
      <c r="AC279" s="47"/>
      <c r="AD279" s="47"/>
      <c r="AE279" s="47"/>
    </row>
    <row r="280" spans="11:31" ht="15" customHeight="1">
      <c r="K280" s="47"/>
      <c r="L280" s="47"/>
      <c r="M280" s="47"/>
      <c r="N280" s="47"/>
      <c r="O280" s="47"/>
      <c r="P280" s="47"/>
      <c r="Q280" s="47"/>
      <c r="R280" s="47"/>
      <c r="S280" s="47"/>
      <c r="T280" s="47"/>
      <c r="U280" s="47"/>
      <c r="V280" s="47"/>
      <c r="W280" s="47"/>
      <c r="X280" s="47"/>
      <c r="Y280" s="47"/>
      <c r="Z280" s="47"/>
      <c r="AA280" s="47"/>
      <c r="AB280" s="47"/>
      <c r="AC280" s="47"/>
      <c r="AD280" s="47"/>
      <c r="AE280" s="47"/>
    </row>
    <row r="281" spans="11:31" ht="15" customHeight="1">
      <c r="K281" s="47"/>
      <c r="L281" s="47"/>
      <c r="M281" s="47"/>
      <c r="N281" s="47"/>
      <c r="O281" s="47"/>
      <c r="P281" s="47"/>
      <c r="Q281" s="47"/>
      <c r="R281" s="47"/>
      <c r="S281" s="47"/>
      <c r="T281" s="47"/>
      <c r="U281" s="47"/>
      <c r="V281" s="47"/>
      <c r="W281" s="47"/>
      <c r="X281" s="47"/>
      <c r="Y281" s="47"/>
      <c r="Z281" s="47"/>
      <c r="AA281" s="47"/>
      <c r="AB281" s="47"/>
      <c r="AC281" s="47"/>
      <c r="AD281" s="47"/>
      <c r="AE281" s="47"/>
    </row>
    <row r="282" spans="11:31" ht="15" customHeight="1">
      <c r="K282" s="47"/>
      <c r="L282" s="47"/>
      <c r="M282" s="47"/>
      <c r="N282" s="47"/>
      <c r="O282" s="47"/>
      <c r="P282" s="47"/>
      <c r="Q282" s="47"/>
      <c r="R282" s="47"/>
      <c r="S282" s="47"/>
      <c r="T282" s="47"/>
      <c r="U282" s="47"/>
      <c r="V282" s="47"/>
      <c r="W282" s="47"/>
      <c r="X282" s="47"/>
      <c r="Y282" s="47"/>
      <c r="Z282" s="47"/>
      <c r="AA282" s="47"/>
      <c r="AB282" s="47"/>
      <c r="AC282" s="47"/>
      <c r="AD282" s="47"/>
      <c r="AE282" s="47"/>
    </row>
    <row r="283" spans="11:31" ht="15" customHeight="1">
      <c r="K283" s="47"/>
      <c r="L283" s="47"/>
      <c r="M283" s="47"/>
      <c r="N283" s="47"/>
      <c r="O283" s="47"/>
      <c r="P283" s="47"/>
      <c r="Q283" s="47"/>
      <c r="R283" s="47"/>
      <c r="S283" s="47"/>
      <c r="T283" s="47"/>
      <c r="U283" s="47"/>
      <c r="V283" s="47"/>
      <c r="W283" s="47"/>
      <c r="X283" s="47"/>
      <c r="Y283" s="47"/>
      <c r="Z283" s="47"/>
      <c r="AA283" s="47"/>
      <c r="AB283" s="47"/>
      <c r="AC283" s="47"/>
      <c r="AD283" s="47"/>
      <c r="AE283" s="47"/>
    </row>
    <row r="284" spans="11:31" ht="15" customHeight="1">
      <c r="K284" s="47"/>
      <c r="L284" s="47"/>
      <c r="M284" s="47"/>
      <c r="N284" s="47"/>
      <c r="O284" s="47"/>
      <c r="P284" s="47"/>
      <c r="Q284" s="47"/>
      <c r="R284" s="47"/>
      <c r="S284" s="47"/>
      <c r="T284" s="47"/>
      <c r="U284" s="47"/>
      <c r="V284" s="47"/>
      <c r="W284" s="47"/>
      <c r="X284" s="47"/>
      <c r="Y284" s="47"/>
      <c r="Z284" s="47"/>
      <c r="AA284" s="47"/>
      <c r="AB284" s="47"/>
      <c r="AC284" s="47"/>
      <c r="AD284" s="47"/>
      <c r="AE284" s="47"/>
    </row>
    <row r="285" spans="11:31" ht="15" customHeight="1">
      <c r="K285" s="47"/>
      <c r="L285" s="47"/>
      <c r="M285" s="47"/>
      <c r="N285" s="47"/>
      <c r="O285" s="47"/>
      <c r="P285" s="47"/>
      <c r="Q285" s="47"/>
      <c r="R285" s="47"/>
      <c r="S285" s="47"/>
      <c r="T285" s="47"/>
      <c r="U285" s="47"/>
      <c r="V285" s="47"/>
      <c r="W285" s="47"/>
      <c r="X285" s="47"/>
      <c r="Y285" s="47"/>
      <c r="Z285" s="47"/>
      <c r="AA285" s="47"/>
      <c r="AB285" s="47"/>
      <c r="AC285" s="47"/>
      <c r="AD285" s="47"/>
      <c r="AE285" s="47"/>
    </row>
    <row r="286" spans="11:31" ht="15" customHeight="1">
      <c r="K286" s="47"/>
      <c r="L286" s="47"/>
      <c r="M286" s="47"/>
      <c r="N286" s="47"/>
      <c r="O286" s="47"/>
      <c r="P286" s="47"/>
      <c r="Q286" s="47"/>
      <c r="R286" s="47"/>
      <c r="S286" s="47"/>
      <c r="T286" s="47"/>
      <c r="U286" s="47"/>
      <c r="V286" s="47"/>
      <c r="W286" s="47"/>
      <c r="X286" s="47"/>
      <c r="Y286" s="47"/>
      <c r="Z286" s="47"/>
      <c r="AA286" s="47"/>
      <c r="AB286" s="47"/>
      <c r="AC286" s="47"/>
      <c r="AD286" s="47"/>
      <c r="AE286" s="47"/>
    </row>
    <row r="287" spans="11:31" ht="15" customHeight="1">
      <c r="K287" s="47"/>
      <c r="L287" s="47"/>
      <c r="M287" s="47"/>
      <c r="N287" s="47"/>
      <c r="O287" s="47"/>
      <c r="P287" s="47"/>
      <c r="Q287" s="47"/>
      <c r="R287" s="47"/>
      <c r="S287" s="47"/>
      <c r="T287" s="47"/>
      <c r="U287" s="47"/>
      <c r="V287" s="47"/>
      <c r="W287" s="47"/>
      <c r="X287" s="47"/>
      <c r="Y287" s="47"/>
      <c r="Z287" s="47"/>
      <c r="AA287" s="47"/>
      <c r="AB287" s="47"/>
      <c r="AC287" s="47"/>
      <c r="AD287" s="47"/>
      <c r="AE287" s="47"/>
    </row>
    <row r="288" spans="11:31" ht="15" customHeight="1">
      <c r="K288" s="47"/>
      <c r="L288" s="47"/>
      <c r="M288" s="47"/>
      <c r="N288" s="47"/>
      <c r="O288" s="47"/>
      <c r="P288" s="47"/>
      <c r="Q288" s="47"/>
      <c r="R288" s="47"/>
      <c r="S288" s="47"/>
      <c r="T288" s="47"/>
      <c r="U288" s="47"/>
      <c r="V288" s="47"/>
      <c r="W288" s="47"/>
      <c r="X288" s="47"/>
      <c r="Y288" s="47"/>
      <c r="Z288" s="47"/>
      <c r="AA288" s="47"/>
      <c r="AB288" s="47"/>
      <c r="AC288" s="47"/>
      <c r="AD288" s="47"/>
      <c r="AE288" s="47"/>
    </row>
    <row r="289" spans="11:31" ht="15" customHeight="1">
      <c r="K289" s="47"/>
      <c r="L289" s="47"/>
      <c r="M289" s="47"/>
      <c r="N289" s="47"/>
      <c r="O289" s="47"/>
      <c r="P289" s="47"/>
      <c r="Q289" s="47"/>
      <c r="R289" s="47"/>
      <c r="S289" s="47"/>
      <c r="T289" s="47"/>
      <c r="U289" s="47"/>
      <c r="V289" s="47"/>
      <c r="W289" s="47"/>
      <c r="X289" s="47"/>
      <c r="Y289" s="47"/>
      <c r="Z289" s="47"/>
      <c r="AA289" s="47"/>
      <c r="AB289" s="47"/>
      <c r="AC289" s="47"/>
      <c r="AD289" s="47"/>
      <c r="AE289" s="47"/>
    </row>
    <row r="290" spans="11:31" ht="15" customHeight="1">
      <c r="K290" s="47"/>
      <c r="L290" s="47"/>
      <c r="M290" s="47"/>
      <c r="N290" s="47"/>
      <c r="O290" s="47"/>
      <c r="P290" s="47"/>
      <c r="Q290" s="47"/>
      <c r="R290" s="47"/>
      <c r="S290" s="47"/>
      <c r="T290" s="47"/>
      <c r="U290" s="47"/>
      <c r="V290" s="47"/>
      <c r="W290" s="47"/>
      <c r="X290" s="47"/>
      <c r="Y290" s="47"/>
      <c r="Z290" s="47"/>
      <c r="AA290" s="47"/>
      <c r="AB290" s="47"/>
      <c r="AC290" s="47"/>
      <c r="AD290" s="47"/>
      <c r="AE290" s="47"/>
    </row>
    <row r="291" spans="11:31" ht="15" customHeight="1">
      <c r="K291" s="47"/>
      <c r="L291" s="47"/>
      <c r="M291" s="47"/>
      <c r="N291" s="47"/>
      <c r="O291" s="47"/>
      <c r="P291" s="47"/>
      <c r="Q291" s="47"/>
      <c r="R291" s="47"/>
      <c r="S291" s="47"/>
      <c r="T291" s="47"/>
      <c r="U291" s="47"/>
      <c r="V291" s="47"/>
      <c r="W291" s="47"/>
      <c r="X291" s="47"/>
      <c r="Y291" s="47"/>
      <c r="Z291" s="47"/>
      <c r="AA291" s="47"/>
      <c r="AB291" s="47"/>
      <c r="AC291" s="47"/>
      <c r="AD291" s="47"/>
      <c r="AE291" s="47"/>
    </row>
    <row r="292" spans="11:31" ht="15" customHeight="1">
      <c r="K292" s="47"/>
      <c r="L292" s="47"/>
      <c r="M292" s="47"/>
      <c r="N292" s="47"/>
      <c r="O292" s="47"/>
      <c r="P292" s="47"/>
      <c r="Q292" s="47"/>
      <c r="R292" s="47"/>
      <c r="S292" s="47"/>
      <c r="T292" s="47"/>
      <c r="U292" s="47"/>
      <c r="V292" s="47"/>
      <c r="W292" s="47"/>
      <c r="X292" s="47"/>
      <c r="Y292" s="47"/>
      <c r="Z292" s="47"/>
      <c r="AA292" s="47"/>
      <c r="AB292" s="47"/>
      <c r="AC292" s="47"/>
      <c r="AD292" s="47"/>
      <c r="AE292" s="47"/>
    </row>
    <row r="293" spans="11:31" ht="15" customHeight="1">
      <c r="K293" s="47"/>
      <c r="L293" s="47"/>
      <c r="M293" s="47"/>
      <c r="N293" s="47"/>
      <c r="O293" s="47"/>
      <c r="P293" s="47"/>
      <c r="Q293" s="47"/>
      <c r="R293" s="47"/>
      <c r="S293" s="47"/>
      <c r="T293" s="47"/>
      <c r="U293" s="47"/>
      <c r="V293" s="47"/>
      <c r="W293" s="47"/>
      <c r="X293" s="47"/>
      <c r="Y293" s="47"/>
      <c r="Z293" s="47"/>
      <c r="AA293" s="47"/>
      <c r="AB293" s="47"/>
      <c r="AC293" s="47"/>
      <c r="AD293" s="47"/>
      <c r="AE293" s="47"/>
    </row>
    <row r="294" spans="11:31" ht="15" customHeight="1">
      <c r="K294" s="47"/>
      <c r="L294" s="47"/>
      <c r="M294" s="47"/>
      <c r="N294" s="47"/>
      <c r="O294" s="47"/>
      <c r="P294" s="47"/>
      <c r="Q294" s="47"/>
      <c r="R294" s="47"/>
      <c r="S294" s="47"/>
      <c r="T294" s="47"/>
      <c r="U294" s="47"/>
      <c r="V294" s="47"/>
      <c r="W294" s="47"/>
      <c r="X294" s="47"/>
      <c r="Y294" s="47"/>
      <c r="Z294" s="47"/>
      <c r="AA294" s="47"/>
      <c r="AB294" s="47"/>
      <c r="AC294" s="47"/>
      <c r="AD294" s="47"/>
      <c r="AE294" s="47"/>
    </row>
    <row r="295" spans="11:31" ht="15" customHeight="1">
      <c r="K295" s="47"/>
      <c r="L295" s="47"/>
      <c r="M295" s="47"/>
      <c r="N295" s="47"/>
      <c r="O295" s="47"/>
      <c r="P295" s="47"/>
      <c r="Q295" s="47"/>
      <c r="R295" s="47"/>
      <c r="S295" s="47"/>
      <c r="T295" s="47"/>
      <c r="U295" s="47"/>
      <c r="V295" s="47"/>
      <c r="W295" s="47"/>
      <c r="X295" s="47"/>
      <c r="Y295" s="47"/>
      <c r="Z295" s="47"/>
      <c r="AA295" s="47"/>
      <c r="AB295" s="47"/>
      <c r="AC295" s="47"/>
      <c r="AD295" s="47"/>
      <c r="AE295" s="47"/>
    </row>
    <row r="296" spans="11:31" ht="15" customHeight="1">
      <c r="K296" s="47"/>
      <c r="L296" s="47"/>
      <c r="M296" s="47"/>
      <c r="N296" s="47"/>
      <c r="O296" s="47"/>
      <c r="P296" s="47"/>
      <c r="Q296" s="47"/>
      <c r="R296" s="47"/>
      <c r="S296" s="47"/>
      <c r="T296" s="47"/>
      <c r="U296" s="47"/>
      <c r="V296" s="47"/>
      <c r="W296" s="47"/>
      <c r="X296" s="47"/>
      <c r="Y296" s="47"/>
      <c r="Z296" s="47"/>
      <c r="AA296" s="47"/>
      <c r="AB296" s="47"/>
      <c r="AC296" s="47"/>
      <c r="AD296" s="47"/>
      <c r="AE296" s="47"/>
    </row>
    <row r="297" spans="11:31" ht="15" customHeight="1">
      <c r="K297" s="47"/>
      <c r="L297" s="47"/>
      <c r="M297" s="47"/>
      <c r="N297" s="47"/>
      <c r="O297" s="47"/>
      <c r="P297" s="47"/>
      <c r="Q297" s="47"/>
      <c r="R297" s="47"/>
      <c r="S297" s="47"/>
      <c r="T297" s="47"/>
      <c r="U297" s="47"/>
      <c r="V297" s="47"/>
      <c r="W297" s="47"/>
      <c r="X297" s="47"/>
      <c r="Y297" s="47"/>
      <c r="Z297" s="47"/>
      <c r="AA297" s="47"/>
      <c r="AB297" s="47"/>
      <c r="AC297" s="47"/>
      <c r="AD297" s="47"/>
      <c r="AE297" s="47"/>
    </row>
    <row r="298" spans="11:31" ht="15" customHeight="1">
      <c r="K298" s="47"/>
      <c r="L298" s="47"/>
      <c r="M298" s="47"/>
      <c r="N298" s="47"/>
      <c r="O298" s="47"/>
      <c r="P298" s="47"/>
      <c r="Q298" s="47"/>
      <c r="R298" s="47"/>
      <c r="S298" s="47"/>
      <c r="T298" s="47"/>
      <c r="U298" s="47"/>
      <c r="V298" s="47"/>
      <c r="W298" s="47"/>
      <c r="X298" s="47"/>
      <c r="Y298" s="47"/>
      <c r="Z298" s="47"/>
      <c r="AA298" s="47"/>
      <c r="AB298" s="47"/>
      <c r="AC298" s="47"/>
      <c r="AD298" s="47"/>
      <c r="AE298" s="47"/>
    </row>
    <row r="299" spans="11:31" ht="15" customHeight="1">
      <c r="K299" s="47"/>
      <c r="L299" s="47"/>
      <c r="M299" s="47"/>
      <c r="N299" s="47"/>
      <c r="O299" s="47"/>
      <c r="P299" s="47"/>
      <c r="Q299" s="47"/>
      <c r="R299" s="47"/>
      <c r="S299" s="47"/>
      <c r="T299" s="47"/>
      <c r="U299" s="47"/>
      <c r="V299" s="47"/>
      <c r="W299" s="47"/>
      <c r="X299" s="47"/>
      <c r="Y299" s="47"/>
      <c r="Z299" s="47"/>
      <c r="AA299" s="47"/>
      <c r="AB299" s="47"/>
      <c r="AC299" s="47"/>
      <c r="AD299" s="47"/>
      <c r="AE299" s="47"/>
    </row>
    <row r="300" spans="11:31" ht="15" customHeight="1">
      <c r="K300" s="47"/>
      <c r="L300" s="47"/>
      <c r="M300" s="47"/>
      <c r="N300" s="47"/>
      <c r="O300" s="47"/>
      <c r="P300" s="47"/>
      <c r="Q300" s="47"/>
      <c r="R300" s="47"/>
      <c r="S300" s="47"/>
      <c r="T300" s="47"/>
      <c r="U300" s="47"/>
      <c r="V300" s="47"/>
      <c r="W300" s="47"/>
      <c r="X300" s="47"/>
      <c r="Y300" s="47"/>
      <c r="Z300" s="47"/>
      <c r="AA300" s="47"/>
      <c r="AB300" s="47"/>
      <c r="AC300" s="47"/>
      <c r="AD300" s="47"/>
      <c r="AE300" s="47"/>
    </row>
    <row r="301" spans="11:31" ht="15" customHeight="1">
      <c r="K301" s="47"/>
      <c r="L301" s="47"/>
      <c r="M301" s="47"/>
      <c r="N301" s="47"/>
      <c r="O301" s="47"/>
      <c r="P301" s="47"/>
      <c r="Q301" s="47"/>
      <c r="R301" s="47"/>
      <c r="S301" s="47"/>
      <c r="T301" s="47"/>
      <c r="U301" s="47"/>
      <c r="V301" s="47"/>
      <c r="W301" s="47"/>
      <c r="X301" s="47"/>
      <c r="Y301" s="47"/>
      <c r="Z301" s="47"/>
      <c r="AA301" s="47"/>
      <c r="AB301" s="47"/>
      <c r="AC301" s="47"/>
      <c r="AD301" s="47"/>
      <c r="AE301" s="47"/>
    </row>
    <row r="302" spans="11:31" ht="15" customHeight="1">
      <c r="K302" s="47"/>
      <c r="L302" s="47"/>
      <c r="M302" s="47"/>
      <c r="N302" s="47"/>
      <c r="O302" s="47"/>
      <c r="P302" s="47"/>
      <c r="Q302" s="47"/>
      <c r="R302" s="47"/>
      <c r="S302" s="47"/>
      <c r="T302" s="47"/>
      <c r="U302" s="47"/>
      <c r="V302" s="47"/>
      <c r="W302" s="47"/>
      <c r="X302" s="47"/>
      <c r="Y302" s="47"/>
      <c r="Z302" s="47"/>
      <c r="AA302" s="47"/>
      <c r="AB302" s="47"/>
      <c r="AC302" s="47"/>
      <c r="AD302" s="47"/>
      <c r="AE302" s="47"/>
    </row>
    <row r="303" spans="11:31" ht="15" customHeight="1">
      <c r="K303" s="47"/>
      <c r="L303" s="47"/>
      <c r="M303" s="47"/>
      <c r="N303" s="47"/>
      <c r="O303" s="47"/>
      <c r="P303" s="47"/>
      <c r="Q303" s="47"/>
      <c r="R303" s="47"/>
      <c r="S303" s="47"/>
      <c r="T303" s="47"/>
      <c r="U303" s="47"/>
      <c r="V303" s="47"/>
      <c r="W303" s="47"/>
      <c r="X303" s="47"/>
      <c r="Y303" s="47"/>
      <c r="Z303" s="47"/>
      <c r="AA303" s="47"/>
      <c r="AB303" s="47"/>
      <c r="AC303" s="47"/>
      <c r="AD303" s="47"/>
      <c r="AE303" s="47"/>
    </row>
  </sheetData>
  <mergeCells count="5">
    <mergeCell ref="B47:J47"/>
    <mergeCell ref="B1:H3"/>
    <mergeCell ref="B45:H45"/>
    <mergeCell ref="B5:I5"/>
    <mergeCell ref="B6:I6"/>
  </mergeCells>
  <phoneticPr fontId="0" type="noConversion"/>
  <pageMargins left="0.74" right="0.25" top="0.35433070866141736" bottom="0.51181102362204722" header="0.39370078740157483" footer="0.31496062992125984"/>
  <pageSetup paperSize="9" scale="76" orientation="landscape" r:id="rId1"/>
  <headerFooter alignWithMargins="0">
    <oddFooter>&amp;R&amp;P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33"/>
  <dimension ref="A1:R95"/>
  <sheetViews>
    <sheetView topLeftCell="A4" zoomScaleNormal="100" zoomScaleSheetLayoutView="100" workbookViewId="0">
      <selection activeCell="N33" sqref="N33"/>
    </sheetView>
  </sheetViews>
  <sheetFormatPr defaultColWidth="9.140625" defaultRowHeight="12.75"/>
  <cols>
    <col min="1" max="1" width="4.42578125" style="161" customWidth="1"/>
    <col min="2" max="2" width="4.7109375" style="9" customWidth="1"/>
    <col min="3" max="3" width="5.140625" style="9" customWidth="1"/>
    <col min="4" max="4" width="5" style="9" customWidth="1"/>
    <col min="5" max="5" width="5" style="161" customWidth="1"/>
    <col min="6" max="6" width="8.7109375" style="18" customWidth="1"/>
    <col min="7" max="7" width="8.7109375" style="166" customWidth="1"/>
    <col min="8" max="8" width="50.7109375" style="9" customWidth="1"/>
    <col min="9" max="10" width="14.7109375" style="9" customWidth="1"/>
    <col min="11" max="11" width="12.5703125" style="161" customWidth="1"/>
    <col min="12" max="13" width="14.7109375" style="161" customWidth="1"/>
    <col min="14" max="14" width="15.7109375" style="9" customWidth="1"/>
    <col min="15" max="16" width="7.7109375" style="214" customWidth="1"/>
    <col min="17" max="17" width="9.140625" style="9"/>
    <col min="18" max="18" width="9.5703125" style="9" bestFit="1" customWidth="1"/>
    <col min="19" max="16384" width="9.140625" style="9"/>
  </cols>
  <sheetData>
    <row r="1" spans="1:18" ht="13.5" thickBot="1"/>
    <row r="2" spans="1:18" s="79" customFormat="1" ht="20.100000000000001" customHeight="1" thickTop="1" thickBot="1">
      <c r="A2" s="244"/>
      <c r="B2" s="1034" t="s">
        <v>664</v>
      </c>
      <c r="C2" s="1035"/>
      <c r="D2" s="1035"/>
      <c r="E2" s="1035"/>
      <c r="F2" s="1035"/>
      <c r="G2" s="1035"/>
      <c r="H2" s="1035"/>
      <c r="I2" s="1035"/>
      <c r="J2" s="1070"/>
      <c r="K2" s="1070"/>
      <c r="L2" s="1070"/>
      <c r="M2" s="1070"/>
      <c r="N2" s="1070"/>
      <c r="O2" s="1070"/>
      <c r="P2" s="1036"/>
      <c r="R2" s="244"/>
    </row>
    <row r="3" spans="1:18" s="1" customFormat="1" ht="8.1" customHeight="1" thickTop="1" thickBot="1">
      <c r="A3" s="158"/>
      <c r="E3" s="158"/>
      <c r="F3" s="2"/>
      <c r="G3" s="159"/>
      <c r="H3" s="1039"/>
      <c r="I3" s="1039"/>
      <c r="J3" s="139"/>
      <c r="K3" s="721"/>
      <c r="L3" s="74"/>
      <c r="M3" s="74"/>
      <c r="N3" s="74"/>
      <c r="O3" s="208"/>
      <c r="P3" s="208"/>
    </row>
    <row r="4" spans="1:18" s="1" customFormat="1" ht="39" customHeight="1">
      <c r="A4" s="158"/>
      <c r="B4" s="1043" t="s">
        <v>76</v>
      </c>
      <c r="C4" s="1045" t="s">
        <v>77</v>
      </c>
      <c r="D4" s="1047" t="s">
        <v>102</v>
      </c>
      <c r="E4" s="1062" t="s">
        <v>692</v>
      </c>
      <c r="F4" s="1058" t="s">
        <v>466</v>
      </c>
      <c r="G4" s="1048" t="s">
        <v>493</v>
      </c>
      <c r="H4" s="1050" t="s">
        <v>78</v>
      </c>
      <c r="I4" s="1059" t="s">
        <v>901</v>
      </c>
      <c r="J4" s="1068" t="s">
        <v>813</v>
      </c>
      <c r="K4" s="1037" t="s">
        <v>906</v>
      </c>
      <c r="L4" s="1040" t="s">
        <v>905</v>
      </c>
      <c r="M4" s="1041"/>
      <c r="N4" s="1042"/>
      <c r="O4" s="1054" t="s">
        <v>945</v>
      </c>
      <c r="P4" s="1032" t="s">
        <v>946</v>
      </c>
      <c r="R4" s="61"/>
    </row>
    <row r="5" spans="1:18" s="158" customFormat="1" ht="27" customHeight="1">
      <c r="B5" s="1044"/>
      <c r="C5" s="1046"/>
      <c r="D5" s="1046"/>
      <c r="E5" s="1049"/>
      <c r="F5" s="1051"/>
      <c r="G5" s="1049"/>
      <c r="H5" s="1051"/>
      <c r="I5" s="1051"/>
      <c r="J5" s="1051"/>
      <c r="K5" s="1038"/>
      <c r="L5" s="373" t="s">
        <v>526</v>
      </c>
      <c r="M5" s="242" t="s">
        <v>527</v>
      </c>
      <c r="N5" s="764" t="s">
        <v>319</v>
      </c>
      <c r="O5" s="1055"/>
      <c r="P5" s="1033"/>
    </row>
    <row r="6" spans="1:18" s="2" customFormat="1" ht="12.95" customHeight="1">
      <c r="A6" s="159"/>
      <c r="B6" s="328">
        <v>1</v>
      </c>
      <c r="C6" s="195">
        <v>2</v>
      </c>
      <c r="D6" s="195">
        <v>3</v>
      </c>
      <c r="E6" s="195">
        <v>4</v>
      </c>
      <c r="F6" s="195">
        <v>5</v>
      </c>
      <c r="G6" s="195">
        <v>6</v>
      </c>
      <c r="H6" s="195">
        <v>7</v>
      </c>
      <c r="I6" s="195">
        <v>8</v>
      </c>
      <c r="J6" s="195">
        <v>9</v>
      </c>
      <c r="K6" s="188">
        <v>10</v>
      </c>
      <c r="L6" s="328">
        <v>11</v>
      </c>
      <c r="M6" s="195">
        <v>12</v>
      </c>
      <c r="N6" s="810" t="s">
        <v>694</v>
      </c>
      <c r="O6" s="929" t="s">
        <v>814</v>
      </c>
      <c r="P6" s="930" t="s">
        <v>944</v>
      </c>
    </row>
    <row r="7" spans="1:18" s="2" customFormat="1" ht="12.95" customHeight="1">
      <c r="A7" s="159"/>
      <c r="B7" s="64" t="s">
        <v>126</v>
      </c>
      <c r="C7" s="65" t="s">
        <v>119</v>
      </c>
      <c r="D7" s="65" t="s">
        <v>114</v>
      </c>
      <c r="E7" s="416" t="s">
        <v>710</v>
      </c>
      <c r="F7" s="5"/>
      <c r="G7" s="160"/>
      <c r="H7" s="5"/>
      <c r="I7" s="366"/>
      <c r="J7" s="160"/>
      <c r="K7" s="173"/>
      <c r="L7" s="4"/>
      <c r="M7" s="160"/>
      <c r="N7" s="811"/>
      <c r="O7" s="951"/>
      <c r="P7" s="952"/>
    </row>
    <row r="8" spans="1:18" s="1" customFormat="1" ht="12.95" customHeight="1">
      <c r="A8" s="158"/>
      <c r="B8" s="12"/>
      <c r="C8" s="8"/>
      <c r="D8" s="8"/>
      <c r="E8" s="8"/>
      <c r="F8" s="176">
        <v>611000</v>
      </c>
      <c r="G8" s="195"/>
      <c r="H8" s="25" t="s">
        <v>140</v>
      </c>
      <c r="I8" s="236">
        <f t="shared" ref="I8:N8" si="0">SUM(I9:I12)</f>
        <v>1047070</v>
      </c>
      <c r="J8" s="236">
        <f t="shared" si="0"/>
        <v>1047070</v>
      </c>
      <c r="K8" s="226">
        <f t="shared" si="0"/>
        <v>904582</v>
      </c>
      <c r="L8" s="482">
        <f t="shared" si="0"/>
        <v>1034257</v>
      </c>
      <c r="M8" s="236">
        <f t="shared" si="0"/>
        <v>0</v>
      </c>
      <c r="N8" s="812">
        <f t="shared" si="0"/>
        <v>1034257</v>
      </c>
      <c r="O8" s="953">
        <f t="shared" ref="O8:O31" si="1">IF(J8=0,"",N8/J8*100)</f>
        <v>98.77629957882472</v>
      </c>
      <c r="P8" s="954">
        <f>IF(K8=0,"",N8/K8*100)</f>
        <v>114.33535047126739</v>
      </c>
    </row>
    <row r="9" spans="1:18" ht="12.95" customHeight="1">
      <c r="B9" s="10"/>
      <c r="C9" s="11"/>
      <c r="D9" s="11"/>
      <c r="E9" s="163"/>
      <c r="F9" s="177">
        <v>611100</v>
      </c>
      <c r="G9" s="196"/>
      <c r="H9" s="428" t="s">
        <v>161</v>
      </c>
      <c r="I9" s="237">
        <f>842920+2000+3*500</f>
        <v>846420</v>
      </c>
      <c r="J9" s="237">
        <f>842920+2000+3*500</f>
        <v>846420</v>
      </c>
      <c r="K9" s="224">
        <v>757897</v>
      </c>
      <c r="L9" s="360">
        <v>841323</v>
      </c>
      <c r="M9" s="237">
        <v>0</v>
      </c>
      <c r="N9" s="813">
        <f>SUM(L9:M9)</f>
        <v>841323</v>
      </c>
      <c r="O9" s="955">
        <f t="shared" si="1"/>
        <v>99.397816686751256</v>
      </c>
      <c r="P9" s="956">
        <f t="shared" ref="P9:P53" si="2">IF(K9=0,"",N9/K9*100)</f>
        <v>111.00756435241202</v>
      </c>
      <c r="Q9" s="45"/>
    </row>
    <row r="10" spans="1:18" ht="12.95" customHeight="1">
      <c r="B10" s="10"/>
      <c r="C10" s="11"/>
      <c r="D10" s="11"/>
      <c r="E10" s="163"/>
      <c r="F10" s="177">
        <v>611200</v>
      </c>
      <c r="G10" s="196"/>
      <c r="H10" s="24" t="s">
        <v>162</v>
      </c>
      <c r="I10" s="237">
        <f>167500+1000+3*1150+41*700</f>
        <v>200650</v>
      </c>
      <c r="J10" s="237">
        <f>167500+1000+3*1150+41*700</f>
        <v>200650</v>
      </c>
      <c r="K10" s="224">
        <v>146685</v>
      </c>
      <c r="L10" s="360">
        <v>192934</v>
      </c>
      <c r="M10" s="237">
        <v>0</v>
      </c>
      <c r="N10" s="813">
        <f t="shared" ref="N10:N11" si="3">SUM(L10:M10)</f>
        <v>192934</v>
      </c>
      <c r="O10" s="955">
        <f t="shared" si="1"/>
        <v>96.154497881883884</v>
      </c>
      <c r="P10" s="956">
        <f t="shared" si="2"/>
        <v>131.52946790742067</v>
      </c>
    </row>
    <row r="11" spans="1:18" ht="12.95" customHeight="1">
      <c r="B11" s="10"/>
      <c r="C11" s="11"/>
      <c r="D11" s="11"/>
      <c r="E11" s="163"/>
      <c r="F11" s="177">
        <v>611200</v>
      </c>
      <c r="G11" s="196"/>
      <c r="H11" s="435" t="s">
        <v>434</v>
      </c>
      <c r="I11" s="235">
        <v>0</v>
      </c>
      <c r="J11" s="235">
        <v>0</v>
      </c>
      <c r="K11" s="225">
        <v>0</v>
      </c>
      <c r="L11" s="357">
        <v>0</v>
      </c>
      <c r="M11" s="235">
        <v>0</v>
      </c>
      <c r="N11" s="813">
        <f t="shared" si="3"/>
        <v>0</v>
      </c>
      <c r="O11" s="955" t="str">
        <f t="shared" si="1"/>
        <v/>
      </c>
      <c r="P11" s="956" t="str">
        <f t="shared" si="2"/>
        <v/>
      </c>
      <c r="R11" s="50"/>
    </row>
    <row r="12" spans="1:18" ht="12.95" customHeight="1">
      <c r="B12" s="10"/>
      <c r="C12" s="11"/>
      <c r="D12" s="11"/>
      <c r="E12" s="163"/>
      <c r="F12" s="177"/>
      <c r="G12" s="196"/>
      <c r="H12" s="428"/>
      <c r="I12" s="237"/>
      <c r="J12" s="237"/>
      <c r="K12" s="224"/>
      <c r="L12" s="360"/>
      <c r="M12" s="237"/>
      <c r="N12" s="813"/>
      <c r="O12" s="955" t="str">
        <f t="shared" si="1"/>
        <v/>
      </c>
      <c r="P12" s="956" t="str">
        <f t="shared" si="2"/>
        <v/>
      </c>
    </row>
    <row r="13" spans="1:18" s="1" customFormat="1" ht="12.95" customHeight="1">
      <c r="A13" s="158"/>
      <c r="B13" s="12"/>
      <c r="C13" s="8"/>
      <c r="D13" s="8"/>
      <c r="E13" s="8"/>
      <c r="F13" s="176">
        <v>612000</v>
      </c>
      <c r="G13" s="195"/>
      <c r="H13" s="25" t="s">
        <v>139</v>
      </c>
      <c r="I13" s="236">
        <f t="shared" ref="I13:N13" si="4">I14</f>
        <v>90460</v>
      </c>
      <c r="J13" s="236">
        <f t="shared" si="4"/>
        <v>90460</v>
      </c>
      <c r="K13" s="226">
        <f t="shared" si="4"/>
        <v>80504</v>
      </c>
      <c r="L13" s="482">
        <f t="shared" si="4"/>
        <v>89554</v>
      </c>
      <c r="M13" s="236">
        <f t="shared" si="4"/>
        <v>0</v>
      </c>
      <c r="N13" s="812">
        <f t="shared" si="4"/>
        <v>89554</v>
      </c>
      <c r="O13" s="953">
        <f t="shared" si="1"/>
        <v>98.99845235463188</v>
      </c>
      <c r="P13" s="954">
        <f t="shared" si="2"/>
        <v>111.24167743217728</v>
      </c>
    </row>
    <row r="14" spans="1:18" ht="12.95" customHeight="1">
      <c r="B14" s="10"/>
      <c r="C14" s="11"/>
      <c r="D14" s="11"/>
      <c r="E14" s="163"/>
      <c r="F14" s="177">
        <v>612100</v>
      </c>
      <c r="G14" s="196"/>
      <c r="H14" s="430" t="s">
        <v>81</v>
      </c>
      <c r="I14" s="237">
        <f>89420+500+3*180</f>
        <v>90460</v>
      </c>
      <c r="J14" s="237">
        <f>89420+500+3*180</f>
        <v>90460</v>
      </c>
      <c r="K14" s="224">
        <v>80504</v>
      </c>
      <c r="L14" s="360">
        <v>89554</v>
      </c>
      <c r="M14" s="237">
        <v>0</v>
      </c>
      <c r="N14" s="813">
        <f>SUM(L14:M14)</f>
        <v>89554</v>
      </c>
      <c r="O14" s="955">
        <f t="shared" si="1"/>
        <v>98.99845235463188</v>
      </c>
      <c r="P14" s="956">
        <f t="shared" si="2"/>
        <v>111.24167743217728</v>
      </c>
    </row>
    <row r="15" spans="1:18" ht="12.95" customHeight="1">
      <c r="B15" s="10"/>
      <c r="C15" s="11"/>
      <c r="D15" s="11"/>
      <c r="E15" s="163"/>
      <c r="F15" s="177"/>
      <c r="G15" s="196"/>
      <c r="H15" s="24"/>
      <c r="I15" s="233"/>
      <c r="J15" s="233"/>
      <c r="K15" s="222"/>
      <c r="L15" s="359"/>
      <c r="M15" s="233"/>
      <c r="N15" s="776"/>
      <c r="O15" s="955" t="str">
        <f t="shared" si="1"/>
        <v/>
      </c>
      <c r="P15" s="956" t="str">
        <f t="shared" si="2"/>
        <v/>
      </c>
    </row>
    <row r="16" spans="1:18" s="1" customFormat="1" ht="12.95" customHeight="1">
      <c r="A16" s="158"/>
      <c r="B16" s="12"/>
      <c r="C16" s="8"/>
      <c r="D16" s="8"/>
      <c r="E16" s="8"/>
      <c r="F16" s="176">
        <v>613000</v>
      </c>
      <c r="G16" s="195"/>
      <c r="H16" s="25" t="s">
        <v>141</v>
      </c>
      <c r="I16" s="234">
        <f t="shared" ref="I16:J16" si="5">SUM(I17:I26)</f>
        <v>171900</v>
      </c>
      <c r="J16" s="234">
        <f t="shared" si="5"/>
        <v>171900</v>
      </c>
      <c r="K16" s="221">
        <f t="shared" ref="K16" si="6">SUM(K17:K26)</f>
        <v>115799</v>
      </c>
      <c r="L16" s="483">
        <f t="shared" ref="L16:N16" si="7">SUM(L17:L26)</f>
        <v>150475</v>
      </c>
      <c r="M16" s="234">
        <f t="shared" si="7"/>
        <v>0</v>
      </c>
      <c r="N16" s="774">
        <f t="shared" si="7"/>
        <v>150475</v>
      </c>
      <c r="O16" s="953">
        <f t="shared" si="1"/>
        <v>87.536358347876671</v>
      </c>
      <c r="P16" s="954">
        <f t="shared" si="2"/>
        <v>129.94499088938591</v>
      </c>
    </row>
    <row r="17" spans="1:17" ht="12.95" customHeight="1">
      <c r="B17" s="10"/>
      <c r="C17" s="11"/>
      <c r="D17" s="11"/>
      <c r="E17" s="163"/>
      <c r="F17" s="177">
        <v>613100</v>
      </c>
      <c r="G17" s="196"/>
      <c r="H17" s="24" t="s">
        <v>82</v>
      </c>
      <c r="I17" s="237">
        <v>6000</v>
      </c>
      <c r="J17" s="237">
        <v>6000</v>
      </c>
      <c r="K17" s="224">
        <v>1877</v>
      </c>
      <c r="L17" s="360">
        <v>4336</v>
      </c>
      <c r="M17" s="237">
        <v>0</v>
      </c>
      <c r="N17" s="813">
        <f t="shared" ref="N17:N26" si="8">SUM(L17:M17)</f>
        <v>4336</v>
      </c>
      <c r="O17" s="955">
        <f t="shared" si="1"/>
        <v>72.266666666666666</v>
      </c>
      <c r="P17" s="956">
        <f t="shared" si="2"/>
        <v>231.00692594565797</v>
      </c>
    </row>
    <row r="18" spans="1:17" ht="12.95" customHeight="1">
      <c r="B18" s="10"/>
      <c r="C18" s="11"/>
      <c r="D18" s="11"/>
      <c r="E18" s="163"/>
      <c r="F18" s="177">
        <v>613200</v>
      </c>
      <c r="G18" s="196"/>
      <c r="H18" s="24" t="s">
        <v>83</v>
      </c>
      <c r="I18" s="237">
        <v>65000</v>
      </c>
      <c r="J18" s="237">
        <v>65000</v>
      </c>
      <c r="K18" s="224">
        <v>50404</v>
      </c>
      <c r="L18" s="359">
        <v>58459</v>
      </c>
      <c r="M18" s="233">
        <v>0</v>
      </c>
      <c r="N18" s="813">
        <f t="shared" si="8"/>
        <v>58459</v>
      </c>
      <c r="O18" s="955">
        <f t="shared" si="1"/>
        <v>89.93692307692308</v>
      </c>
      <c r="P18" s="956">
        <f t="shared" si="2"/>
        <v>115.98087453376715</v>
      </c>
    </row>
    <row r="19" spans="1:17" ht="12.95" customHeight="1">
      <c r="B19" s="10"/>
      <c r="C19" s="11"/>
      <c r="D19" s="11"/>
      <c r="E19" s="163"/>
      <c r="F19" s="177">
        <v>613300</v>
      </c>
      <c r="G19" s="196"/>
      <c r="H19" s="428" t="s">
        <v>163</v>
      </c>
      <c r="I19" s="237">
        <v>8000</v>
      </c>
      <c r="J19" s="237">
        <v>8000</v>
      </c>
      <c r="K19" s="224">
        <v>6276</v>
      </c>
      <c r="L19" s="359">
        <v>6330</v>
      </c>
      <c r="M19" s="233">
        <v>0</v>
      </c>
      <c r="N19" s="813">
        <f t="shared" si="8"/>
        <v>6330</v>
      </c>
      <c r="O19" s="955">
        <f t="shared" si="1"/>
        <v>79.125</v>
      </c>
      <c r="P19" s="956">
        <f t="shared" si="2"/>
        <v>100.86042065009559</v>
      </c>
    </row>
    <row r="20" spans="1:17" ht="12.95" customHeight="1">
      <c r="B20" s="10"/>
      <c r="C20" s="11"/>
      <c r="D20" s="11"/>
      <c r="E20" s="163"/>
      <c r="F20" s="177">
        <v>613400</v>
      </c>
      <c r="G20" s="196"/>
      <c r="H20" s="24" t="s">
        <v>142</v>
      </c>
      <c r="I20" s="237">
        <v>22000</v>
      </c>
      <c r="J20" s="237">
        <v>22000</v>
      </c>
      <c r="K20" s="224">
        <v>14520</v>
      </c>
      <c r="L20" s="359">
        <v>19267</v>
      </c>
      <c r="M20" s="233">
        <v>0</v>
      </c>
      <c r="N20" s="813">
        <f t="shared" si="8"/>
        <v>19267</v>
      </c>
      <c r="O20" s="955">
        <f t="shared" si="1"/>
        <v>87.577272727272728</v>
      </c>
      <c r="P20" s="956">
        <f t="shared" si="2"/>
        <v>132.69283746556474</v>
      </c>
    </row>
    <row r="21" spans="1:17" ht="12.95" customHeight="1">
      <c r="B21" s="10"/>
      <c r="C21" s="11"/>
      <c r="D21" s="11"/>
      <c r="E21" s="163"/>
      <c r="F21" s="177">
        <v>613500</v>
      </c>
      <c r="G21" s="196"/>
      <c r="H21" s="24" t="s">
        <v>84</v>
      </c>
      <c r="I21" s="237">
        <v>3500</v>
      </c>
      <c r="J21" s="237">
        <v>3500</v>
      </c>
      <c r="K21" s="224">
        <v>1215</v>
      </c>
      <c r="L21" s="360">
        <v>2773</v>
      </c>
      <c r="M21" s="237">
        <v>0</v>
      </c>
      <c r="N21" s="813">
        <f t="shared" si="8"/>
        <v>2773</v>
      </c>
      <c r="O21" s="955">
        <f t="shared" si="1"/>
        <v>79.228571428571428</v>
      </c>
      <c r="P21" s="956">
        <f t="shared" si="2"/>
        <v>228.23045267489709</v>
      </c>
    </row>
    <row r="22" spans="1:17" ht="12.95" customHeight="1">
      <c r="B22" s="10"/>
      <c r="C22" s="11"/>
      <c r="D22" s="11"/>
      <c r="E22" s="163"/>
      <c r="F22" s="177">
        <v>613600</v>
      </c>
      <c r="G22" s="196"/>
      <c r="H22" s="428" t="s">
        <v>164</v>
      </c>
      <c r="I22" s="237">
        <v>0</v>
      </c>
      <c r="J22" s="237">
        <v>0</v>
      </c>
      <c r="K22" s="224">
        <v>0</v>
      </c>
      <c r="L22" s="360">
        <v>0</v>
      </c>
      <c r="M22" s="237">
        <v>0</v>
      </c>
      <c r="N22" s="813">
        <f t="shared" si="8"/>
        <v>0</v>
      </c>
      <c r="O22" s="955" t="str">
        <f t="shared" si="1"/>
        <v/>
      </c>
      <c r="P22" s="956" t="str">
        <f t="shared" si="2"/>
        <v/>
      </c>
    </row>
    <row r="23" spans="1:17" ht="12.95" customHeight="1">
      <c r="B23" s="10"/>
      <c r="C23" s="11"/>
      <c r="D23" s="11"/>
      <c r="E23" s="163"/>
      <c r="F23" s="177">
        <v>613700</v>
      </c>
      <c r="G23" s="196"/>
      <c r="H23" s="24" t="s">
        <v>85</v>
      </c>
      <c r="I23" s="237">
        <v>21000</v>
      </c>
      <c r="J23" s="237">
        <v>21000</v>
      </c>
      <c r="K23" s="224">
        <v>11799</v>
      </c>
      <c r="L23" s="360">
        <v>20162</v>
      </c>
      <c r="M23" s="237">
        <v>0</v>
      </c>
      <c r="N23" s="813">
        <f t="shared" si="8"/>
        <v>20162</v>
      </c>
      <c r="O23" s="955">
        <f t="shared" si="1"/>
        <v>96.009523809523813</v>
      </c>
      <c r="P23" s="956">
        <f t="shared" si="2"/>
        <v>170.87888804135943</v>
      </c>
    </row>
    <row r="24" spans="1:17" ht="12.95" customHeight="1">
      <c r="B24" s="10"/>
      <c r="C24" s="11"/>
      <c r="D24" s="11"/>
      <c r="E24" s="163"/>
      <c r="F24" s="177">
        <v>613800</v>
      </c>
      <c r="G24" s="196"/>
      <c r="H24" s="24" t="s">
        <v>143</v>
      </c>
      <c r="I24" s="237">
        <v>1400</v>
      </c>
      <c r="J24" s="237">
        <v>1400</v>
      </c>
      <c r="K24" s="224">
        <v>65</v>
      </c>
      <c r="L24" s="360">
        <v>449</v>
      </c>
      <c r="M24" s="237">
        <v>0</v>
      </c>
      <c r="N24" s="813">
        <f t="shared" si="8"/>
        <v>449</v>
      </c>
      <c r="O24" s="955">
        <f t="shared" si="1"/>
        <v>32.071428571428569</v>
      </c>
      <c r="P24" s="956">
        <f t="shared" si="2"/>
        <v>690.76923076923083</v>
      </c>
    </row>
    <row r="25" spans="1:17" ht="12.95" customHeight="1">
      <c r="B25" s="10"/>
      <c r="C25" s="11"/>
      <c r="D25" s="11"/>
      <c r="E25" s="163"/>
      <c r="F25" s="177">
        <v>613900</v>
      </c>
      <c r="G25" s="196"/>
      <c r="H25" s="24" t="s">
        <v>144</v>
      </c>
      <c r="I25" s="237">
        <v>45000</v>
      </c>
      <c r="J25" s="237">
        <v>45000</v>
      </c>
      <c r="K25" s="224">
        <v>29643</v>
      </c>
      <c r="L25" s="362">
        <v>38699</v>
      </c>
      <c r="M25" s="229">
        <v>0</v>
      </c>
      <c r="N25" s="813">
        <f t="shared" si="8"/>
        <v>38699</v>
      </c>
      <c r="O25" s="955">
        <f t="shared" si="1"/>
        <v>85.99777777777777</v>
      </c>
      <c r="P25" s="956">
        <f t="shared" si="2"/>
        <v>130.5502142158351</v>
      </c>
    </row>
    <row r="26" spans="1:17" ht="12.95" customHeight="1">
      <c r="B26" s="10"/>
      <c r="C26" s="11"/>
      <c r="D26" s="11"/>
      <c r="E26" s="163"/>
      <c r="F26" s="177">
        <v>613900</v>
      </c>
      <c r="G26" s="196"/>
      <c r="H26" s="435" t="s">
        <v>435</v>
      </c>
      <c r="I26" s="230">
        <v>0</v>
      </c>
      <c r="J26" s="230">
        <v>0</v>
      </c>
      <c r="K26" s="487">
        <v>0</v>
      </c>
      <c r="L26" s="361">
        <v>0</v>
      </c>
      <c r="M26" s="230">
        <v>0</v>
      </c>
      <c r="N26" s="813">
        <f t="shared" si="8"/>
        <v>0</v>
      </c>
      <c r="O26" s="955" t="str">
        <f t="shared" si="1"/>
        <v/>
      </c>
      <c r="P26" s="956" t="str">
        <f t="shared" si="2"/>
        <v/>
      </c>
    </row>
    <row r="27" spans="1:17" s="1" customFormat="1" ht="12.95" customHeight="1">
      <c r="A27" s="158"/>
      <c r="B27" s="12"/>
      <c r="C27" s="8"/>
      <c r="D27" s="8"/>
      <c r="E27" s="8"/>
      <c r="F27" s="176"/>
      <c r="G27" s="195"/>
      <c r="H27" s="25"/>
      <c r="I27" s="237"/>
      <c r="J27" s="237"/>
      <c r="K27" s="224"/>
      <c r="L27" s="360"/>
      <c r="M27" s="237"/>
      <c r="N27" s="776"/>
      <c r="O27" s="955" t="str">
        <f t="shared" si="1"/>
        <v/>
      </c>
      <c r="P27" s="956" t="str">
        <f t="shared" si="2"/>
        <v/>
      </c>
    </row>
    <row r="28" spans="1:17" s="1" customFormat="1" ht="12.95" customHeight="1">
      <c r="A28" s="158"/>
      <c r="B28" s="12"/>
      <c r="C28" s="8"/>
      <c r="D28" s="8"/>
      <c r="E28" s="8"/>
      <c r="F28" s="176">
        <v>821000</v>
      </c>
      <c r="G28" s="195"/>
      <c r="H28" s="25" t="s">
        <v>88</v>
      </c>
      <c r="I28" s="236">
        <f t="shared" ref="I28:N28" si="9">SUM(I29:I30)</f>
        <v>28000</v>
      </c>
      <c r="J28" s="236">
        <f t="shared" si="9"/>
        <v>28000</v>
      </c>
      <c r="K28" s="226">
        <f t="shared" si="9"/>
        <v>4926</v>
      </c>
      <c r="L28" s="482">
        <f t="shared" si="9"/>
        <v>26586</v>
      </c>
      <c r="M28" s="236">
        <f t="shared" si="9"/>
        <v>0</v>
      </c>
      <c r="N28" s="774">
        <f t="shared" si="9"/>
        <v>26586</v>
      </c>
      <c r="O28" s="953">
        <f t="shared" si="1"/>
        <v>94.95</v>
      </c>
      <c r="P28" s="954">
        <f t="shared" si="2"/>
        <v>539.70767356881856</v>
      </c>
    </row>
    <row r="29" spans="1:17" ht="12.95" customHeight="1">
      <c r="B29" s="10"/>
      <c r="C29" s="11"/>
      <c r="D29" s="11"/>
      <c r="E29" s="163"/>
      <c r="F29" s="180">
        <v>821200</v>
      </c>
      <c r="G29" s="199"/>
      <c r="H29" s="431" t="s">
        <v>89</v>
      </c>
      <c r="I29" s="237">
        <v>0</v>
      </c>
      <c r="J29" s="237">
        <v>0</v>
      </c>
      <c r="K29" s="224">
        <v>0</v>
      </c>
      <c r="L29" s="360">
        <v>0</v>
      </c>
      <c r="M29" s="237">
        <v>0</v>
      </c>
      <c r="N29" s="813">
        <f t="shared" ref="N29:N30" si="10">SUM(L29:M29)</f>
        <v>0</v>
      </c>
      <c r="O29" s="955" t="str">
        <f t="shared" si="1"/>
        <v/>
      </c>
      <c r="P29" s="956" t="str">
        <f t="shared" si="2"/>
        <v/>
      </c>
      <c r="Q29" s="45"/>
    </row>
    <row r="30" spans="1:17" ht="12.95" customHeight="1">
      <c r="B30" s="10"/>
      <c r="C30" s="11"/>
      <c r="D30" s="11"/>
      <c r="E30" s="163"/>
      <c r="F30" s="177">
        <v>821300</v>
      </c>
      <c r="G30" s="196"/>
      <c r="H30" s="24" t="s">
        <v>90</v>
      </c>
      <c r="I30" s="237">
        <v>28000</v>
      </c>
      <c r="J30" s="237">
        <v>28000</v>
      </c>
      <c r="K30" s="224">
        <v>4926</v>
      </c>
      <c r="L30" s="360">
        <v>26586</v>
      </c>
      <c r="M30" s="237">
        <v>0</v>
      </c>
      <c r="N30" s="813">
        <f t="shared" si="10"/>
        <v>26586</v>
      </c>
      <c r="O30" s="955">
        <f t="shared" si="1"/>
        <v>94.95</v>
      </c>
      <c r="P30" s="956">
        <f t="shared" si="2"/>
        <v>539.70767356881856</v>
      </c>
    </row>
    <row r="31" spans="1:17" ht="12.95" customHeight="1">
      <c r="B31" s="10"/>
      <c r="C31" s="11"/>
      <c r="D31" s="11"/>
      <c r="E31" s="163"/>
      <c r="F31" s="177"/>
      <c r="G31" s="196"/>
      <c r="H31" s="24"/>
      <c r="I31" s="233"/>
      <c r="J31" s="233"/>
      <c r="K31" s="222"/>
      <c r="L31" s="359"/>
      <c r="M31" s="233"/>
      <c r="N31" s="776"/>
      <c r="O31" s="955" t="str">
        <f t="shared" si="1"/>
        <v/>
      </c>
      <c r="P31" s="956" t="str">
        <f t="shared" si="2"/>
        <v/>
      </c>
    </row>
    <row r="32" spans="1:17" s="1" customFormat="1" ht="12.95" customHeight="1">
      <c r="A32" s="158"/>
      <c r="B32" s="12"/>
      <c r="C32" s="8"/>
      <c r="D32" s="8"/>
      <c r="E32" s="8"/>
      <c r="F32" s="176"/>
      <c r="G32" s="195"/>
      <c r="H32" s="25" t="s">
        <v>91</v>
      </c>
      <c r="I32" s="377" t="s">
        <v>851</v>
      </c>
      <c r="J32" s="377" t="s">
        <v>851</v>
      </c>
      <c r="K32" s="486" t="s">
        <v>754</v>
      </c>
      <c r="L32" s="485">
        <v>41</v>
      </c>
      <c r="M32" s="394"/>
      <c r="N32" s="767">
        <v>41</v>
      </c>
      <c r="O32" s="955"/>
      <c r="P32" s="956"/>
    </row>
    <row r="33" spans="1:16" s="1" customFormat="1" ht="12.95" customHeight="1">
      <c r="A33" s="158"/>
      <c r="B33" s="12"/>
      <c r="C33" s="8"/>
      <c r="D33" s="8"/>
      <c r="E33" s="8"/>
      <c r="F33" s="176"/>
      <c r="G33" s="195"/>
      <c r="H33" s="8" t="s">
        <v>105</v>
      </c>
      <c r="I33" s="367">
        <f t="shared" ref="I33:K33" si="11">I8+I13+I16+I28</f>
        <v>1337430</v>
      </c>
      <c r="J33" s="165">
        <f t="shared" si="11"/>
        <v>1337430</v>
      </c>
      <c r="K33" s="153">
        <f t="shared" si="11"/>
        <v>1105811</v>
      </c>
      <c r="L33" s="370">
        <f t="shared" ref="L33:N33" si="12">L8+L13+L16+L28</f>
        <v>1300872</v>
      </c>
      <c r="M33" s="165">
        <f t="shared" si="12"/>
        <v>0</v>
      </c>
      <c r="N33" s="774">
        <f t="shared" si="12"/>
        <v>1300872</v>
      </c>
      <c r="O33" s="953">
        <f>IF(J33=0,"",N33/J33*100)</f>
        <v>97.266548529642677</v>
      </c>
      <c r="P33" s="954">
        <f t="shared" si="2"/>
        <v>117.63963281247879</v>
      </c>
    </row>
    <row r="34" spans="1:16" s="1" customFormat="1" ht="12.95" customHeight="1">
      <c r="A34" s="158"/>
      <c r="B34" s="12"/>
      <c r="C34" s="8"/>
      <c r="D34" s="8"/>
      <c r="E34" s="8"/>
      <c r="F34" s="176"/>
      <c r="G34" s="195"/>
      <c r="H34" s="8" t="s">
        <v>92</v>
      </c>
      <c r="I34" s="367">
        <f>I33+'22'!I33+'21'!I33</f>
        <v>4531770</v>
      </c>
      <c r="J34" s="165">
        <f>J33+'22'!J33+'21'!J33</f>
        <v>4531770</v>
      </c>
      <c r="K34" s="153">
        <f>K33+'22'!K33+'21'!K33</f>
        <v>3799139</v>
      </c>
      <c r="L34" s="370">
        <f>L33+'22'!L33+'21'!L33</f>
        <v>4310870</v>
      </c>
      <c r="M34" s="165">
        <f>M33+'22'!M33+'21'!M33</f>
        <v>52065</v>
      </c>
      <c r="N34" s="774">
        <f>N33+'22'!N33+'21'!N33</f>
        <v>4362935</v>
      </c>
      <c r="O34" s="953">
        <f>IF(J34=0,"",N34/J34*100)</f>
        <v>96.274413750035862</v>
      </c>
      <c r="P34" s="954">
        <f t="shared" si="2"/>
        <v>114.84009929618264</v>
      </c>
    </row>
    <row r="35" spans="1:16" s="1" customFormat="1" ht="12.95" customHeight="1">
      <c r="A35" s="158"/>
      <c r="B35" s="12"/>
      <c r="C35" s="8"/>
      <c r="D35" s="8"/>
      <c r="E35" s="8"/>
      <c r="F35" s="176"/>
      <c r="G35" s="195"/>
      <c r="H35" s="8" t="s">
        <v>93</v>
      </c>
      <c r="I35" s="29"/>
      <c r="J35" s="29"/>
      <c r="K35" s="148"/>
      <c r="L35" s="369"/>
      <c r="M35" s="156"/>
      <c r="N35" s="776"/>
      <c r="O35" s="959"/>
      <c r="P35" s="960" t="str">
        <f t="shared" si="2"/>
        <v/>
      </c>
    </row>
    <row r="36" spans="1:16" ht="12.95" customHeight="1" thickBot="1">
      <c r="B36" s="16"/>
      <c r="C36" s="17"/>
      <c r="D36" s="17"/>
      <c r="E36" s="17"/>
      <c r="F36" s="178"/>
      <c r="G36" s="197"/>
      <c r="H36" s="17"/>
      <c r="I36" s="31"/>
      <c r="J36" s="31"/>
      <c r="K36" s="725"/>
      <c r="L36" s="371"/>
      <c r="M36" s="31"/>
      <c r="N36" s="814"/>
      <c r="O36" s="957"/>
      <c r="P36" s="958" t="str">
        <f t="shared" si="2"/>
        <v/>
      </c>
    </row>
    <row r="37" spans="1:16" ht="12.95" customHeight="1">
      <c r="F37" s="179"/>
      <c r="G37" s="198"/>
      <c r="N37" s="253"/>
      <c r="P37" s="214" t="str">
        <f t="shared" si="2"/>
        <v/>
      </c>
    </row>
    <row r="38" spans="1:16" ht="12.95" customHeight="1">
      <c r="B38" s="45"/>
      <c r="F38" s="179"/>
      <c r="G38" s="198"/>
      <c r="N38" s="253"/>
      <c r="P38" s="214" t="str">
        <f t="shared" si="2"/>
        <v/>
      </c>
    </row>
    <row r="39" spans="1:16" ht="12.95" customHeight="1">
      <c r="B39" s="45"/>
      <c r="F39" s="179"/>
      <c r="G39" s="198"/>
      <c r="N39" s="253"/>
      <c r="P39" s="214" t="str">
        <f t="shared" si="2"/>
        <v/>
      </c>
    </row>
    <row r="40" spans="1:16" ht="12.95" customHeight="1">
      <c r="B40" s="45"/>
      <c r="F40" s="179"/>
      <c r="G40" s="198"/>
      <c r="N40" s="253"/>
      <c r="P40" s="214" t="str">
        <f t="shared" si="2"/>
        <v/>
      </c>
    </row>
    <row r="41" spans="1:16" ht="12.95" customHeight="1">
      <c r="B41" s="45"/>
      <c r="F41" s="179"/>
      <c r="G41" s="198"/>
      <c r="N41" s="253"/>
      <c r="P41" s="214" t="str">
        <f t="shared" si="2"/>
        <v/>
      </c>
    </row>
    <row r="42" spans="1:16" ht="12.95" customHeight="1">
      <c r="B42" s="45"/>
      <c r="F42" s="179"/>
      <c r="G42" s="198"/>
      <c r="N42" s="253"/>
      <c r="P42" s="214" t="str">
        <f t="shared" si="2"/>
        <v/>
      </c>
    </row>
    <row r="43" spans="1:16" ht="12.95" customHeight="1">
      <c r="F43" s="179"/>
      <c r="G43" s="198"/>
      <c r="N43" s="253"/>
      <c r="P43" s="214" t="str">
        <f t="shared" si="2"/>
        <v/>
      </c>
    </row>
    <row r="44" spans="1:16" ht="12.95" customHeight="1">
      <c r="F44" s="179"/>
      <c r="G44" s="198"/>
      <c r="N44" s="253"/>
      <c r="P44" s="214" t="str">
        <f t="shared" si="2"/>
        <v/>
      </c>
    </row>
    <row r="45" spans="1:16" ht="12.95" customHeight="1">
      <c r="F45" s="179"/>
      <c r="G45" s="198"/>
      <c r="N45" s="253"/>
      <c r="P45" s="214" t="str">
        <f t="shared" si="2"/>
        <v/>
      </c>
    </row>
    <row r="46" spans="1:16" ht="12.95" customHeight="1">
      <c r="F46" s="179"/>
      <c r="G46" s="198"/>
      <c r="N46" s="253"/>
      <c r="P46" s="214" t="str">
        <f t="shared" si="2"/>
        <v/>
      </c>
    </row>
    <row r="47" spans="1:16" ht="12.95" customHeight="1">
      <c r="F47" s="179"/>
      <c r="G47" s="198"/>
      <c r="N47" s="253"/>
      <c r="P47" s="214" t="str">
        <f t="shared" si="2"/>
        <v/>
      </c>
    </row>
    <row r="48" spans="1:16" ht="12.95" customHeight="1">
      <c r="F48" s="179"/>
      <c r="G48" s="198"/>
      <c r="N48" s="253"/>
      <c r="P48" s="214" t="str">
        <f t="shared" si="2"/>
        <v/>
      </c>
    </row>
    <row r="49" spans="6:16" ht="12.95" customHeight="1">
      <c r="F49" s="179"/>
      <c r="G49" s="198"/>
      <c r="N49" s="253"/>
      <c r="P49" s="214" t="str">
        <f t="shared" si="2"/>
        <v/>
      </c>
    </row>
    <row r="50" spans="6:16" ht="12.95" customHeight="1">
      <c r="F50" s="179"/>
      <c r="G50" s="198"/>
      <c r="N50" s="253"/>
      <c r="P50" s="214" t="str">
        <f t="shared" si="2"/>
        <v/>
      </c>
    </row>
    <row r="51" spans="6:16" ht="12.95" customHeight="1">
      <c r="F51" s="179"/>
      <c r="G51" s="198"/>
      <c r="N51" s="253"/>
      <c r="P51" s="214" t="str">
        <f t="shared" si="2"/>
        <v/>
      </c>
    </row>
    <row r="52" spans="6:16" ht="12.95" customHeight="1">
      <c r="F52" s="179"/>
      <c r="G52" s="198"/>
      <c r="N52" s="253"/>
      <c r="P52" s="214" t="str">
        <f t="shared" si="2"/>
        <v/>
      </c>
    </row>
    <row r="53" spans="6:16" ht="12.95" customHeight="1">
      <c r="F53" s="179"/>
      <c r="G53" s="198"/>
      <c r="N53" s="253"/>
      <c r="P53" s="214" t="str">
        <f t="shared" si="2"/>
        <v/>
      </c>
    </row>
    <row r="54" spans="6:16" ht="12.95" customHeight="1">
      <c r="F54" s="179"/>
      <c r="G54" s="198"/>
      <c r="N54" s="253"/>
    </row>
    <row r="55" spans="6:16" ht="12.95" customHeight="1">
      <c r="F55" s="179"/>
      <c r="G55" s="198"/>
      <c r="N55" s="253"/>
    </row>
    <row r="56" spans="6:16" ht="12.95" customHeight="1">
      <c r="F56" s="179"/>
      <c r="G56" s="198"/>
      <c r="N56" s="253"/>
    </row>
    <row r="57" spans="6:16" ht="12.95" customHeight="1">
      <c r="F57" s="179"/>
      <c r="G57" s="198"/>
      <c r="N57" s="253"/>
    </row>
    <row r="58" spans="6:16" ht="12.95" customHeight="1">
      <c r="F58" s="179"/>
      <c r="G58" s="198"/>
      <c r="N58" s="253"/>
    </row>
    <row r="59" spans="6:16" ht="17.100000000000001" customHeight="1">
      <c r="F59" s="179"/>
      <c r="G59" s="198"/>
      <c r="N59" s="253"/>
    </row>
    <row r="60" spans="6:16" ht="14.25">
      <c r="F60" s="179"/>
      <c r="G60" s="198"/>
      <c r="N60" s="253"/>
    </row>
    <row r="61" spans="6:16" ht="14.25">
      <c r="F61" s="179"/>
      <c r="G61" s="198"/>
      <c r="N61" s="253"/>
    </row>
    <row r="62" spans="6:16" ht="14.25">
      <c r="F62" s="179"/>
      <c r="G62" s="198"/>
      <c r="N62" s="253"/>
    </row>
    <row r="63" spans="6:16" ht="14.25">
      <c r="F63" s="179"/>
      <c r="G63" s="198"/>
      <c r="N63" s="253"/>
    </row>
    <row r="64" spans="6:16" ht="14.25">
      <c r="F64" s="179"/>
      <c r="G64" s="198"/>
      <c r="N64" s="253"/>
    </row>
    <row r="65" spans="6:14" ht="14.25">
      <c r="F65" s="179"/>
      <c r="G65" s="198"/>
      <c r="N65" s="253"/>
    </row>
    <row r="66" spans="6:14" ht="14.25">
      <c r="F66" s="179"/>
      <c r="G66" s="198"/>
      <c r="N66" s="253"/>
    </row>
    <row r="67" spans="6:14" ht="14.25">
      <c r="F67" s="179"/>
      <c r="G67" s="198"/>
      <c r="N67" s="253"/>
    </row>
    <row r="68" spans="6:14" ht="14.25">
      <c r="F68" s="179"/>
      <c r="G68" s="198"/>
      <c r="N68" s="253"/>
    </row>
    <row r="69" spans="6:14" ht="14.25">
      <c r="F69" s="179"/>
      <c r="G69" s="198"/>
      <c r="N69" s="253"/>
    </row>
    <row r="70" spans="6:14" ht="14.25">
      <c r="F70" s="179"/>
      <c r="G70" s="198"/>
      <c r="N70" s="253"/>
    </row>
    <row r="71" spans="6:14" ht="14.25">
      <c r="F71" s="179"/>
      <c r="G71" s="198"/>
      <c r="N71" s="253"/>
    </row>
    <row r="72" spans="6:14" ht="14.25">
      <c r="F72" s="179"/>
      <c r="G72" s="198"/>
      <c r="N72" s="253"/>
    </row>
    <row r="73" spans="6:14" ht="14.25">
      <c r="F73" s="179"/>
      <c r="G73" s="179"/>
      <c r="N73" s="253"/>
    </row>
    <row r="74" spans="6:14" ht="14.25">
      <c r="F74" s="179"/>
      <c r="G74" s="179"/>
      <c r="N74" s="253"/>
    </row>
    <row r="75" spans="6:14" ht="14.25">
      <c r="F75" s="179"/>
      <c r="G75" s="179"/>
      <c r="N75" s="253"/>
    </row>
    <row r="76" spans="6:14" ht="14.25">
      <c r="F76" s="179"/>
      <c r="G76" s="179"/>
      <c r="N76" s="253"/>
    </row>
    <row r="77" spans="6:14" ht="14.25">
      <c r="F77" s="179"/>
      <c r="G77" s="179"/>
      <c r="N77" s="253"/>
    </row>
    <row r="78" spans="6:14" ht="14.25">
      <c r="F78" s="179"/>
      <c r="G78" s="179"/>
      <c r="N78" s="253"/>
    </row>
    <row r="79" spans="6:14" ht="14.25">
      <c r="F79" s="179"/>
      <c r="G79" s="179"/>
      <c r="N79" s="253"/>
    </row>
    <row r="80" spans="6:14" ht="14.25">
      <c r="F80" s="179"/>
      <c r="G80" s="179"/>
      <c r="N80" s="253"/>
    </row>
    <row r="81" spans="6:14" ht="14.25">
      <c r="F81" s="179"/>
      <c r="G81" s="179"/>
      <c r="N81" s="253"/>
    </row>
    <row r="82" spans="6:14" ht="14.25">
      <c r="F82" s="179"/>
      <c r="G82" s="179"/>
      <c r="N82" s="253"/>
    </row>
    <row r="83" spans="6:14" ht="14.25">
      <c r="F83" s="179"/>
      <c r="G83" s="179"/>
      <c r="N83" s="253"/>
    </row>
    <row r="84" spans="6:14" ht="14.25">
      <c r="F84" s="179"/>
      <c r="G84" s="179"/>
      <c r="N84" s="253"/>
    </row>
    <row r="85" spans="6:14" ht="14.25">
      <c r="F85" s="179"/>
      <c r="G85" s="179"/>
      <c r="N85" s="253"/>
    </row>
    <row r="86" spans="6:14" ht="14.25">
      <c r="F86" s="179"/>
      <c r="G86" s="179"/>
      <c r="N86" s="253"/>
    </row>
    <row r="87" spans="6:14" ht="14.25">
      <c r="F87" s="179"/>
      <c r="G87" s="179"/>
      <c r="N87" s="253"/>
    </row>
    <row r="88" spans="6:14" ht="14.25">
      <c r="F88" s="179"/>
      <c r="G88" s="179"/>
      <c r="N88" s="253"/>
    </row>
    <row r="89" spans="6:14" ht="14.25">
      <c r="F89" s="179"/>
      <c r="G89" s="179"/>
      <c r="N89" s="253"/>
    </row>
    <row r="90" spans="6:14">
      <c r="G90" s="179"/>
    </row>
    <row r="91" spans="6:14">
      <c r="G91" s="179"/>
    </row>
    <row r="92" spans="6:14">
      <c r="G92" s="179"/>
    </row>
    <row r="93" spans="6:14">
      <c r="G93" s="179"/>
    </row>
    <row r="94" spans="6:14">
      <c r="G94" s="179"/>
    </row>
    <row r="95" spans="6:14">
      <c r="G95" s="179"/>
    </row>
  </sheetData>
  <mergeCells count="15">
    <mergeCell ref="P4:P5"/>
    <mergeCell ref="B2:P2"/>
    <mergeCell ref="K4:K5"/>
    <mergeCell ref="O4:O5"/>
    <mergeCell ref="H4:H5"/>
    <mergeCell ref="H3:I3"/>
    <mergeCell ref="L4:N4"/>
    <mergeCell ref="B4:B5"/>
    <mergeCell ref="C4:C5"/>
    <mergeCell ref="D4:D5"/>
    <mergeCell ref="G4:G5"/>
    <mergeCell ref="F4:F5"/>
    <mergeCell ref="I4:I5"/>
    <mergeCell ref="J4:J5"/>
    <mergeCell ref="E4:E5"/>
  </mergeCells>
  <phoneticPr fontId="2" type="noConversion"/>
  <pageMargins left="0.78740157480314965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 codeName="Sheet26"/>
  <dimension ref="A1:R96"/>
  <sheetViews>
    <sheetView topLeftCell="A2" zoomScaleNormal="100" zoomScaleSheetLayoutView="100" workbookViewId="0">
      <selection activeCell="N32" sqref="N32"/>
    </sheetView>
  </sheetViews>
  <sheetFormatPr defaultColWidth="9.140625" defaultRowHeight="12.75"/>
  <cols>
    <col min="1" max="1" width="4.42578125" style="161" customWidth="1"/>
    <col min="2" max="2" width="4.7109375" style="9" customWidth="1"/>
    <col min="3" max="3" width="5.140625" style="9" customWidth="1"/>
    <col min="4" max="4" width="5" style="9" customWidth="1"/>
    <col min="5" max="5" width="5" style="161" customWidth="1"/>
    <col min="6" max="6" width="8.7109375" style="18" customWidth="1"/>
    <col min="7" max="7" width="8.7109375" style="166" customWidth="1"/>
    <col min="8" max="8" width="50.7109375" style="9" customWidth="1"/>
    <col min="9" max="10" width="14.7109375" style="51" customWidth="1"/>
    <col min="11" max="11" width="12.5703125" style="51" customWidth="1"/>
    <col min="12" max="13" width="14.7109375" style="51" customWidth="1"/>
    <col min="14" max="14" width="15.7109375" style="51" customWidth="1"/>
    <col min="15" max="16" width="7.7109375" style="214" customWidth="1"/>
    <col min="17" max="16384" width="9.140625" style="9"/>
  </cols>
  <sheetData>
    <row r="1" spans="1:18" ht="13.5" thickBot="1"/>
    <row r="2" spans="1:18" s="79" customFormat="1" ht="20.100000000000001" customHeight="1" thickTop="1" thickBot="1">
      <c r="A2" s="244"/>
      <c r="B2" s="1034" t="s">
        <v>650</v>
      </c>
      <c r="C2" s="1035"/>
      <c r="D2" s="1035"/>
      <c r="E2" s="1035"/>
      <c r="F2" s="1035"/>
      <c r="G2" s="1035"/>
      <c r="H2" s="1035"/>
      <c r="I2" s="1035"/>
      <c r="J2" s="1070"/>
      <c r="K2" s="1070"/>
      <c r="L2" s="1070"/>
      <c r="M2" s="1070"/>
      <c r="N2" s="1070"/>
      <c r="O2" s="1070"/>
      <c r="P2" s="1036"/>
      <c r="R2" s="244"/>
    </row>
    <row r="3" spans="1:18" s="1" customFormat="1" ht="8.1" customHeight="1" thickTop="1" thickBot="1">
      <c r="A3" s="158"/>
      <c r="E3" s="158"/>
      <c r="F3" s="2"/>
      <c r="G3" s="159"/>
      <c r="H3" s="1039"/>
      <c r="I3" s="1039"/>
      <c r="J3" s="139"/>
      <c r="K3" s="721"/>
      <c r="L3" s="74"/>
      <c r="M3" s="74"/>
      <c r="N3" s="74"/>
      <c r="O3" s="208"/>
      <c r="P3" s="208"/>
    </row>
    <row r="4" spans="1:18" s="1" customFormat="1" ht="39" customHeight="1">
      <c r="A4" s="158"/>
      <c r="B4" s="1043" t="s">
        <v>76</v>
      </c>
      <c r="C4" s="1045" t="s">
        <v>77</v>
      </c>
      <c r="D4" s="1047" t="s">
        <v>102</v>
      </c>
      <c r="E4" s="1062" t="s">
        <v>692</v>
      </c>
      <c r="F4" s="1058" t="s">
        <v>466</v>
      </c>
      <c r="G4" s="1048" t="s">
        <v>493</v>
      </c>
      <c r="H4" s="1050" t="s">
        <v>78</v>
      </c>
      <c r="I4" s="1059" t="s">
        <v>901</v>
      </c>
      <c r="J4" s="1068" t="s">
        <v>813</v>
      </c>
      <c r="K4" s="1037" t="s">
        <v>906</v>
      </c>
      <c r="L4" s="1040" t="s">
        <v>905</v>
      </c>
      <c r="M4" s="1041"/>
      <c r="N4" s="1042"/>
      <c r="O4" s="1054" t="s">
        <v>945</v>
      </c>
      <c r="P4" s="1032" t="s">
        <v>946</v>
      </c>
      <c r="R4" s="61"/>
    </row>
    <row r="5" spans="1:18" s="158" customFormat="1" ht="27" customHeight="1">
      <c r="B5" s="1044"/>
      <c r="C5" s="1046"/>
      <c r="D5" s="1046"/>
      <c r="E5" s="1049"/>
      <c r="F5" s="1051"/>
      <c r="G5" s="1049"/>
      <c r="H5" s="1051"/>
      <c r="I5" s="1051"/>
      <c r="J5" s="1051"/>
      <c r="K5" s="1038"/>
      <c r="L5" s="373" t="s">
        <v>526</v>
      </c>
      <c r="M5" s="242" t="s">
        <v>527</v>
      </c>
      <c r="N5" s="764" t="s">
        <v>319</v>
      </c>
      <c r="O5" s="1055"/>
      <c r="P5" s="1033"/>
    </row>
    <row r="6" spans="1:18" s="2" customFormat="1" ht="12.95" customHeight="1">
      <c r="A6" s="159"/>
      <c r="B6" s="328">
        <v>1</v>
      </c>
      <c r="C6" s="195">
        <v>2</v>
      </c>
      <c r="D6" s="195">
        <v>3</v>
      </c>
      <c r="E6" s="195">
        <v>4</v>
      </c>
      <c r="F6" s="195">
        <v>5</v>
      </c>
      <c r="G6" s="195">
        <v>6</v>
      </c>
      <c r="H6" s="195">
        <v>7</v>
      </c>
      <c r="I6" s="329">
        <v>8</v>
      </c>
      <c r="J6" s="195">
        <v>9</v>
      </c>
      <c r="K6" s="188">
        <v>10</v>
      </c>
      <c r="L6" s="328">
        <v>11</v>
      </c>
      <c r="M6" s="195">
        <v>12</v>
      </c>
      <c r="N6" s="810" t="s">
        <v>694</v>
      </c>
      <c r="O6" s="929" t="s">
        <v>814</v>
      </c>
      <c r="P6" s="930" t="s">
        <v>944</v>
      </c>
    </row>
    <row r="7" spans="1:18" s="2" customFormat="1" ht="12.95" customHeight="1">
      <c r="A7" s="159"/>
      <c r="B7" s="6" t="s">
        <v>126</v>
      </c>
      <c r="C7" s="7" t="s">
        <v>127</v>
      </c>
      <c r="D7" s="7" t="s">
        <v>80</v>
      </c>
      <c r="E7" s="415" t="s">
        <v>711</v>
      </c>
      <c r="F7" s="5"/>
      <c r="G7" s="160"/>
      <c r="H7" s="5"/>
      <c r="I7" s="378"/>
      <c r="J7" s="70"/>
      <c r="K7" s="726"/>
      <c r="L7" s="391"/>
      <c r="M7" s="70"/>
      <c r="N7" s="832"/>
      <c r="O7" s="951"/>
      <c r="P7" s="952"/>
    </row>
    <row r="8" spans="1:18" s="1" customFormat="1" ht="12.95" customHeight="1">
      <c r="A8" s="158"/>
      <c r="B8" s="12"/>
      <c r="C8" s="8"/>
      <c r="D8" s="8"/>
      <c r="E8" s="8"/>
      <c r="F8" s="176">
        <v>611000</v>
      </c>
      <c r="G8" s="195"/>
      <c r="H8" s="25" t="s">
        <v>140</v>
      </c>
      <c r="I8" s="236">
        <f t="shared" ref="I8:N8" si="0">SUM(I9:I12)</f>
        <v>1360450</v>
      </c>
      <c r="J8" s="236">
        <f t="shared" si="0"/>
        <v>1360450</v>
      </c>
      <c r="K8" s="226">
        <f t="shared" si="0"/>
        <v>1154687</v>
      </c>
      <c r="L8" s="482">
        <f t="shared" si="0"/>
        <v>1357932</v>
      </c>
      <c r="M8" s="236">
        <f t="shared" si="0"/>
        <v>0</v>
      </c>
      <c r="N8" s="812">
        <f t="shared" si="0"/>
        <v>1357932</v>
      </c>
      <c r="O8" s="953">
        <f t="shared" ref="O8:O31" si="1">IF(J8=0,"",N8/J8*100)</f>
        <v>99.814914182807158</v>
      </c>
      <c r="P8" s="954">
        <f>IF(K8=0,"",N8/K8*100)</f>
        <v>117.60173969222829</v>
      </c>
    </row>
    <row r="9" spans="1:18" ht="12.95" customHeight="1">
      <c r="B9" s="10"/>
      <c r="C9" s="11"/>
      <c r="D9" s="11"/>
      <c r="E9" s="163"/>
      <c r="F9" s="177">
        <v>611100</v>
      </c>
      <c r="G9" s="196"/>
      <c r="H9" s="428" t="s">
        <v>161</v>
      </c>
      <c r="I9" s="237">
        <f>1097930+5000+500</f>
        <v>1103430</v>
      </c>
      <c r="J9" s="237">
        <f>1097930+5000+500</f>
        <v>1103430</v>
      </c>
      <c r="K9" s="224">
        <v>967915</v>
      </c>
      <c r="L9" s="360">
        <v>1102176</v>
      </c>
      <c r="M9" s="237">
        <v>0</v>
      </c>
      <c r="N9" s="813">
        <f>SUM(L9:M9)</f>
        <v>1102176</v>
      </c>
      <c r="O9" s="955">
        <f t="shared" si="1"/>
        <v>99.886354367744218</v>
      </c>
      <c r="P9" s="956">
        <f t="shared" ref="P9:P53" si="2">IF(K9=0,"",N9/K9*100)</f>
        <v>113.87115604159457</v>
      </c>
      <c r="Q9" s="58"/>
    </row>
    <row r="10" spans="1:18" ht="12.95" customHeight="1">
      <c r="B10" s="10"/>
      <c r="C10" s="11"/>
      <c r="D10" s="11"/>
      <c r="E10" s="163"/>
      <c r="F10" s="177">
        <v>611200</v>
      </c>
      <c r="G10" s="196"/>
      <c r="H10" s="24" t="s">
        <v>162</v>
      </c>
      <c r="I10" s="237">
        <f>217970+1500+1150+52*700</f>
        <v>257020</v>
      </c>
      <c r="J10" s="237">
        <f>217970+1500+1150+52*700</f>
        <v>257020</v>
      </c>
      <c r="K10" s="224">
        <v>186772</v>
      </c>
      <c r="L10" s="360">
        <v>255756</v>
      </c>
      <c r="M10" s="237">
        <v>0</v>
      </c>
      <c r="N10" s="813">
        <f t="shared" ref="N10:N11" si="3">SUM(L10:M10)</f>
        <v>255756</v>
      </c>
      <c r="O10" s="955">
        <f t="shared" si="1"/>
        <v>99.508209477861641</v>
      </c>
      <c r="P10" s="956">
        <f t="shared" si="2"/>
        <v>136.93487246482343</v>
      </c>
    </row>
    <row r="11" spans="1:18" ht="12.95" customHeight="1">
      <c r="B11" s="10"/>
      <c r="C11" s="11"/>
      <c r="D11" s="11"/>
      <c r="E11" s="163"/>
      <c r="F11" s="177">
        <v>611200</v>
      </c>
      <c r="G11" s="196"/>
      <c r="H11" s="435" t="s">
        <v>434</v>
      </c>
      <c r="I11" s="235">
        <v>0</v>
      </c>
      <c r="J11" s="235">
        <v>0</v>
      </c>
      <c r="K11" s="225">
        <v>0</v>
      </c>
      <c r="L11" s="357">
        <v>0</v>
      </c>
      <c r="M11" s="235">
        <v>0</v>
      </c>
      <c r="N11" s="813">
        <f t="shared" si="3"/>
        <v>0</v>
      </c>
      <c r="O11" s="955" t="str">
        <f t="shared" si="1"/>
        <v/>
      </c>
      <c r="P11" s="956" t="str">
        <f t="shared" si="2"/>
        <v/>
      </c>
      <c r="R11" s="50"/>
    </row>
    <row r="12" spans="1:18" ht="12.95" customHeight="1">
      <c r="B12" s="10"/>
      <c r="C12" s="11"/>
      <c r="D12" s="11"/>
      <c r="E12" s="163"/>
      <c r="F12" s="177"/>
      <c r="G12" s="196"/>
      <c r="H12" s="428"/>
      <c r="I12" s="237"/>
      <c r="J12" s="237"/>
      <c r="K12" s="224"/>
      <c r="L12" s="360"/>
      <c r="M12" s="237"/>
      <c r="N12" s="813"/>
      <c r="O12" s="955" t="str">
        <f t="shared" si="1"/>
        <v/>
      </c>
      <c r="P12" s="956" t="str">
        <f t="shared" si="2"/>
        <v/>
      </c>
    </row>
    <row r="13" spans="1:18" s="1" customFormat="1" ht="12.95" customHeight="1">
      <c r="A13" s="158"/>
      <c r="B13" s="12"/>
      <c r="C13" s="8"/>
      <c r="D13" s="8"/>
      <c r="E13" s="8"/>
      <c r="F13" s="176">
        <v>612000</v>
      </c>
      <c r="G13" s="195"/>
      <c r="H13" s="25" t="s">
        <v>139</v>
      </c>
      <c r="I13" s="236">
        <f t="shared" ref="I13:N13" si="4">I14</f>
        <v>119300</v>
      </c>
      <c r="J13" s="236">
        <f t="shared" si="4"/>
        <v>119300</v>
      </c>
      <c r="K13" s="226">
        <f t="shared" si="4"/>
        <v>102074</v>
      </c>
      <c r="L13" s="482">
        <f t="shared" si="4"/>
        <v>118733</v>
      </c>
      <c r="M13" s="236">
        <f t="shared" si="4"/>
        <v>0</v>
      </c>
      <c r="N13" s="812">
        <f t="shared" si="4"/>
        <v>118733</v>
      </c>
      <c r="O13" s="953">
        <f t="shared" si="1"/>
        <v>99.524727577535614</v>
      </c>
      <c r="P13" s="954">
        <f t="shared" si="2"/>
        <v>116.32051256931246</v>
      </c>
    </row>
    <row r="14" spans="1:18" ht="12.95" customHeight="1">
      <c r="B14" s="10"/>
      <c r="C14" s="11"/>
      <c r="D14" s="11"/>
      <c r="E14" s="163"/>
      <c r="F14" s="177">
        <v>612100</v>
      </c>
      <c r="G14" s="196"/>
      <c r="H14" s="430" t="s">
        <v>81</v>
      </c>
      <c r="I14" s="237">
        <f>118320+800+180</f>
        <v>119300</v>
      </c>
      <c r="J14" s="237">
        <f>118320+800+180</f>
        <v>119300</v>
      </c>
      <c r="K14" s="224">
        <v>102074</v>
      </c>
      <c r="L14" s="360">
        <v>118733</v>
      </c>
      <c r="M14" s="237">
        <v>0</v>
      </c>
      <c r="N14" s="813">
        <f>SUM(L14:M14)</f>
        <v>118733</v>
      </c>
      <c r="O14" s="955">
        <f t="shared" si="1"/>
        <v>99.524727577535614</v>
      </c>
      <c r="P14" s="956">
        <f t="shared" si="2"/>
        <v>116.32051256931246</v>
      </c>
    </row>
    <row r="15" spans="1:18" ht="12.95" customHeight="1">
      <c r="B15" s="10"/>
      <c r="C15" s="11"/>
      <c r="D15" s="11"/>
      <c r="E15" s="163"/>
      <c r="F15" s="177"/>
      <c r="G15" s="196"/>
      <c r="H15" s="24"/>
      <c r="I15" s="233"/>
      <c r="J15" s="233"/>
      <c r="K15" s="222"/>
      <c r="L15" s="359"/>
      <c r="M15" s="233"/>
      <c r="N15" s="776"/>
      <c r="O15" s="955" t="str">
        <f t="shared" si="1"/>
        <v/>
      </c>
      <c r="P15" s="956" t="str">
        <f t="shared" si="2"/>
        <v/>
      </c>
    </row>
    <row r="16" spans="1:18" s="1" customFormat="1" ht="12.95" customHeight="1">
      <c r="A16" s="158"/>
      <c r="B16" s="12"/>
      <c r="C16" s="8"/>
      <c r="D16" s="8"/>
      <c r="E16" s="8"/>
      <c r="F16" s="176">
        <v>613000</v>
      </c>
      <c r="G16" s="195"/>
      <c r="H16" s="25" t="s">
        <v>141</v>
      </c>
      <c r="I16" s="234">
        <f t="shared" ref="I16:N16" si="5">SUM(I17:I26)</f>
        <v>150800</v>
      </c>
      <c r="J16" s="234">
        <f t="shared" si="5"/>
        <v>150800</v>
      </c>
      <c r="K16" s="221">
        <f t="shared" si="5"/>
        <v>85430</v>
      </c>
      <c r="L16" s="483">
        <f t="shared" si="5"/>
        <v>131922</v>
      </c>
      <c r="M16" s="234">
        <f t="shared" si="5"/>
        <v>0</v>
      </c>
      <c r="N16" s="774">
        <f t="shared" si="5"/>
        <v>131922</v>
      </c>
      <c r="O16" s="953">
        <f t="shared" si="1"/>
        <v>87.481432360742701</v>
      </c>
      <c r="P16" s="954">
        <f t="shared" si="2"/>
        <v>154.42116352569354</v>
      </c>
    </row>
    <row r="17" spans="1:17" ht="12.95" customHeight="1">
      <c r="B17" s="10"/>
      <c r="C17" s="11"/>
      <c r="D17" s="11"/>
      <c r="E17" s="163"/>
      <c r="F17" s="177">
        <v>613100</v>
      </c>
      <c r="G17" s="196"/>
      <c r="H17" s="24" t="s">
        <v>82</v>
      </c>
      <c r="I17" s="237">
        <v>5000</v>
      </c>
      <c r="J17" s="237">
        <v>5000</v>
      </c>
      <c r="K17" s="224">
        <v>863</v>
      </c>
      <c r="L17" s="360">
        <v>3731</v>
      </c>
      <c r="M17" s="237">
        <v>0</v>
      </c>
      <c r="N17" s="813">
        <f t="shared" ref="N17:N26" si="6">SUM(L17:M17)</f>
        <v>3731</v>
      </c>
      <c r="O17" s="955">
        <f t="shared" si="1"/>
        <v>74.62</v>
      </c>
      <c r="P17" s="956">
        <f t="shared" si="2"/>
        <v>432.32908458864426</v>
      </c>
    </row>
    <row r="18" spans="1:17" ht="12.95" customHeight="1">
      <c r="B18" s="10"/>
      <c r="C18" s="11"/>
      <c r="D18" s="11"/>
      <c r="E18" s="163"/>
      <c r="F18" s="177">
        <v>613200</v>
      </c>
      <c r="G18" s="196"/>
      <c r="H18" s="24" t="s">
        <v>83</v>
      </c>
      <c r="I18" s="237">
        <v>55000</v>
      </c>
      <c r="J18" s="237">
        <v>55000</v>
      </c>
      <c r="K18" s="224">
        <v>34959</v>
      </c>
      <c r="L18" s="360">
        <v>47502</v>
      </c>
      <c r="M18" s="237">
        <v>0</v>
      </c>
      <c r="N18" s="813">
        <f t="shared" si="6"/>
        <v>47502</v>
      </c>
      <c r="O18" s="955">
        <f t="shared" si="1"/>
        <v>86.36727272727272</v>
      </c>
      <c r="P18" s="956">
        <f t="shared" si="2"/>
        <v>135.87917274521581</v>
      </c>
    </row>
    <row r="19" spans="1:17" ht="12.95" customHeight="1">
      <c r="B19" s="10"/>
      <c r="C19" s="11"/>
      <c r="D19" s="11"/>
      <c r="E19" s="163"/>
      <c r="F19" s="177">
        <v>613300</v>
      </c>
      <c r="G19" s="196"/>
      <c r="H19" s="428" t="s">
        <v>163</v>
      </c>
      <c r="I19" s="237">
        <v>7000</v>
      </c>
      <c r="J19" s="237">
        <v>7000</v>
      </c>
      <c r="K19" s="224">
        <v>5858</v>
      </c>
      <c r="L19" s="360">
        <v>6148</v>
      </c>
      <c r="M19" s="237">
        <v>0</v>
      </c>
      <c r="N19" s="813">
        <f t="shared" si="6"/>
        <v>6148</v>
      </c>
      <c r="O19" s="955">
        <f t="shared" si="1"/>
        <v>87.828571428571436</v>
      </c>
      <c r="P19" s="956">
        <f t="shared" si="2"/>
        <v>104.95049504950495</v>
      </c>
    </row>
    <row r="20" spans="1:17" ht="12.95" customHeight="1">
      <c r="B20" s="10"/>
      <c r="C20" s="11"/>
      <c r="D20" s="11"/>
      <c r="E20" s="163"/>
      <c r="F20" s="177">
        <v>613400</v>
      </c>
      <c r="G20" s="196"/>
      <c r="H20" s="24" t="s">
        <v>142</v>
      </c>
      <c r="I20" s="237">
        <v>15000</v>
      </c>
      <c r="J20" s="237">
        <v>15000</v>
      </c>
      <c r="K20" s="224">
        <v>12504</v>
      </c>
      <c r="L20" s="360">
        <v>11507</v>
      </c>
      <c r="M20" s="237">
        <v>0</v>
      </c>
      <c r="N20" s="813">
        <f t="shared" si="6"/>
        <v>11507</v>
      </c>
      <c r="O20" s="955">
        <f t="shared" si="1"/>
        <v>76.713333333333338</v>
      </c>
      <c r="P20" s="956">
        <f t="shared" si="2"/>
        <v>92.026551503518874</v>
      </c>
    </row>
    <row r="21" spans="1:17" ht="12.95" customHeight="1">
      <c r="B21" s="10"/>
      <c r="C21" s="11"/>
      <c r="D21" s="11"/>
      <c r="E21" s="163"/>
      <c r="F21" s="177">
        <v>613500</v>
      </c>
      <c r="G21" s="196"/>
      <c r="H21" s="24" t="s">
        <v>84</v>
      </c>
      <c r="I21" s="237">
        <v>500</v>
      </c>
      <c r="J21" s="237">
        <v>500</v>
      </c>
      <c r="K21" s="224">
        <v>142</v>
      </c>
      <c r="L21" s="360">
        <v>116</v>
      </c>
      <c r="M21" s="237">
        <v>0</v>
      </c>
      <c r="N21" s="813">
        <f t="shared" si="6"/>
        <v>116</v>
      </c>
      <c r="O21" s="955">
        <f t="shared" si="1"/>
        <v>23.200000000000003</v>
      </c>
      <c r="P21" s="956">
        <f t="shared" si="2"/>
        <v>81.690140845070431</v>
      </c>
    </row>
    <row r="22" spans="1:17" ht="12.95" customHeight="1">
      <c r="B22" s="10"/>
      <c r="C22" s="11"/>
      <c r="D22" s="11"/>
      <c r="E22" s="163"/>
      <c r="F22" s="177">
        <v>613600</v>
      </c>
      <c r="G22" s="196"/>
      <c r="H22" s="428" t="s">
        <v>164</v>
      </c>
      <c r="I22" s="237">
        <v>0</v>
      </c>
      <c r="J22" s="237">
        <v>0</v>
      </c>
      <c r="K22" s="224">
        <v>0</v>
      </c>
      <c r="L22" s="360">
        <v>0</v>
      </c>
      <c r="M22" s="237">
        <v>0</v>
      </c>
      <c r="N22" s="813">
        <f t="shared" si="6"/>
        <v>0</v>
      </c>
      <c r="O22" s="955" t="str">
        <f t="shared" si="1"/>
        <v/>
      </c>
      <c r="P22" s="956" t="str">
        <f t="shared" si="2"/>
        <v/>
      </c>
    </row>
    <row r="23" spans="1:17" ht="12.95" customHeight="1">
      <c r="B23" s="10"/>
      <c r="C23" s="11"/>
      <c r="D23" s="11"/>
      <c r="E23" s="163"/>
      <c r="F23" s="177">
        <v>613700</v>
      </c>
      <c r="G23" s="196"/>
      <c r="H23" s="24" t="s">
        <v>85</v>
      </c>
      <c r="I23" s="237">
        <v>7000</v>
      </c>
      <c r="J23" s="237">
        <v>7000</v>
      </c>
      <c r="K23" s="224">
        <v>5517</v>
      </c>
      <c r="L23" s="360">
        <v>6347</v>
      </c>
      <c r="M23" s="237">
        <v>0</v>
      </c>
      <c r="N23" s="813">
        <f t="shared" si="6"/>
        <v>6347</v>
      </c>
      <c r="O23" s="955">
        <f t="shared" si="1"/>
        <v>90.671428571428564</v>
      </c>
      <c r="P23" s="956">
        <f t="shared" si="2"/>
        <v>115.04440819285844</v>
      </c>
    </row>
    <row r="24" spans="1:17" ht="12.95" customHeight="1">
      <c r="B24" s="10"/>
      <c r="C24" s="11"/>
      <c r="D24" s="11"/>
      <c r="E24" s="163"/>
      <c r="F24" s="177">
        <v>613800</v>
      </c>
      <c r="G24" s="196"/>
      <c r="H24" s="24" t="s">
        <v>143</v>
      </c>
      <c r="I24" s="237">
        <v>1300</v>
      </c>
      <c r="J24" s="237">
        <v>1300</v>
      </c>
      <c r="K24" s="224">
        <v>0</v>
      </c>
      <c r="L24" s="360">
        <v>864</v>
      </c>
      <c r="M24" s="237">
        <v>0</v>
      </c>
      <c r="N24" s="813">
        <f t="shared" si="6"/>
        <v>864</v>
      </c>
      <c r="O24" s="955">
        <f t="shared" si="1"/>
        <v>66.461538461538467</v>
      </c>
      <c r="P24" s="956" t="str">
        <f t="shared" si="2"/>
        <v/>
      </c>
    </row>
    <row r="25" spans="1:17" ht="12.95" customHeight="1">
      <c r="B25" s="10"/>
      <c r="C25" s="11"/>
      <c r="D25" s="11"/>
      <c r="E25" s="163"/>
      <c r="F25" s="177">
        <v>613900</v>
      </c>
      <c r="G25" s="196"/>
      <c r="H25" s="24" t="s">
        <v>144</v>
      </c>
      <c r="I25" s="237">
        <v>60000</v>
      </c>
      <c r="J25" s="237">
        <v>60000</v>
      </c>
      <c r="K25" s="224">
        <v>25587</v>
      </c>
      <c r="L25" s="360">
        <v>55707</v>
      </c>
      <c r="M25" s="237">
        <v>0</v>
      </c>
      <c r="N25" s="813">
        <f t="shared" si="6"/>
        <v>55707</v>
      </c>
      <c r="O25" s="955">
        <f t="shared" si="1"/>
        <v>92.844999999999999</v>
      </c>
      <c r="P25" s="956">
        <f t="shared" si="2"/>
        <v>217.71602767030132</v>
      </c>
    </row>
    <row r="26" spans="1:17" ht="12.95" customHeight="1">
      <c r="B26" s="10"/>
      <c r="C26" s="11"/>
      <c r="D26" s="11"/>
      <c r="E26" s="163"/>
      <c r="F26" s="177">
        <v>613900</v>
      </c>
      <c r="G26" s="196"/>
      <c r="H26" s="435" t="s">
        <v>435</v>
      </c>
      <c r="I26" s="237">
        <v>0</v>
      </c>
      <c r="J26" s="237">
        <v>0</v>
      </c>
      <c r="K26" s="224">
        <v>0</v>
      </c>
      <c r="L26" s="360">
        <v>0</v>
      </c>
      <c r="M26" s="237">
        <v>0</v>
      </c>
      <c r="N26" s="813">
        <f t="shared" si="6"/>
        <v>0</v>
      </c>
      <c r="O26" s="955" t="str">
        <f t="shared" si="1"/>
        <v/>
      </c>
      <c r="P26" s="956" t="str">
        <f t="shared" si="2"/>
        <v/>
      </c>
    </row>
    <row r="27" spans="1:17" s="1" customFormat="1" ht="12.95" customHeight="1">
      <c r="A27" s="158"/>
      <c r="B27" s="12"/>
      <c r="C27" s="8"/>
      <c r="D27" s="8"/>
      <c r="E27" s="8"/>
      <c r="F27" s="176"/>
      <c r="G27" s="195"/>
      <c r="H27" s="25"/>
      <c r="I27" s="237"/>
      <c r="J27" s="237"/>
      <c r="K27" s="224"/>
      <c r="L27" s="360"/>
      <c r="M27" s="237"/>
      <c r="N27" s="834"/>
      <c r="O27" s="955" t="str">
        <f t="shared" si="1"/>
        <v/>
      </c>
      <c r="P27" s="956" t="str">
        <f t="shared" si="2"/>
        <v/>
      </c>
    </row>
    <row r="28" spans="1:17" s="1" customFormat="1" ht="12.95" customHeight="1">
      <c r="A28" s="158"/>
      <c r="B28" s="12"/>
      <c r="C28" s="8"/>
      <c r="D28" s="8"/>
      <c r="E28" s="8"/>
      <c r="F28" s="176">
        <v>821000</v>
      </c>
      <c r="G28" s="195"/>
      <c r="H28" s="25" t="s">
        <v>88</v>
      </c>
      <c r="I28" s="236">
        <f t="shared" ref="I28:N28" si="7">SUM(I29:I30)</f>
        <v>20000</v>
      </c>
      <c r="J28" s="236">
        <f t="shared" si="7"/>
        <v>20000</v>
      </c>
      <c r="K28" s="226">
        <f t="shared" si="7"/>
        <v>19781</v>
      </c>
      <c r="L28" s="482">
        <f t="shared" si="7"/>
        <v>14574</v>
      </c>
      <c r="M28" s="236">
        <f t="shared" si="7"/>
        <v>0</v>
      </c>
      <c r="N28" s="774">
        <f t="shared" si="7"/>
        <v>14574</v>
      </c>
      <c r="O28" s="953">
        <f t="shared" si="1"/>
        <v>72.87</v>
      </c>
      <c r="P28" s="954">
        <f t="shared" si="2"/>
        <v>73.67676052777918</v>
      </c>
    </row>
    <row r="29" spans="1:17" ht="12.95" customHeight="1">
      <c r="B29" s="10"/>
      <c r="C29" s="11"/>
      <c r="D29" s="11"/>
      <c r="E29" s="163"/>
      <c r="F29" s="177">
        <v>821200</v>
      </c>
      <c r="G29" s="196"/>
      <c r="H29" s="24" t="s">
        <v>89</v>
      </c>
      <c r="I29" s="237">
        <v>10000</v>
      </c>
      <c r="J29" s="237">
        <v>10000</v>
      </c>
      <c r="K29" s="224">
        <v>7011</v>
      </c>
      <c r="L29" s="360">
        <v>4868</v>
      </c>
      <c r="M29" s="237">
        <v>0</v>
      </c>
      <c r="N29" s="813">
        <f t="shared" ref="N29:N30" si="8">SUM(L29:M29)</f>
        <v>4868</v>
      </c>
      <c r="O29" s="955">
        <f t="shared" si="1"/>
        <v>48.68</v>
      </c>
      <c r="P29" s="956">
        <f t="shared" si="2"/>
        <v>69.433746969048642</v>
      </c>
      <c r="Q29" s="401"/>
    </row>
    <row r="30" spans="1:17" ht="12.95" customHeight="1">
      <c r="B30" s="10"/>
      <c r="C30" s="11"/>
      <c r="D30" s="11"/>
      <c r="E30" s="163"/>
      <c r="F30" s="177">
        <v>821300</v>
      </c>
      <c r="G30" s="196"/>
      <c r="H30" s="24" t="s">
        <v>90</v>
      </c>
      <c r="I30" s="237">
        <v>10000</v>
      </c>
      <c r="J30" s="237">
        <v>10000</v>
      </c>
      <c r="K30" s="224">
        <v>12770</v>
      </c>
      <c r="L30" s="360">
        <v>9706</v>
      </c>
      <c r="M30" s="237"/>
      <c r="N30" s="813">
        <f t="shared" si="8"/>
        <v>9706</v>
      </c>
      <c r="O30" s="955">
        <f t="shared" si="1"/>
        <v>97.06</v>
      </c>
      <c r="P30" s="956">
        <f t="shared" si="2"/>
        <v>76.006264682850428</v>
      </c>
    </row>
    <row r="31" spans="1:17" ht="12.95" customHeight="1">
      <c r="B31" s="10"/>
      <c r="C31" s="11"/>
      <c r="D31" s="11"/>
      <c r="E31" s="163"/>
      <c r="F31" s="177"/>
      <c r="G31" s="196"/>
      <c r="H31" s="24"/>
      <c r="I31" s="237"/>
      <c r="J31" s="237"/>
      <c r="K31" s="224"/>
      <c r="L31" s="360"/>
      <c r="M31" s="237"/>
      <c r="N31" s="776"/>
      <c r="O31" s="955" t="str">
        <f t="shared" si="1"/>
        <v/>
      </c>
      <c r="P31" s="956" t="str">
        <f t="shared" si="2"/>
        <v/>
      </c>
    </row>
    <row r="32" spans="1:17" s="1" customFormat="1" ht="12.95" customHeight="1">
      <c r="A32" s="158"/>
      <c r="B32" s="12"/>
      <c r="C32" s="8"/>
      <c r="D32" s="8"/>
      <c r="E32" s="8"/>
      <c r="F32" s="176"/>
      <c r="G32" s="195"/>
      <c r="H32" s="25" t="s">
        <v>91</v>
      </c>
      <c r="I32" s="377" t="s">
        <v>892</v>
      </c>
      <c r="J32" s="377" t="s">
        <v>892</v>
      </c>
      <c r="K32" s="486" t="s">
        <v>933</v>
      </c>
      <c r="L32" s="485">
        <v>52</v>
      </c>
      <c r="M32" s="394"/>
      <c r="N32" s="767">
        <v>52</v>
      </c>
      <c r="O32" s="955"/>
      <c r="P32" s="956"/>
    </row>
    <row r="33" spans="1:16" s="1" customFormat="1" ht="12.95" customHeight="1">
      <c r="A33" s="158"/>
      <c r="B33" s="12"/>
      <c r="C33" s="8"/>
      <c r="D33" s="8"/>
      <c r="E33" s="8"/>
      <c r="F33" s="176"/>
      <c r="G33" s="195"/>
      <c r="H33" s="8" t="s">
        <v>105</v>
      </c>
      <c r="I33" s="367">
        <f t="shared" ref="I33:K33" si="9">I8+I13+I16+I28</f>
        <v>1650550</v>
      </c>
      <c r="J33" s="165">
        <f t="shared" si="9"/>
        <v>1650550</v>
      </c>
      <c r="K33" s="153">
        <f t="shared" si="9"/>
        <v>1361972</v>
      </c>
      <c r="L33" s="370">
        <f>L8+L13+L16+L28</f>
        <v>1623161</v>
      </c>
      <c r="M33" s="165">
        <f>M8+M13+M16+M28</f>
        <v>0</v>
      </c>
      <c r="N33" s="774">
        <f>N8+N13+N16+N28</f>
        <v>1623161</v>
      </c>
      <c r="O33" s="953">
        <f>IF(J33=0,"",N33/J33*100)</f>
        <v>98.340613734815662</v>
      </c>
      <c r="P33" s="954">
        <f t="shared" si="2"/>
        <v>119.17726649299692</v>
      </c>
    </row>
    <row r="34" spans="1:16" s="1" customFormat="1" ht="12.95" customHeight="1">
      <c r="A34" s="158"/>
      <c r="B34" s="12"/>
      <c r="C34" s="8"/>
      <c r="D34" s="8"/>
      <c r="E34" s="8"/>
      <c r="F34" s="176"/>
      <c r="G34" s="195"/>
      <c r="H34" s="8" t="s">
        <v>92</v>
      </c>
      <c r="I34" s="367"/>
      <c r="J34" s="165"/>
      <c r="K34" s="153"/>
      <c r="L34" s="370"/>
      <c r="M34" s="165"/>
      <c r="N34" s="774"/>
      <c r="O34" s="955" t="str">
        <f>IF(J34=0,"",N34/J34*100)</f>
        <v/>
      </c>
      <c r="P34" s="956" t="str">
        <f t="shared" si="2"/>
        <v/>
      </c>
    </row>
    <row r="35" spans="1:16" s="1" customFormat="1" ht="12.95" customHeight="1">
      <c r="A35" s="158"/>
      <c r="B35" s="12"/>
      <c r="C35" s="8"/>
      <c r="D35" s="8"/>
      <c r="E35" s="8"/>
      <c r="F35" s="176"/>
      <c r="G35" s="195"/>
      <c r="H35" s="8" t="s">
        <v>93</v>
      </c>
      <c r="I35" s="29"/>
      <c r="J35" s="29"/>
      <c r="K35" s="148"/>
      <c r="L35" s="369"/>
      <c r="M35" s="156"/>
      <c r="N35" s="776"/>
      <c r="O35" s="955" t="str">
        <f>IF(J35=0,"",N35/J35*100)</f>
        <v/>
      </c>
      <c r="P35" s="956" t="str">
        <f t="shared" si="2"/>
        <v/>
      </c>
    </row>
    <row r="36" spans="1:16" ht="12.95" customHeight="1" thickBot="1">
      <c r="B36" s="16"/>
      <c r="C36" s="17"/>
      <c r="D36" s="17"/>
      <c r="E36" s="17"/>
      <c r="F36" s="178"/>
      <c r="G36" s="197"/>
      <c r="H36" s="17"/>
      <c r="I36" s="31"/>
      <c r="J36" s="31"/>
      <c r="K36" s="725"/>
      <c r="L36" s="371"/>
      <c r="M36" s="31"/>
      <c r="N36" s="814"/>
      <c r="O36" s="957"/>
      <c r="P36" s="958" t="str">
        <f t="shared" si="2"/>
        <v/>
      </c>
    </row>
    <row r="37" spans="1:16" ht="12.95" customHeight="1">
      <c r="F37" s="179"/>
      <c r="G37" s="198"/>
      <c r="L37" s="864"/>
      <c r="N37" s="254"/>
      <c r="P37" s="214" t="str">
        <f t="shared" si="2"/>
        <v/>
      </c>
    </row>
    <row r="38" spans="1:16" ht="12.95" customHeight="1">
      <c r="F38" s="179"/>
      <c r="G38" s="198"/>
      <c r="N38" s="254"/>
      <c r="P38" s="214" t="str">
        <f t="shared" si="2"/>
        <v/>
      </c>
    </row>
    <row r="39" spans="1:16" ht="12.95" customHeight="1">
      <c r="B39" s="45"/>
      <c r="F39" s="179"/>
      <c r="G39" s="198"/>
      <c r="N39" s="254"/>
      <c r="P39" s="214" t="str">
        <f t="shared" si="2"/>
        <v/>
      </c>
    </row>
    <row r="40" spans="1:16" ht="12.95" customHeight="1">
      <c r="B40" s="45"/>
      <c r="F40" s="179"/>
      <c r="G40" s="198"/>
      <c r="N40" s="254"/>
      <c r="P40" s="214" t="str">
        <f t="shared" si="2"/>
        <v/>
      </c>
    </row>
    <row r="41" spans="1:16" ht="12.95" customHeight="1">
      <c r="B41" s="45"/>
      <c r="F41" s="179"/>
      <c r="G41" s="198"/>
      <c r="N41" s="254"/>
      <c r="P41" s="214" t="str">
        <f t="shared" si="2"/>
        <v/>
      </c>
    </row>
    <row r="42" spans="1:16" ht="12.95" customHeight="1">
      <c r="B42" s="45"/>
      <c r="F42" s="179"/>
      <c r="G42" s="198"/>
      <c r="N42" s="254"/>
      <c r="P42" s="214" t="str">
        <f t="shared" si="2"/>
        <v/>
      </c>
    </row>
    <row r="43" spans="1:16" ht="12.95" customHeight="1">
      <c r="B43" s="45"/>
      <c r="F43" s="179"/>
      <c r="G43" s="198"/>
      <c r="N43" s="254"/>
      <c r="P43" s="214" t="str">
        <f t="shared" si="2"/>
        <v/>
      </c>
    </row>
    <row r="44" spans="1:16" ht="12.95" customHeight="1">
      <c r="B44" s="45"/>
      <c r="F44" s="179"/>
      <c r="G44" s="198"/>
      <c r="N44" s="254"/>
      <c r="P44" s="214" t="str">
        <f t="shared" si="2"/>
        <v/>
      </c>
    </row>
    <row r="45" spans="1:16" ht="12.95" customHeight="1">
      <c r="B45" s="45"/>
      <c r="F45" s="179"/>
      <c r="G45" s="198"/>
      <c r="N45" s="254"/>
      <c r="P45" s="214" t="str">
        <f t="shared" si="2"/>
        <v/>
      </c>
    </row>
    <row r="46" spans="1:16" ht="12.95" customHeight="1">
      <c r="F46" s="179"/>
      <c r="G46" s="198"/>
      <c r="N46" s="254"/>
      <c r="P46" s="214" t="str">
        <f t="shared" si="2"/>
        <v/>
      </c>
    </row>
    <row r="47" spans="1:16" ht="12.95" customHeight="1">
      <c r="F47" s="179"/>
      <c r="G47" s="198"/>
      <c r="N47" s="254"/>
      <c r="P47" s="214" t="str">
        <f t="shared" si="2"/>
        <v/>
      </c>
    </row>
    <row r="48" spans="1:16" ht="12.95" customHeight="1">
      <c r="F48" s="179"/>
      <c r="G48" s="198"/>
      <c r="N48" s="254"/>
      <c r="P48" s="214" t="str">
        <f t="shared" si="2"/>
        <v/>
      </c>
    </row>
    <row r="49" spans="6:16" ht="12.95" customHeight="1">
      <c r="F49" s="179"/>
      <c r="G49" s="198"/>
      <c r="N49" s="254"/>
      <c r="P49" s="214" t="str">
        <f t="shared" si="2"/>
        <v/>
      </c>
    </row>
    <row r="50" spans="6:16" ht="12.95" customHeight="1">
      <c r="F50" s="179"/>
      <c r="G50" s="198"/>
      <c r="N50" s="254"/>
      <c r="P50" s="214" t="str">
        <f t="shared" si="2"/>
        <v/>
      </c>
    </row>
    <row r="51" spans="6:16" ht="12.95" customHeight="1">
      <c r="F51" s="179"/>
      <c r="G51" s="198"/>
      <c r="N51" s="254"/>
      <c r="P51" s="214" t="str">
        <f t="shared" si="2"/>
        <v/>
      </c>
    </row>
    <row r="52" spans="6:16" ht="12.95" customHeight="1">
      <c r="F52" s="179"/>
      <c r="G52" s="198"/>
      <c r="N52" s="254"/>
      <c r="P52" s="214" t="str">
        <f t="shared" si="2"/>
        <v/>
      </c>
    </row>
    <row r="53" spans="6:16" ht="12.95" customHeight="1">
      <c r="F53" s="179"/>
      <c r="G53" s="198"/>
      <c r="N53" s="254"/>
      <c r="P53" s="214" t="str">
        <f t="shared" si="2"/>
        <v/>
      </c>
    </row>
    <row r="54" spans="6:16" ht="12.95" customHeight="1">
      <c r="F54" s="179"/>
      <c r="G54" s="198"/>
      <c r="N54" s="254"/>
    </row>
    <row r="55" spans="6:16" ht="12.95" customHeight="1">
      <c r="F55" s="179"/>
      <c r="G55" s="198"/>
      <c r="N55" s="254"/>
    </row>
    <row r="56" spans="6:16" ht="12.95" customHeight="1">
      <c r="F56" s="179"/>
      <c r="G56" s="198"/>
      <c r="N56" s="254"/>
    </row>
    <row r="57" spans="6:16" ht="12.95" customHeight="1">
      <c r="F57" s="179"/>
      <c r="G57" s="198"/>
      <c r="N57" s="254"/>
    </row>
    <row r="58" spans="6:16" ht="12.95" customHeight="1">
      <c r="F58" s="179"/>
      <c r="G58" s="198"/>
      <c r="N58" s="254"/>
    </row>
    <row r="59" spans="6:16" ht="12.95" customHeight="1">
      <c r="F59" s="179"/>
      <c r="G59" s="198"/>
      <c r="N59" s="254"/>
    </row>
    <row r="60" spans="6:16" ht="17.100000000000001" customHeight="1">
      <c r="F60" s="179"/>
      <c r="G60" s="198"/>
      <c r="N60" s="254"/>
    </row>
    <row r="61" spans="6:16" ht="14.25">
      <c r="F61" s="179"/>
      <c r="G61" s="198"/>
      <c r="N61" s="254"/>
    </row>
    <row r="62" spans="6:16" ht="14.25">
      <c r="F62" s="179"/>
      <c r="G62" s="198"/>
      <c r="N62" s="254"/>
    </row>
    <row r="63" spans="6:16" ht="14.25">
      <c r="F63" s="179"/>
      <c r="G63" s="198"/>
      <c r="N63" s="254"/>
    </row>
    <row r="64" spans="6:16" ht="14.25">
      <c r="F64" s="179"/>
      <c r="G64" s="198"/>
      <c r="N64" s="254"/>
    </row>
    <row r="65" spans="6:14" ht="14.25">
      <c r="F65" s="179"/>
      <c r="G65" s="198"/>
      <c r="N65" s="254"/>
    </row>
    <row r="66" spans="6:14" ht="14.25">
      <c r="F66" s="179"/>
      <c r="G66" s="198"/>
      <c r="N66" s="254"/>
    </row>
    <row r="67" spans="6:14" ht="14.25">
      <c r="F67" s="179"/>
      <c r="G67" s="198"/>
      <c r="N67" s="254"/>
    </row>
    <row r="68" spans="6:14" ht="14.25">
      <c r="F68" s="179"/>
      <c r="G68" s="198"/>
      <c r="N68" s="254"/>
    </row>
    <row r="69" spans="6:14" ht="14.25">
      <c r="F69" s="179"/>
      <c r="G69" s="198"/>
      <c r="N69" s="254"/>
    </row>
    <row r="70" spans="6:14" ht="14.25">
      <c r="F70" s="179"/>
      <c r="G70" s="198"/>
      <c r="N70" s="254"/>
    </row>
    <row r="71" spans="6:14" ht="14.25">
      <c r="F71" s="179"/>
      <c r="G71" s="198"/>
      <c r="N71" s="254"/>
    </row>
    <row r="72" spans="6:14" ht="14.25">
      <c r="F72" s="179"/>
      <c r="G72" s="198"/>
      <c r="N72" s="254"/>
    </row>
    <row r="73" spans="6:14" ht="14.25">
      <c r="F73" s="179"/>
      <c r="G73" s="198"/>
      <c r="N73" s="254"/>
    </row>
    <row r="74" spans="6:14" ht="14.25">
      <c r="F74" s="179"/>
      <c r="G74" s="179"/>
      <c r="N74" s="254"/>
    </row>
    <row r="75" spans="6:14" ht="14.25">
      <c r="F75" s="179"/>
      <c r="G75" s="179"/>
      <c r="N75" s="254"/>
    </row>
    <row r="76" spans="6:14" ht="14.25">
      <c r="F76" s="179"/>
      <c r="G76" s="179"/>
      <c r="N76" s="254"/>
    </row>
    <row r="77" spans="6:14" ht="14.25">
      <c r="F77" s="179"/>
      <c r="G77" s="179"/>
      <c r="N77" s="254"/>
    </row>
    <row r="78" spans="6:14" ht="14.25">
      <c r="F78" s="179"/>
      <c r="G78" s="179"/>
      <c r="N78" s="254"/>
    </row>
    <row r="79" spans="6:14" ht="14.25">
      <c r="F79" s="179"/>
      <c r="G79" s="179"/>
      <c r="N79" s="254"/>
    </row>
    <row r="80" spans="6:14" ht="14.25">
      <c r="F80" s="179"/>
      <c r="G80" s="179"/>
      <c r="N80" s="254"/>
    </row>
    <row r="81" spans="6:14" ht="14.25">
      <c r="F81" s="179"/>
      <c r="G81" s="179"/>
      <c r="N81" s="254"/>
    </row>
    <row r="82" spans="6:14" ht="14.25">
      <c r="F82" s="179"/>
      <c r="G82" s="179"/>
      <c r="N82" s="254"/>
    </row>
    <row r="83" spans="6:14" ht="14.25">
      <c r="F83" s="179"/>
      <c r="G83" s="179"/>
      <c r="N83" s="254"/>
    </row>
    <row r="84" spans="6:14" ht="14.25">
      <c r="F84" s="179"/>
      <c r="G84" s="179"/>
      <c r="N84" s="254"/>
    </row>
    <row r="85" spans="6:14" ht="14.25">
      <c r="F85" s="179"/>
      <c r="G85" s="179"/>
      <c r="N85" s="254"/>
    </row>
    <row r="86" spans="6:14" ht="14.25">
      <c r="F86" s="179"/>
      <c r="G86" s="179"/>
      <c r="N86" s="254"/>
    </row>
    <row r="87" spans="6:14" ht="14.25">
      <c r="F87" s="179"/>
      <c r="G87" s="179"/>
      <c r="N87" s="254"/>
    </row>
    <row r="88" spans="6:14" ht="14.25">
      <c r="F88" s="179"/>
      <c r="G88" s="179"/>
      <c r="N88" s="254"/>
    </row>
    <row r="89" spans="6:14" ht="14.25">
      <c r="F89" s="179"/>
      <c r="G89" s="179"/>
      <c r="N89" s="254"/>
    </row>
    <row r="90" spans="6:14" ht="14.25">
      <c r="F90" s="179"/>
      <c r="G90" s="179"/>
      <c r="N90" s="254"/>
    </row>
    <row r="91" spans="6:14">
      <c r="G91" s="179"/>
    </row>
    <row r="92" spans="6:14">
      <c r="G92" s="179"/>
    </row>
    <row r="93" spans="6:14">
      <c r="G93" s="179"/>
    </row>
    <row r="94" spans="6:14">
      <c r="G94" s="179"/>
    </row>
    <row r="95" spans="6:14">
      <c r="G95" s="179"/>
    </row>
    <row r="96" spans="6:14">
      <c r="G96" s="179"/>
    </row>
  </sheetData>
  <mergeCells count="15">
    <mergeCell ref="P4:P5"/>
    <mergeCell ref="B2:P2"/>
    <mergeCell ref="K4:K5"/>
    <mergeCell ref="O4:O5"/>
    <mergeCell ref="H4:H5"/>
    <mergeCell ref="H3:I3"/>
    <mergeCell ref="L4:N4"/>
    <mergeCell ref="B4:B5"/>
    <mergeCell ref="C4:C5"/>
    <mergeCell ref="D4:D5"/>
    <mergeCell ref="G4:G5"/>
    <mergeCell ref="F4:F5"/>
    <mergeCell ref="I4:I5"/>
    <mergeCell ref="J4:J5"/>
    <mergeCell ref="E4:E5"/>
  </mergeCells>
  <phoneticPr fontId="2" type="noConversion"/>
  <pageMargins left="0.78740157480314965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 codeName="Sheet27"/>
  <dimension ref="A1:R96"/>
  <sheetViews>
    <sheetView zoomScaleNormal="100" workbookViewId="0">
      <selection activeCell="N33" sqref="N33"/>
    </sheetView>
  </sheetViews>
  <sheetFormatPr defaultColWidth="9.140625" defaultRowHeight="12.75"/>
  <cols>
    <col min="1" max="1" width="4.42578125" style="161" customWidth="1"/>
    <col min="2" max="2" width="4.7109375" style="9" customWidth="1"/>
    <col min="3" max="3" width="5.140625" style="9" customWidth="1"/>
    <col min="4" max="4" width="5" style="9" customWidth="1"/>
    <col min="5" max="5" width="5" style="161" customWidth="1"/>
    <col min="6" max="6" width="8.7109375" style="18" customWidth="1"/>
    <col min="7" max="7" width="8.7109375" style="166" customWidth="1"/>
    <col min="8" max="8" width="50.7109375" style="9" customWidth="1"/>
    <col min="9" max="10" width="14.7109375" style="9" customWidth="1"/>
    <col min="11" max="11" width="12.5703125" style="161" customWidth="1"/>
    <col min="12" max="13" width="14.7109375" style="161" customWidth="1"/>
    <col min="14" max="14" width="15.7109375" style="9" customWidth="1"/>
    <col min="15" max="16" width="7.7109375" style="214" customWidth="1"/>
    <col min="17" max="16384" width="9.140625" style="9"/>
  </cols>
  <sheetData>
    <row r="1" spans="1:18" ht="13.5" thickBot="1"/>
    <row r="2" spans="1:18" s="79" customFormat="1" ht="20.100000000000001" customHeight="1" thickTop="1" thickBot="1">
      <c r="A2" s="244"/>
      <c r="B2" s="1034" t="s">
        <v>667</v>
      </c>
      <c r="C2" s="1035"/>
      <c r="D2" s="1035"/>
      <c r="E2" s="1035"/>
      <c r="F2" s="1035"/>
      <c r="G2" s="1035"/>
      <c r="H2" s="1035"/>
      <c r="I2" s="1035"/>
      <c r="J2" s="1035"/>
      <c r="K2" s="1035"/>
      <c r="L2" s="1035"/>
      <c r="M2" s="1035"/>
      <c r="N2" s="1035"/>
      <c r="O2" s="1057"/>
      <c r="P2" s="1036"/>
      <c r="R2" s="244"/>
    </row>
    <row r="3" spans="1:18" s="1" customFormat="1" ht="8.1" customHeight="1" thickTop="1" thickBot="1">
      <c r="A3" s="158"/>
      <c r="E3" s="158"/>
      <c r="F3" s="2"/>
      <c r="G3" s="159"/>
      <c r="H3" s="1039"/>
      <c r="I3" s="1039"/>
      <c r="J3" s="139"/>
      <c r="K3" s="721"/>
      <c r="L3" s="74"/>
      <c r="M3" s="74"/>
      <c r="N3" s="74"/>
      <c r="O3" s="208"/>
      <c r="P3" s="208"/>
    </row>
    <row r="4" spans="1:18" s="1" customFormat="1" ht="39" customHeight="1">
      <c r="A4" s="158"/>
      <c r="B4" s="1043" t="s">
        <v>76</v>
      </c>
      <c r="C4" s="1045" t="s">
        <v>77</v>
      </c>
      <c r="D4" s="1047" t="s">
        <v>102</v>
      </c>
      <c r="E4" s="1062" t="s">
        <v>692</v>
      </c>
      <c r="F4" s="1058" t="s">
        <v>466</v>
      </c>
      <c r="G4" s="1048" t="s">
        <v>493</v>
      </c>
      <c r="H4" s="1050" t="s">
        <v>78</v>
      </c>
      <c r="I4" s="1059" t="s">
        <v>901</v>
      </c>
      <c r="J4" s="1068" t="s">
        <v>813</v>
      </c>
      <c r="K4" s="1037" t="s">
        <v>906</v>
      </c>
      <c r="L4" s="1040" t="s">
        <v>905</v>
      </c>
      <c r="M4" s="1041"/>
      <c r="N4" s="1042"/>
      <c r="O4" s="1054" t="s">
        <v>945</v>
      </c>
      <c r="P4" s="1032" t="s">
        <v>946</v>
      </c>
      <c r="R4" s="61"/>
    </row>
    <row r="5" spans="1:18" s="158" customFormat="1" ht="27" customHeight="1">
      <c r="B5" s="1044"/>
      <c r="C5" s="1046"/>
      <c r="D5" s="1046"/>
      <c r="E5" s="1049"/>
      <c r="F5" s="1051"/>
      <c r="G5" s="1049"/>
      <c r="H5" s="1051"/>
      <c r="I5" s="1051"/>
      <c r="J5" s="1051"/>
      <c r="K5" s="1038"/>
      <c r="L5" s="373" t="s">
        <v>526</v>
      </c>
      <c r="M5" s="242" t="s">
        <v>527</v>
      </c>
      <c r="N5" s="764" t="s">
        <v>319</v>
      </c>
      <c r="O5" s="1055"/>
      <c r="P5" s="1033"/>
    </row>
    <row r="6" spans="1:18" s="2" customFormat="1" ht="12.95" customHeight="1">
      <c r="A6" s="159"/>
      <c r="B6" s="328">
        <v>1</v>
      </c>
      <c r="C6" s="195">
        <v>2</v>
      </c>
      <c r="D6" s="195">
        <v>3</v>
      </c>
      <c r="E6" s="195">
        <v>4</v>
      </c>
      <c r="F6" s="195">
        <v>5</v>
      </c>
      <c r="G6" s="195">
        <v>6</v>
      </c>
      <c r="H6" s="195">
        <v>7</v>
      </c>
      <c r="I6" s="195">
        <v>8</v>
      </c>
      <c r="J6" s="195">
        <v>9</v>
      </c>
      <c r="K6" s="188">
        <v>10</v>
      </c>
      <c r="L6" s="328">
        <v>11</v>
      </c>
      <c r="M6" s="195">
        <v>12</v>
      </c>
      <c r="N6" s="810" t="s">
        <v>694</v>
      </c>
      <c r="O6" s="929" t="s">
        <v>814</v>
      </c>
      <c r="P6" s="930" t="s">
        <v>944</v>
      </c>
    </row>
    <row r="7" spans="1:18" s="2" customFormat="1" ht="12.95" customHeight="1">
      <c r="A7" s="159"/>
      <c r="B7" s="6" t="s">
        <v>126</v>
      </c>
      <c r="C7" s="7" t="s">
        <v>127</v>
      </c>
      <c r="D7" s="7" t="s">
        <v>108</v>
      </c>
      <c r="E7" s="415" t="s">
        <v>711</v>
      </c>
      <c r="F7" s="5"/>
      <c r="G7" s="160"/>
      <c r="H7" s="5"/>
      <c r="I7" s="366"/>
      <c r="J7" s="160"/>
      <c r="K7" s="173"/>
      <c r="L7" s="4"/>
      <c r="M7" s="160"/>
      <c r="N7" s="811"/>
      <c r="O7" s="951"/>
      <c r="P7" s="952"/>
    </row>
    <row r="8" spans="1:18" s="1" customFormat="1" ht="12.95" customHeight="1">
      <c r="A8" s="158"/>
      <c r="B8" s="12"/>
      <c r="C8" s="8"/>
      <c r="D8" s="8"/>
      <c r="E8" s="8"/>
      <c r="F8" s="176">
        <v>611000</v>
      </c>
      <c r="G8" s="195"/>
      <c r="H8" s="25" t="s">
        <v>140</v>
      </c>
      <c r="I8" s="236">
        <f t="shared" ref="I8:N8" si="0">SUM(I9:I12)</f>
        <v>2827610</v>
      </c>
      <c r="J8" s="236">
        <f t="shared" si="0"/>
        <v>2826340</v>
      </c>
      <c r="K8" s="226">
        <f t="shared" si="0"/>
        <v>2506074</v>
      </c>
      <c r="L8" s="482">
        <f t="shared" si="0"/>
        <v>2811011</v>
      </c>
      <c r="M8" s="236">
        <f t="shared" si="0"/>
        <v>0</v>
      </c>
      <c r="N8" s="812">
        <f t="shared" si="0"/>
        <v>2811011</v>
      </c>
      <c r="O8" s="953">
        <f t="shared" ref="O8:O31" si="1">IF(J8=0,"",N8/J8*100)</f>
        <v>99.457637793046842</v>
      </c>
      <c r="P8" s="954">
        <f>IF(K8=0,"",N8/K8*100)</f>
        <v>112.1679168292716</v>
      </c>
    </row>
    <row r="9" spans="1:18" ht="12.95" customHeight="1">
      <c r="B9" s="10"/>
      <c r="C9" s="11"/>
      <c r="D9" s="11"/>
      <c r="E9" s="163"/>
      <c r="F9" s="177">
        <v>611100</v>
      </c>
      <c r="G9" s="196"/>
      <c r="H9" s="428" t="s">
        <v>161</v>
      </c>
      <c r="I9" s="235">
        <f>2291010+8000</f>
        <v>2299010</v>
      </c>
      <c r="J9" s="235">
        <v>2297740</v>
      </c>
      <c r="K9" s="225">
        <v>2077390</v>
      </c>
      <c r="L9" s="357">
        <v>2286558</v>
      </c>
      <c r="M9" s="235">
        <v>0</v>
      </c>
      <c r="N9" s="813">
        <f>SUM(L9:M9)</f>
        <v>2286558</v>
      </c>
      <c r="O9" s="955">
        <f t="shared" si="1"/>
        <v>99.513347898369702</v>
      </c>
      <c r="P9" s="956">
        <f t="shared" ref="P9:P53" si="2">IF(K9=0,"",N9/K9*100)</f>
        <v>110.06878823908848</v>
      </c>
      <c r="R9" s="51"/>
    </row>
    <row r="10" spans="1:18" ht="12.95" customHeight="1">
      <c r="B10" s="10"/>
      <c r="C10" s="11"/>
      <c r="D10" s="11"/>
      <c r="E10" s="163"/>
      <c r="F10" s="177">
        <v>611200</v>
      </c>
      <c r="G10" s="196"/>
      <c r="H10" s="24" t="s">
        <v>162</v>
      </c>
      <c r="I10" s="235">
        <f>454200+3000+102*700</f>
        <v>528600</v>
      </c>
      <c r="J10" s="235">
        <f>454200+3000+102*700</f>
        <v>528600</v>
      </c>
      <c r="K10" s="225">
        <v>428684</v>
      </c>
      <c r="L10" s="357">
        <v>524453</v>
      </c>
      <c r="M10" s="235">
        <v>0</v>
      </c>
      <c r="N10" s="813">
        <f t="shared" ref="N10:N11" si="3">SUM(L10:M10)</f>
        <v>524453</v>
      </c>
      <c r="O10" s="955">
        <f t="shared" si="1"/>
        <v>99.215474839197881</v>
      </c>
      <c r="P10" s="956">
        <f t="shared" si="2"/>
        <v>122.340231965737</v>
      </c>
      <c r="R10" s="51"/>
    </row>
    <row r="11" spans="1:18" ht="12.95" customHeight="1">
      <c r="B11" s="10"/>
      <c r="C11" s="11"/>
      <c r="D11" s="11"/>
      <c r="E11" s="163"/>
      <c r="F11" s="177">
        <v>611200</v>
      </c>
      <c r="G11" s="196"/>
      <c r="H11" s="435" t="s">
        <v>434</v>
      </c>
      <c r="I11" s="235">
        <v>0</v>
      </c>
      <c r="J11" s="235">
        <v>0</v>
      </c>
      <c r="K11" s="225">
        <v>0</v>
      </c>
      <c r="L11" s="357">
        <v>0</v>
      </c>
      <c r="M11" s="235">
        <v>0</v>
      </c>
      <c r="N11" s="813">
        <f t="shared" si="3"/>
        <v>0</v>
      </c>
      <c r="O11" s="955" t="str">
        <f t="shared" si="1"/>
        <v/>
      </c>
      <c r="P11" s="956" t="str">
        <f t="shared" si="2"/>
        <v/>
      </c>
      <c r="R11" s="50"/>
    </row>
    <row r="12" spans="1:18" ht="12.95" customHeight="1">
      <c r="B12" s="10"/>
      <c r="C12" s="11"/>
      <c r="D12" s="11"/>
      <c r="E12" s="163"/>
      <c r="F12" s="177"/>
      <c r="G12" s="196"/>
      <c r="H12" s="428"/>
      <c r="I12" s="235"/>
      <c r="J12" s="235"/>
      <c r="K12" s="225"/>
      <c r="L12" s="357"/>
      <c r="M12" s="235"/>
      <c r="N12" s="813"/>
      <c r="O12" s="955" t="str">
        <f t="shared" si="1"/>
        <v/>
      </c>
      <c r="P12" s="956" t="str">
        <f t="shared" si="2"/>
        <v/>
      </c>
    </row>
    <row r="13" spans="1:18" s="1" customFormat="1" ht="12.95" customHeight="1">
      <c r="A13" s="158"/>
      <c r="B13" s="12"/>
      <c r="C13" s="8"/>
      <c r="D13" s="8"/>
      <c r="E13" s="8"/>
      <c r="F13" s="176">
        <v>612000</v>
      </c>
      <c r="G13" s="195"/>
      <c r="H13" s="25" t="s">
        <v>139</v>
      </c>
      <c r="I13" s="236">
        <f t="shared" ref="I13:N13" si="4">I14</f>
        <v>242750</v>
      </c>
      <c r="J13" s="236">
        <f t="shared" si="4"/>
        <v>244020</v>
      </c>
      <c r="K13" s="226">
        <f t="shared" si="4"/>
        <v>219871</v>
      </c>
      <c r="L13" s="482">
        <f t="shared" si="4"/>
        <v>244017</v>
      </c>
      <c r="M13" s="236">
        <f t="shared" si="4"/>
        <v>0</v>
      </c>
      <c r="N13" s="812">
        <f t="shared" si="4"/>
        <v>244017</v>
      </c>
      <c r="O13" s="953">
        <f t="shared" si="1"/>
        <v>99.998770592574388</v>
      </c>
      <c r="P13" s="954">
        <f t="shared" si="2"/>
        <v>110.98189392871274</v>
      </c>
    </row>
    <row r="14" spans="1:18" ht="12.95" customHeight="1">
      <c r="B14" s="10"/>
      <c r="C14" s="11"/>
      <c r="D14" s="11"/>
      <c r="E14" s="163"/>
      <c r="F14" s="177">
        <v>612100</v>
      </c>
      <c r="G14" s="196"/>
      <c r="H14" s="430" t="s">
        <v>81</v>
      </c>
      <c r="I14" s="235">
        <f>241750+1000</f>
        <v>242750</v>
      </c>
      <c r="J14" s="235">
        <v>244020</v>
      </c>
      <c r="K14" s="225">
        <v>219871</v>
      </c>
      <c r="L14" s="357">
        <v>244017</v>
      </c>
      <c r="M14" s="235">
        <v>0</v>
      </c>
      <c r="N14" s="813">
        <f>SUM(L14:M14)</f>
        <v>244017</v>
      </c>
      <c r="O14" s="955">
        <f t="shared" si="1"/>
        <v>99.998770592574388</v>
      </c>
      <c r="P14" s="956">
        <f t="shared" si="2"/>
        <v>110.98189392871274</v>
      </c>
    </row>
    <row r="15" spans="1:18" ht="12.95" customHeight="1">
      <c r="B15" s="10"/>
      <c r="C15" s="11"/>
      <c r="D15" s="11"/>
      <c r="E15" s="163"/>
      <c r="F15" s="177"/>
      <c r="G15" s="196"/>
      <c r="H15" s="24"/>
      <c r="I15" s="235"/>
      <c r="J15" s="235"/>
      <c r="K15" s="225"/>
      <c r="L15" s="357"/>
      <c r="M15" s="235"/>
      <c r="N15" s="776"/>
      <c r="O15" s="955" t="str">
        <f t="shared" si="1"/>
        <v/>
      </c>
      <c r="P15" s="956" t="str">
        <f t="shared" si="2"/>
        <v/>
      </c>
    </row>
    <row r="16" spans="1:18" s="1" customFormat="1" ht="12.95" customHeight="1">
      <c r="A16" s="158"/>
      <c r="B16" s="12"/>
      <c r="C16" s="8"/>
      <c r="D16" s="8"/>
      <c r="E16" s="8"/>
      <c r="F16" s="176">
        <v>613000</v>
      </c>
      <c r="G16" s="195"/>
      <c r="H16" s="25" t="s">
        <v>141</v>
      </c>
      <c r="I16" s="234">
        <f t="shared" ref="I16:N16" si="5">SUM(I17:I26)</f>
        <v>254350</v>
      </c>
      <c r="J16" s="234">
        <f t="shared" si="5"/>
        <v>254350</v>
      </c>
      <c r="K16" s="221">
        <f t="shared" si="5"/>
        <v>192378</v>
      </c>
      <c r="L16" s="483">
        <f t="shared" si="5"/>
        <v>239151</v>
      </c>
      <c r="M16" s="234">
        <f t="shared" si="5"/>
        <v>0</v>
      </c>
      <c r="N16" s="774">
        <f t="shared" si="5"/>
        <v>239151</v>
      </c>
      <c r="O16" s="953">
        <f t="shared" si="1"/>
        <v>94.024375860035377</v>
      </c>
      <c r="P16" s="954">
        <f t="shared" si="2"/>
        <v>124.31307114119079</v>
      </c>
    </row>
    <row r="17" spans="1:17" ht="12.95" customHeight="1">
      <c r="B17" s="10"/>
      <c r="C17" s="11"/>
      <c r="D17" s="11"/>
      <c r="E17" s="163"/>
      <c r="F17" s="177">
        <v>613100</v>
      </c>
      <c r="G17" s="196"/>
      <c r="H17" s="24" t="s">
        <v>82</v>
      </c>
      <c r="I17" s="235">
        <v>6500</v>
      </c>
      <c r="J17" s="235">
        <v>6500</v>
      </c>
      <c r="K17" s="225">
        <v>1179</v>
      </c>
      <c r="L17" s="358">
        <v>4550</v>
      </c>
      <c r="M17" s="231">
        <v>0</v>
      </c>
      <c r="N17" s="813">
        <f t="shared" ref="N17:N26" si="6">SUM(L17:M17)</f>
        <v>4550</v>
      </c>
      <c r="O17" s="955">
        <f t="shared" si="1"/>
        <v>70</v>
      </c>
      <c r="P17" s="956">
        <f t="shared" si="2"/>
        <v>385.92027141645463</v>
      </c>
    </row>
    <row r="18" spans="1:17" ht="12.95" customHeight="1">
      <c r="B18" s="10"/>
      <c r="C18" s="11"/>
      <c r="D18" s="11"/>
      <c r="E18" s="163"/>
      <c r="F18" s="177">
        <v>613200</v>
      </c>
      <c r="G18" s="196"/>
      <c r="H18" s="24" t="s">
        <v>83</v>
      </c>
      <c r="I18" s="235">
        <v>100000</v>
      </c>
      <c r="J18" s="235">
        <v>100000</v>
      </c>
      <c r="K18" s="225">
        <v>82959</v>
      </c>
      <c r="L18" s="358">
        <v>96722</v>
      </c>
      <c r="M18" s="231">
        <v>0</v>
      </c>
      <c r="N18" s="813">
        <f t="shared" si="6"/>
        <v>96722</v>
      </c>
      <c r="O18" s="955">
        <f t="shared" si="1"/>
        <v>96.721999999999994</v>
      </c>
      <c r="P18" s="956">
        <f t="shared" si="2"/>
        <v>116.59012283176027</v>
      </c>
    </row>
    <row r="19" spans="1:17" ht="12.95" customHeight="1">
      <c r="B19" s="10"/>
      <c r="C19" s="11"/>
      <c r="D19" s="11"/>
      <c r="E19" s="163"/>
      <c r="F19" s="177">
        <v>613300</v>
      </c>
      <c r="G19" s="196"/>
      <c r="H19" s="428" t="s">
        <v>163</v>
      </c>
      <c r="I19" s="235">
        <v>12300</v>
      </c>
      <c r="J19" s="235">
        <v>12300</v>
      </c>
      <c r="K19" s="225">
        <v>10645</v>
      </c>
      <c r="L19" s="358">
        <v>12053</v>
      </c>
      <c r="M19" s="231">
        <v>0</v>
      </c>
      <c r="N19" s="813">
        <f t="shared" si="6"/>
        <v>12053</v>
      </c>
      <c r="O19" s="955">
        <f t="shared" si="1"/>
        <v>97.99186991869918</v>
      </c>
      <c r="P19" s="956">
        <f t="shared" si="2"/>
        <v>113.22686707374355</v>
      </c>
    </row>
    <row r="20" spans="1:17" ht="12.95" customHeight="1">
      <c r="B20" s="10"/>
      <c r="C20" s="11"/>
      <c r="D20" s="11"/>
      <c r="E20" s="163"/>
      <c r="F20" s="177">
        <v>613400</v>
      </c>
      <c r="G20" s="196"/>
      <c r="H20" s="24" t="s">
        <v>142</v>
      </c>
      <c r="I20" s="235">
        <v>25000</v>
      </c>
      <c r="J20" s="235">
        <v>25000</v>
      </c>
      <c r="K20" s="225">
        <v>20097</v>
      </c>
      <c r="L20" s="357">
        <v>19894</v>
      </c>
      <c r="M20" s="235">
        <v>0</v>
      </c>
      <c r="N20" s="813">
        <f t="shared" si="6"/>
        <v>19894</v>
      </c>
      <c r="O20" s="955">
        <f t="shared" si="1"/>
        <v>79.576000000000008</v>
      </c>
      <c r="P20" s="956">
        <f t="shared" si="2"/>
        <v>98.98989898989899</v>
      </c>
    </row>
    <row r="21" spans="1:17" ht="12.95" customHeight="1">
      <c r="B21" s="10"/>
      <c r="C21" s="11"/>
      <c r="D21" s="11"/>
      <c r="E21" s="163"/>
      <c r="F21" s="177">
        <v>613500</v>
      </c>
      <c r="G21" s="196"/>
      <c r="H21" s="24" t="s">
        <v>84</v>
      </c>
      <c r="I21" s="235">
        <v>2000</v>
      </c>
      <c r="J21" s="235">
        <v>2000</v>
      </c>
      <c r="K21" s="225">
        <v>790</v>
      </c>
      <c r="L21" s="357">
        <v>1464</v>
      </c>
      <c r="M21" s="235">
        <v>0</v>
      </c>
      <c r="N21" s="813">
        <f t="shared" si="6"/>
        <v>1464</v>
      </c>
      <c r="O21" s="955">
        <f t="shared" si="1"/>
        <v>73.2</v>
      </c>
      <c r="P21" s="956">
        <f t="shared" si="2"/>
        <v>185.31645569620255</v>
      </c>
    </row>
    <row r="22" spans="1:17" ht="12.95" customHeight="1">
      <c r="B22" s="10"/>
      <c r="C22" s="11"/>
      <c r="D22" s="11"/>
      <c r="E22" s="163"/>
      <c r="F22" s="177">
        <v>613600</v>
      </c>
      <c r="G22" s="196"/>
      <c r="H22" s="428" t="s">
        <v>164</v>
      </c>
      <c r="I22" s="235">
        <v>0</v>
      </c>
      <c r="J22" s="235">
        <v>0</v>
      </c>
      <c r="K22" s="225">
        <v>0</v>
      </c>
      <c r="L22" s="357">
        <v>0</v>
      </c>
      <c r="M22" s="235">
        <v>0</v>
      </c>
      <c r="N22" s="813">
        <f t="shared" si="6"/>
        <v>0</v>
      </c>
      <c r="O22" s="955" t="str">
        <f t="shared" si="1"/>
        <v/>
      </c>
      <c r="P22" s="956" t="str">
        <f t="shared" si="2"/>
        <v/>
      </c>
    </row>
    <row r="23" spans="1:17" ht="12.95" customHeight="1">
      <c r="B23" s="10"/>
      <c r="C23" s="11"/>
      <c r="D23" s="11"/>
      <c r="E23" s="163"/>
      <c r="F23" s="177">
        <v>613700</v>
      </c>
      <c r="G23" s="196"/>
      <c r="H23" s="24" t="s">
        <v>85</v>
      </c>
      <c r="I23" s="235">
        <v>36000</v>
      </c>
      <c r="J23" s="235">
        <v>36000</v>
      </c>
      <c r="K23" s="225">
        <v>28224</v>
      </c>
      <c r="L23" s="357">
        <v>34027</v>
      </c>
      <c r="M23" s="235">
        <v>0</v>
      </c>
      <c r="N23" s="813">
        <f t="shared" si="6"/>
        <v>34027</v>
      </c>
      <c r="O23" s="955">
        <f t="shared" si="1"/>
        <v>94.519444444444446</v>
      </c>
      <c r="P23" s="956">
        <f t="shared" si="2"/>
        <v>120.56051587301589</v>
      </c>
    </row>
    <row r="24" spans="1:17" ht="12.95" customHeight="1">
      <c r="B24" s="10"/>
      <c r="C24" s="11"/>
      <c r="D24" s="11"/>
      <c r="E24" s="163"/>
      <c r="F24" s="177">
        <v>613800</v>
      </c>
      <c r="G24" s="196"/>
      <c r="H24" s="24" t="s">
        <v>143</v>
      </c>
      <c r="I24" s="235">
        <v>2550</v>
      </c>
      <c r="J24" s="235">
        <v>2550</v>
      </c>
      <c r="K24" s="225">
        <v>0</v>
      </c>
      <c r="L24" s="357">
        <v>1687</v>
      </c>
      <c r="M24" s="235">
        <v>0</v>
      </c>
      <c r="N24" s="813">
        <f t="shared" si="6"/>
        <v>1687</v>
      </c>
      <c r="O24" s="955">
        <f t="shared" si="1"/>
        <v>66.156862745098039</v>
      </c>
      <c r="P24" s="956" t="str">
        <f t="shared" si="2"/>
        <v/>
      </c>
    </row>
    <row r="25" spans="1:17" ht="12.95" customHeight="1">
      <c r="B25" s="10"/>
      <c r="C25" s="11"/>
      <c r="D25" s="11"/>
      <c r="E25" s="163"/>
      <c r="F25" s="177">
        <v>613900</v>
      </c>
      <c r="G25" s="196"/>
      <c r="H25" s="24" t="s">
        <v>144</v>
      </c>
      <c r="I25" s="235">
        <v>70000</v>
      </c>
      <c r="J25" s="235">
        <v>70000</v>
      </c>
      <c r="K25" s="225">
        <v>48484</v>
      </c>
      <c r="L25" s="357">
        <v>68754</v>
      </c>
      <c r="M25" s="235">
        <v>0</v>
      </c>
      <c r="N25" s="813">
        <f t="shared" si="6"/>
        <v>68754</v>
      </c>
      <c r="O25" s="955">
        <f t="shared" si="1"/>
        <v>98.22</v>
      </c>
      <c r="P25" s="956">
        <f t="shared" si="2"/>
        <v>141.80760663311608</v>
      </c>
    </row>
    <row r="26" spans="1:17" ht="12.95" customHeight="1">
      <c r="B26" s="10"/>
      <c r="C26" s="11"/>
      <c r="D26" s="11"/>
      <c r="E26" s="163"/>
      <c r="F26" s="177">
        <v>613900</v>
      </c>
      <c r="G26" s="196"/>
      <c r="H26" s="435" t="s">
        <v>435</v>
      </c>
      <c r="I26" s="230">
        <v>0</v>
      </c>
      <c r="J26" s="230">
        <v>0</v>
      </c>
      <c r="K26" s="487">
        <v>0</v>
      </c>
      <c r="L26" s="361">
        <v>0</v>
      </c>
      <c r="M26" s="230">
        <v>0</v>
      </c>
      <c r="N26" s="813">
        <f t="shared" si="6"/>
        <v>0</v>
      </c>
      <c r="O26" s="955" t="str">
        <f t="shared" si="1"/>
        <v/>
      </c>
      <c r="P26" s="956" t="str">
        <f t="shared" si="2"/>
        <v/>
      </c>
    </row>
    <row r="27" spans="1:17" s="1" customFormat="1" ht="12.95" customHeight="1">
      <c r="A27" s="158"/>
      <c r="B27" s="12"/>
      <c r="C27" s="8"/>
      <c r="D27" s="8"/>
      <c r="E27" s="8"/>
      <c r="F27" s="176"/>
      <c r="G27" s="195"/>
      <c r="H27" s="25"/>
      <c r="I27" s="235"/>
      <c r="J27" s="235"/>
      <c r="K27" s="225"/>
      <c r="L27" s="357"/>
      <c r="M27" s="235"/>
      <c r="N27" s="776"/>
      <c r="O27" s="955" t="str">
        <f t="shared" si="1"/>
        <v/>
      </c>
      <c r="P27" s="956" t="str">
        <f t="shared" si="2"/>
        <v/>
      </c>
    </row>
    <row r="28" spans="1:17" s="1" customFormat="1" ht="12.95" customHeight="1">
      <c r="A28" s="158"/>
      <c r="B28" s="12"/>
      <c r="C28" s="8"/>
      <c r="D28" s="8"/>
      <c r="E28" s="8"/>
      <c r="F28" s="176">
        <v>821000</v>
      </c>
      <c r="G28" s="195"/>
      <c r="H28" s="25" t="s">
        <v>88</v>
      </c>
      <c r="I28" s="236">
        <f t="shared" ref="I28:N28" si="7">SUM(I29:I31)</f>
        <v>44000</v>
      </c>
      <c r="J28" s="236">
        <f t="shared" si="7"/>
        <v>44000</v>
      </c>
      <c r="K28" s="226">
        <f t="shared" si="7"/>
        <v>109533</v>
      </c>
      <c r="L28" s="482">
        <f t="shared" si="7"/>
        <v>41949</v>
      </c>
      <c r="M28" s="236">
        <f t="shared" si="7"/>
        <v>0</v>
      </c>
      <c r="N28" s="774">
        <f t="shared" si="7"/>
        <v>41949</v>
      </c>
      <c r="O28" s="953">
        <f t="shared" si="1"/>
        <v>95.338636363636368</v>
      </c>
      <c r="P28" s="954">
        <f t="shared" si="2"/>
        <v>38.298047163868418</v>
      </c>
    </row>
    <row r="29" spans="1:17" ht="12.95" customHeight="1">
      <c r="B29" s="10"/>
      <c r="C29" s="11"/>
      <c r="D29" s="11"/>
      <c r="E29" s="163"/>
      <c r="F29" s="177">
        <v>821200</v>
      </c>
      <c r="G29" s="196"/>
      <c r="H29" s="24" t="s">
        <v>89</v>
      </c>
      <c r="I29" s="235">
        <v>20000</v>
      </c>
      <c r="J29" s="235">
        <v>20000</v>
      </c>
      <c r="K29" s="225">
        <v>82197</v>
      </c>
      <c r="L29" s="357">
        <v>19757</v>
      </c>
      <c r="M29" s="235">
        <v>0</v>
      </c>
      <c r="N29" s="813">
        <f t="shared" ref="N29:N30" si="8">SUM(L29:M29)</f>
        <v>19757</v>
      </c>
      <c r="O29" s="955">
        <f t="shared" si="1"/>
        <v>98.784999999999997</v>
      </c>
      <c r="P29" s="956">
        <f t="shared" si="2"/>
        <v>24.036157037361463</v>
      </c>
      <c r="Q29" s="45"/>
    </row>
    <row r="30" spans="1:17" ht="12.95" customHeight="1">
      <c r="B30" s="10"/>
      <c r="C30" s="11"/>
      <c r="D30" s="11"/>
      <c r="E30" s="163"/>
      <c r="F30" s="177">
        <v>821300</v>
      </c>
      <c r="G30" s="196"/>
      <c r="H30" s="24" t="s">
        <v>90</v>
      </c>
      <c r="I30" s="235">
        <v>24000</v>
      </c>
      <c r="J30" s="235">
        <v>24000</v>
      </c>
      <c r="K30" s="225">
        <v>27336</v>
      </c>
      <c r="L30" s="357">
        <v>22192</v>
      </c>
      <c r="M30" s="235">
        <v>0</v>
      </c>
      <c r="N30" s="813">
        <f t="shared" si="8"/>
        <v>22192</v>
      </c>
      <c r="O30" s="955">
        <f t="shared" si="1"/>
        <v>92.466666666666669</v>
      </c>
      <c r="P30" s="956">
        <f t="shared" si="2"/>
        <v>81.182323675738957</v>
      </c>
      <c r="Q30" s="401"/>
    </row>
    <row r="31" spans="1:17" ht="12.95" customHeight="1">
      <c r="B31" s="10"/>
      <c r="C31" s="11"/>
      <c r="D31" s="11"/>
      <c r="E31" s="163"/>
      <c r="F31" s="177"/>
      <c r="G31" s="196"/>
      <c r="H31" s="428"/>
      <c r="I31" s="235"/>
      <c r="J31" s="235"/>
      <c r="K31" s="225"/>
      <c r="L31" s="357"/>
      <c r="M31" s="235"/>
      <c r="N31" s="776"/>
      <c r="O31" s="955" t="str">
        <f t="shared" si="1"/>
        <v/>
      </c>
      <c r="P31" s="956" t="str">
        <f t="shared" si="2"/>
        <v/>
      </c>
    </row>
    <row r="32" spans="1:17" s="1" customFormat="1" ht="12.95" customHeight="1">
      <c r="A32" s="158"/>
      <c r="B32" s="12"/>
      <c r="C32" s="8"/>
      <c r="D32" s="8"/>
      <c r="E32" s="8"/>
      <c r="F32" s="176"/>
      <c r="G32" s="195"/>
      <c r="H32" s="25" t="s">
        <v>91</v>
      </c>
      <c r="I32" s="394" t="s">
        <v>874</v>
      </c>
      <c r="J32" s="394" t="s">
        <v>874</v>
      </c>
      <c r="K32" s="727" t="s">
        <v>934</v>
      </c>
      <c r="L32" s="498">
        <v>104</v>
      </c>
      <c r="M32" s="394"/>
      <c r="N32" s="767">
        <v>104</v>
      </c>
      <c r="O32" s="955"/>
      <c r="P32" s="956"/>
    </row>
    <row r="33" spans="1:16" s="1" customFormat="1" ht="12.95" customHeight="1">
      <c r="A33" s="158"/>
      <c r="B33" s="12"/>
      <c r="C33" s="8"/>
      <c r="D33" s="8"/>
      <c r="E33" s="8"/>
      <c r="F33" s="176"/>
      <c r="G33" s="195"/>
      <c r="H33" s="8" t="s">
        <v>105</v>
      </c>
      <c r="I33" s="367">
        <f t="shared" ref="I33:K33" si="9">I8+I13+I16+I28</f>
        <v>3368710</v>
      </c>
      <c r="J33" s="165">
        <f t="shared" si="9"/>
        <v>3368710</v>
      </c>
      <c r="K33" s="153">
        <f t="shared" si="9"/>
        <v>3027856</v>
      </c>
      <c r="L33" s="370">
        <f>L8+L13+L16+L28</f>
        <v>3336128</v>
      </c>
      <c r="M33" s="165">
        <f>M8+M13+M16+M28</f>
        <v>0</v>
      </c>
      <c r="N33" s="774">
        <f>N8+N13+N16+N28</f>
        <v>3336128</v>
      </c>
      <c r="O33" s="953">
        <f>IF(J33=0,"",N33/J33*100)</f>
        <v>99.032804842209629</v>
      </c>
      <c r="P33" s="954">
        <f t="shared" si="2"/>
        <v>110.18119752062185</v>
      </c>
    </row>
    <row r="34" spans="1:16" s="1" customFormat="1" ht="12.95" customHeight="1">
      <c r="A34" s="158"/>
      <c r="B34" s="12"/>
      <c r="C34" s="8"/>
      <c r="D34" s="8"/>
      <c r="E34" s="8"/>
      <c r="F34" s="176"/>
      <c r="G34" s="195"/>
      <c r="H34" s="8" t="s">
        <v>92</v>
      </c>
      <c r="I34" s="15"/>
      <c r="J34" s="15"/>
      <c r="K34" s="153"/>
      <c r="L34" s="370"/>
      <c r="M34" s="165"/>
      <c r="N34" s="774"/>
      <c r="O34" s="955" t="str">
        <f>IF(J34=0,"",N34/J34*100)</f>
        <v/>
      </c>
      <c r="P34" s="956" t="str">
        <f t="shared" si="2"/>
        <v/>
      </c>
    </row>
    <row r="35" spans="1:16" s="1" customFormat="1" ht="12.95" customHeight="1">
      <c r="A35" s="158"/>
      <c r="B35" s="12"/>
      <c r="C35" s="8"/>
      <c r="D35" s="8"/>
      <c r="E35" s="8"/>
      <c r="F35" s="176"/>
      <c r="G35" s="195"/>
      <c r="H35" s="8" t="s">
        <v>93</v>
      </c>
      <c r="I35" s="29"/>
      <c r="J35" s="29"/>
      <c r="K35" s="148"/>
      <c r="L35" s="369"/>
      <c r="M35" s="156"/>
      <c r="N35" s="776"/>
      <c r="O35" s="955" t="str">
        <f>IF(J35=0,"",N35/J35*100)</f>
        <v/>
      </c>
      <c r="P35" s="956" t="str">
        <f t="shared" si="2"/>
        <v/>
      </c>
    </row>
    <row r="36" spans="1:16" ht="12.95" customHeight="1" thickBot="1">
      <c r="B36" s="16"/>
      <c r="C36" s="17"/>
      <c r="D36" s="17"/>
      <c r="E36" s="17"/>
      <c r="F36" s="178"/>
      <c r="G36" s="197"/>
      <c r="H36" s="17"/>
      <c r="I36" s="17"/>
      <c r="J36" s="17"/>
      <c r="K36" s="355"/>
      <c r="L36" s="16"/>
      <c r="M36" s="17"/>
      <c r="N36" s="800"/>
      <c r="O36" s="957"/>
      <c r="P36" s="958" t="str">
        <f t="shared" si="2"/>
        <v/>
      </c>
    </row>
    <row r="37" spans="1:16" ht="12.95" customHeight="1">
      <c r="F37" s="179"/>
      <c r="G37" s="198"/>
      <c r="L37" s="399"/>
      <c r="M37" s="514"/>
      <c r="N37" s="253"/>
      <c r="P37" s="214" t="str">
        <f t="shared" si="2"/>
        <v/>
      </c>
    </row>
    <row r="38" spans="1:16" ht="12.95" customHeight="1">
      <c r="F38" s="179"/>
      <c r="G38" s="198"/>
      <c r="L38" s="60"/>
      <c r="N38" s="253"/>
      <c r="P38" s="214" t="str">
        <f t="shared" si="2"/>
        <v/>
      </c>
    </row>
    <row r="39" spans="1:16" ht="12.95" customHeight="1">
      <c r="B39" s="45"/>
      <c r="F39" s="179"/>
      <c r="G39" s="198"/>
      <c r="N39" s="253"/>
      <c r="P39" s="214" t="str">
        <f t="shared" si="2"/>
        <v/>
      </c>
    </row>
    <row r="40" spans="1:16" ht="12.95" customHeight="1">
      <c r="B40" s="45"/>
      <c r="F40" s="179"/>
      <c r="G40" s="198"/>
      <c r="N40" s="253"/>
      <c r="P40" s="214" t="str">
        <f t="shared" si="2"/>
        <v/>
      </c>
    </row>
    <row r="41" spans="1:16" ht="12.95" customHeight="1">
      <c r="B41" s="45"/>
      <c r="F41" s="179"/>
      <c r="G41" s="198"/>
      <c r="N41" s="253"/>
      <c r="P41" s="214" t="str">
        <f t="shared" si="2"/>
        <v/>
      </c>
    </row>
    <row r="42" spans="1:16" ht="12.95" customHeight="1">
      <c r="B42" s="45"/>
      <c r="F42" s="179"/>
      <c r="G42" s="198"/>
      <c r="N42" s="253"/>
      <c r="P42" s="214" t="str">
        <f t="shared" si="2"/>
        <v/>
      </c>
    </row>
    <row r="43" spans="1:16" ht="12.95" customHeight="1">
      <c r="B43" s="45"/>
      <c r="F43" s="179"/>
      <c r="G43" s="198"/>
      <c r="N43" s="253"/>
      <c r="P43" s="214" t="str">
        <f t="shared" si="2"/>
        <v/>
      </c>
    </row>
    <row r="44" spans="1:16" ht="12.95" customHeight="1">
      <c r="B44" s="45"/>
      <c r="F44" s="179"/>
      <c r="G44" s="198"/>
      <c r="N44" s="253"/>
      <c r="P44" s="214" t="str">
        <f t="shared" si="2"/>
        <v/>
      </c>
    </row>
    <row r="45" spans="1:16" ht="12.95" customHeight="1">
      <c r="B45" s="45"/>
      <c r="F45" s="179"/>
      <c r="G45" s="198"/>
      <c r="N45" s="253"/>
      <c r="P45" s="214" t="str">
        <f t="shared" si="2"/>
        <v/>
      </c>
    </row>
    <row r="46" spans="1:16" ht="12.95" customHeight="1">
      <c r="F46" s="179"/>
      <c r="G46" s="198"/>
      <c r="N46" s="253"/>
      <c r="P46" s="214" t="str">
        <f t="shared" si="2"/>
        <v/>
      </c>
    </row>
    <row r="47" spans="1:16" ht="12.95" customHeight="1">
      <c r="F47" s="179"/>
      <c r="G47" s="198"/>
      <c r="N47" s="253"/>
      <c r="P47" s="214" t="str">
        <f t="shared" si="2"/>
        <v/>
      </c>
    </row>
    <row r="48" spans="1:16" ht="12.95" customHeight="1">
      <c r="F48" s="179"/>
      <c r="G48" s="198"/>
      <c r="N48" s="253"/>
      <c r="P48" s="214" t="str">
        <f t="shared" si="2"/>
        <v/>
      </c>
    </row>
    <row r="49" spans="6:16" ht="12.95" customHeight="1">
      <c r="F49" s="179"/>
      <c r="G49" s="198"/>
      <c r="N49" s="253"/>
      <c r="P49" s="214" t="str">
        <f t="shared" si="2"/>
        <v/>
      </c>
    </row>
    <row r="50" spans="6:16" ht="12.95" customHeight="1">
      <c r="F50" s="179"/>
      <c r="G50" s="198"/>
      <c r="N50" s="253"/>
      <c r="P50" s="214" t="str">
        <f t="shared" si="2"/>
        <v/>
      </c>
    </row>
    <row r="51" spans="6:16" ht="12.95" customHeight="1">
      <c r="F51" s="179"/>
      <c r="G51" s="198"/>
      <c r="N51" s="253"/>
      <c r="P51" s="214" t="str">
        <f t="shared" si="2"/>
        <v/>
      </c>
    </row>
    <row r="52" spans="6:16" ht="12.95" customHeight="1">
      <c r="F52" s="179"/>
      <c r="G52" s="198"/>
      <c r="N52" s="253"/>
      <c r="P52" s="214" t="str">
        <f t="shared" si="2"/>
        <v/>
      </c>
    </row>
    <row r="53" spans="6:16" ht="12.95" customHeight="1">
      <c r="F53" s="179"/>
      <c r="G53" s="198"/>
      <c r="N53" s="253"/>
      <c r="P53" s="214" t="str">
        <f t="shared" si="2"/>
        <v/>
      </c>
    </row>
    <row r="54" spans="6:16" ht="12.95" customHeight="1">
      <c r="F54" s="179"/>
      <c r="G54" s="198"/>
      <c r="N54" s="253"/>
    </row>
    <row r="55" spans="6:16" ht="12.95" customHeight="1">
      <c r="F55" s="179"/>
      <c r="G55" s="198"/>
      <c r="N55" s="253"/>
    </row>
    <row r="56" spans="6:16" ht="12.95" customHeight="1">
      <c r="F56" s="179"/>
      <c r="G56" s="198"/>
      <c r="N56" s="253"/>
    </row>
    <row r="57" spans="6:16" ht="12.95" customHeight="1">
      <c r="F57" s="179"/>
      <c r="G57" s="198"/>
      <c r="N57" s="253"/>
    </row>
    <row r="58" spans="6:16" ht="12.95" customHeight="1">
      <c r="F58" s="179"/>
      <c r="G58" s="198"/>
      <c r="N58" s="253"/>
    </row>
    <row r="59" spans="6:16" ht="12.95" customHeight="1">
      <c r="F59" s="179"/>
      <c r="G59" s="198"/>
      <c r="N59" s="253"/>
    </row>
    <row r="60" spans="6:16" ht="17.100000000000001" customHeight="1">
      <c r="F60" s="179"/>
      <c r="G60" s="198"/>
      <c r="N60" s="253"/>
    </row>
    <row r="61" spans="6:16" ht="14.25">
      <c r="F61" s="179"/>
      <c r="G61" s="198"/>
      <c r="N61" s="253"/>
    </row>
    <row r="62" spans="6:16" ht="14.25">
      <c r="F62" s="179"/>
      <c r="G62" s="198"/>
      <c r="N62" s="253"/>
    </row>
    <row r="63" spans="6:16" ht="14.25">
      <c r="F63" s="179"/>
      <c r="G63" s="198"/>
      <c r="N63" s="253"/>
    </row>
    <row r="64" spans="6:16" ht="14.25">
      <c r="F64" s="179"/>
      <c r="G64" s="198"/>
      <c r="N64" s="253"/>
    </row>
    <row r="65" spans="6:14" ht="14.25">
      <c r="F65" s="179"/>
      <c r="G65" s="198"/>
      <c r="N65" s="253"/>
    </row>
    <row r="66" spans="6:14" ht="14.25">
      <c r="F66" s="179"/>
      <c r="G66" s="198"/>
      <c r="N66" s="253"/>
    </row>
    <row r="67" spans="6:14" ht="14.25">
      <c r="F67" s="179"/>
      <c r="G67" s="198"/>
      <c r="N67" s="253"/>
    </row>
    <row r="68" spans="6:14" ht="14.25">
      <c r="F68" s="179"/>
      <c r="G68" s="198"/>
      <c r="N68" s="253"/>
    </row>
    <row r="69" spans="6:14" ht="14.25">
      <c r="F69" s="179"/>
      <c r="G69" s="198"/>
      <c r="N69" s="253"/>
    </row>
    <row r="70" spans="6:14" ht="14.25">
      <c r="F70" s="179"/>
      <c r="G70" s="198"/>
      <c r="N70" s="253"/>
    </row>
    <row r="71" spans="6:14" ht="14.25">
      <c r="F71" s="179"/>
      <c r="G71" s="198"/>
      <c r="N71" s="253"/>
    </row>
    <row r="72" spans="6:14" ht="14.25">
      <c r="F72" s="179"/>
      <c r="G72" s="198"/>
      <c r="N72" s="253"/>
    </row>
    <row r="73" spans="6:14" ht="14.25">
      <c r="F73" s="179"/>
      <c r="G73" s="198"/>
      <c r="N73" s="253"/>
    </row>
    <row r="74" spans="6:14" ht="14.25">
      <c r="F74" s="179"/>
      <c r="G74" s="179"/>
      <c r="N74" s="253"/>
    </row>
    <row r="75" spans="6:14" ht="14.25">
      <c r="F75" s="179"/>
      <c r="G75" s="179"/>
      <c r="N75" s="253"/>
    </row>
    <row r="76" spans="6:14" ht="14.25">
      <c r="F76" s="179"/>
      <c r="G76" s="179"/>
      <c r="N76" s="253"/>
    </row>
    <row r="77" spans="6:14" ht="14.25">
      <c r="F77" s="179"/>
      <c r="G77" s="179"/>
      <c r="N77" s="253"/>
    </row>
    <row r="78" spans="6:14" ht="14.25">
      <c r="F78" s="179"/>
      <c r="G78" s="179"/>
      <c r="N78" s="253"/>
    </row>
    <row r="79" spans="6:14" ht="14.25">
      <c r="F79" s="179"/>
      <c r="G79" s="179"/>
      <c r="N79" s="253"/>
    </row>
    <row r="80" spans="6:14" ht="14.25">
      <c r="F80" s="179"/>
      <c r="G80" s="179"/>
      <c r="N80" s="253"/>
    </row>
    <row r="81" spans="6:14" ht="14.25">
      <c r="F81" s="179"/>
      <c r="G81" s="179"/>
      <c r="N81" s="253"/>
    </row>
    <row r="82" spans="6:14" ht="14.25">
      <c r="F82" s="179"/>
      <c r="G82" s="179"/>
      <c r="N82" s="253"/>
    </row>
    <row r="83" spans="6:14" ht="14.25">
      <c r="F83" s="179"/>
      <c r="G83" s="179"/>
      <c r="N83" s="253"/>
    </row>
    <row r="84" spans="6:14" ht="14.25">
      <c r="F84" s="179"/>
      <c r="G84" s="179"/>
      <c r="N84" s="253"/>
    </row>
    <row r="85" spans="6:14" ht="14.25">
      <c r="F85" s="179"/>
      <c r="G85" s="179"/>
      <c r="N85" s="253"/>
    </row>
    <row r="86" spans="6:14" ht="14.25">
      <c r="F86" s="179"/>
      <c r="G86" s="179"/>
      <c r="N86" s="253"/>
    </row>
    <row r="87" spans="6:14" ht="14.25">
      <c r="F87" s="179"/>
      <c r="G87" s="179"/>
      <c r="N87" s="253"/>
    </row>
    <row r="88" spans="6:14" ht="14.25">
      <c r="F88" s="179"/>
      <c r="G88" s="179"/>
      <c r="N88" s="253"/>
    </row>
    <row r="89" spans="6:14" ht="14.25">
      <c r="F89" s="179"/>
      <c r="G89" s="179"/>
      <c r="N89" s="253"/>
    </row>
    <row r="90" spans="6:14" ht="14.25">
      <c r="F90" s="179"/>
      <c r="G90" s="179"/>
      <c r="N90" s="253"/>
    </row>
    <row r="91" spans="6:14">
      <c r="G91" s="179"/>
    </row>
    <row r="92" spans="6:14">
      <c r="G92" s="179"/>
    </row>
    <row r="93" spans="6:14">
      <c r="G93" s="179"/>
    </row>
    <row r="94" spans="6:14">
      <c r="G94" s="179"/>
    </row>
    <row r="95" spans="6:14">
      <c r="G95" s="179"/>
    </row>
    <row r="96" spans="6:14">
      <c r="G96" s="179"/>
    </row>
  </sheetData>
  <mergeCells count="15">
    <mergeCell ref="P4:P5"/>
    <mergeCell ref="B2:P2"/>
    <mergeCell ref="K4:K5"/>
    <mergeCell ref="O4:O5"/>
    <mergeCell ref="H4:H5"/>
    <mergeCell ref="H3:I3"/>
    <mergeCell ref="L4:N4"/>
    <mergeCell ref="B4:B5"/>
    <mergeCell ref="C4:C5"/>
    <mergeCell ref="D4:D5"/>
    <mergeCell ref="G4:G5"/>
    <mergeCell ref="F4:F5"/>
    <mergeCell ref="I4:I5"/>
    <mergeCell ref="J4:J5"/>
    <mergeCell ref="E4:E5"/>
  </mergeCells>
  <phoneticPr fontId="2" type="noConversion"/>
  <pageMargins left="0.78740157480314965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 codeName="Sheet28"/>
  <dimension ref="A1:R96"/>
  <sheetViews>
    <sheetView zoomScaleNormal="100" workbookViewId="0">
      <selection activeCell="N33" sqref="N33"/>
    </sheetView>
  </sheetViews>
  <sheetFormatPr defaultColWidth="9.140625" defaultRowHeight="12.75"/>
  <cols>
    <col min="1" max="1" width="4.42578125" style="161" customWidth="1"/>
    <col min="2" max="2" width="4.7109375" style="9" customWidth="1"/>
    <col min="3" max="3" width="5.140625" style="9" customWidth="1"/>
    <col min="4" max="4" width="5" style="9" customWidth="1"/>
    <col min="5" max="5" width="5" style="161" customWidth="1"/>
    <col min="6" max="6" width="8.7109375" style="18" customWidth="1"/>
    <col min="7" max="7" width="8.7109375" style="166" customWidth="1"/>
    <col min="8" max="8" width="50.7109375" style="9" customWidth="1"/>
    <col min="9" max="10" width="14.7109375" style="51" customWidth="1"/>
    <col min="11" max="11" width="12.5703125" style="51" customWidth="1"/>
    <col min="12" max="13" width="14.7109375" style="51" customWidth="1"/>
    <col min="14" max="14" width="15.7109375" style="51" customWidth="1"/>
    <col min="15" max="16" width="7.7109375" style="214" customWidth="1"/>
    <col min="17" max="16384" width="9.140625" style="9"/>
  </cols>
  <sheetData>
    <row r="1" spans="1:18" ht="13.5" thickBot="1"/>
    <row r="2" spans="1:18" s="79" customFormat="1" ht="20.100000000000001" customHeight="1" thickTop="1" thickBot="1">
      <c r="A2" s="244"/>
      <c r="B2" s="1034" t="s">
        <v>669</v>
      </c>
      <c r="C2" s="1035"/>
      <c r="D2" s="1035"/>
      <c r="E2" s="1035"/>
      <c r="F2" s="1035"/>
      <c r="G2" s="1035"/>
      <c r="H2" s="1035"/>
      <c r="I2" s="1035"/>
      <c r="J2" s="1070"/>
      <c r="K2" s="1070"/>
      <c r="L2" s="1070"/>
      <c r="M2" s="1070"/>
      <c r="N2" s="1070"/>
      <c r="O2" s="1070"/>
      <c r="P2" s="1036"/>
      <c r="R2" s="244"/>
    </row>
    <row r="3" spans="1:18" s="1" customFormat="1" ht="8.1" customHeight="1" thickTop="1" thickBot="1">
      <c r="A3" s="158"/>
      <c r="E3" s="158"/>
      <c r="F3" s="2"/>
      <c r="G3" s="159"/>
      <c r="H3" s="1039"/>
      <c r="I3" s="1039"/>
      <c r="J3" s="139"/>
      <c r="K3" s="721"/>
      <c r="L3" s="74"/>
      <c r="M3" s="74"/>
      <c r="N3" s="74"/>
      <c r="O3" s="208"/>
      <c r="P3" s="208"/>
    </row>
    <row r="4" spans="1:18" s="1" customFormat="1" ht="39" customHeight="1">
      <c r="A4" s="158"/>
      <c r="B4" s="1043" t="s">
        <v>76</v>
      </c>
      <c r="C4" s="1045" t="s">
        <v>77</v>
      </c>
      <c r="D4" s="1047" t="s">
        <v>102</v>
      </c>
      <c r="E4" s="1062" t="s">
        <v>692</v>
      </c>
      <c r="F4" s="1058" t="s">
        <v>466</v>
      </c>
      <c r="G4" s="1048" t="s">
        <v>493</v>
      </c>
      <c r="H4" s="1050" t="s">
        <v>78</v>
      </c>
      <c r="I4" s="1059" t="s">
        <v>901</v>
      </c>
      <c r="J4" s="1068" t="s">
        <v>813</v>
      </c>
      <c r="K4" s="1037" t="s">
        <v>906</v>
      </c>
      <c r="L4" s="1040" t="s">
        <v>905</v>
      </c>
      <c r="M4" s="1041"/>
      <c r="N4" s="1042"/>
      <c r="O4" s="1054" t="s">
        <v>945</v>
      </c>
      <c r="P4" s="1032" t="s">
        <v>946</v>
      </c>
      <c r="R4" s="61"/>
    </row>
    <row r="5" spans="1:18" s="158" customFormat="1" ht="27" customHeight="1">
      <c r="B5" s="1044"/>
      <c r="C5" s="1046"/>
      <c r="D5" s="1046"/>
      <c r="E5" s="1049"/>
      <c r="F5" s="1051"/>
      <c r="G5" s="1049"/>
      <c r="H5" s="1051"/>
      <c r="I5" s="1051"/>
      <c r="J5" s="1051"/>
      <c r="K5" s="1038"/>
      <c r="L5" s="373" t="s">
        <v>526</v>
      </c>
      <c r="M5" s="242" t="s">
        <v>527</v>
      </c>
      <c r="N5" s="764" t="s">
        <v>319</v>
      </c>
      <c r="O5" s="1055"/>
      <c r="P5" s="1033"/>
    </row>
    <row r="6" spans="1:18" s="2" customFormat="1" ht="12.95" customHeight="1">
      <c r="A6" s="159"/>
      <c r="B6" s="328">
        <v>1</v>
      </c>
      <c r="C6" s="195">
        <v>2</v>
      </c>
      <c r="D6" s="195">
        <v>3</v>
      </c>
      <c r="E6" s="195">
        <v>4</v>
      </c>
      <c r="F6" s="195">
        <v>5</v>
      </c>
      <c r="G6" s="195">
        <v>6</v>
      </c>
      <c r="H6" s="195">
        <v>7</v>
      </c>
      <c r="I6" s="195">
        <v>8</v>
      </c>
      <c r="J6" s="195">
        <v>9</v>
      </c>
      <c r="K6" s="188">
        <v>10</v>
      </c>
      <c r="L6" s="328">
        <v>11</v>
      </c>
      <c r="M6" s="195">
        <v>12</v>
      </c>
      <c r="N6" s="810" t="s">
        <v>694</v>
      </c>
      <c r="O6" s="929" t="s">
        <v>814</v>
      </c>
      <c r="P6" s="930" t="s">
        <v>944</v>
      </c>
    </row>
    <row r="7" spans="1:18" s="2" customFormat="1" ht="12.95" customHeight="1">
      <c r="A7" s="159"/>
      <c r="B7" s="6" t="s">
        <v>126</v>
      </c>
      <c r="C7" s="7" t="s">
        <v>127</v>
      </c>
      <c r="D7" s="7" t="s">
        <v>113</v>
      </c>
      <c r="E7" s="415" t="s">
        <v>711</v>
      </c>
      <c r="F7" s="5"/>
      <c r="G7" s="160"/>
      <c r="H7" s="5"/>
      <c r="I7" s="378"/>
      <c r="J7" s="70"/>
      <c r="K7" s="726"/>
      <c r="L7" s="391"/>
      <c r="M7" s="70"/>
      <c r="N7" s="832"/>
      <c r="O7" s="951"/>
      <c r="P7" s="952"/>
    </row>
    <row r="8" spans="1:18" s="1" customFormat="1" ht="12.95" customHeight="1">
      <c r="A8" s="158"/>
      <c r="B8" s="12"/>
      <c r="C8" s="8"/>
      <c r="D8" s="8"/>
      <c r="E8" s="8"/>
      <c r="F8" s="176">
        <v>611000</v>
      </c>
      <c r="G8" s="195"/>
      <c r="H8" s="25" t="s">
        <v>140</v>
      </c>
      <c r="I8" s="236">
        <f t="shared" ref="I8:N8" si="0">SUM(I9:I12)</f>
        <v>775740</v>
      </c>
      <c r="J8" s="236">
        <f t="shared" si="0"/>
        <v>775740</v>
      </c>
      <c r="K8" s="226">
        <f t="shared" si="0"/>
        <v>623913</v>
      </c>
      <c r="L8" s="482">
        <f t="shared" si="0"/>
        <v>767682</v>
      </c>
      <c r="M8" s="236">
        <f t="shared" si="0"/>
        <v>0</v>
      </c>
      <c r="N8" s="812">
        <f t="shared" si="0"/>
        <v>767682</v>
      </c>
      <c r="O8" s="953">
        <f t="shared" ref="O8:O31" si="1">IF(J8=0,"",N8/J8*100)</f>
        <v>98.961249903318134</v>
      </c>
      <c r="P8" s="954">
        <f>IF(K8=0,"",N8/K8*100)</f>
        <v>123.04311658837051</v>
      </c>
      <c r="R8" s="52"/>
    </row>
    <row r="9" spans="1:18" ht="12.95" customHeight="1">
      <c r="B9" s="10"/>
      <c r="C9" s="11"/>
      <c r="D9" s="11"/>
      <c r="E9" s="163"/>
      <c r="F9" s="177">
        <v>611100</v>
      </c>
      <c r="G9" s="196"/>
      <c r="H9" s="428" t="s">
        <v>161</v>
      </c>
      <c r="I9" s="237">
        <f>645920+1500</f>
        <v>647420</v>
      </c>
      <c r="J9" s="237">
        <f>645920+1500</f>
        <v>647420</v>
      </c>
      <c r="K9" s="224">
        <v>532082</v>
      </c>
      <c r="L9" s="360">
        <v>642419</v>
      </c>
      <c r="M9" s="237">
        <v>0</v>
      </c>
      <c r="N9" s="813">
        <f>SUM(L9:M9)</f>
        <v>642419</v>
      </c>
      <c r="O9" s="955">
        <f t="shared" si="1"/>
        <v>99.227549349726601</v>
      </c>
      <c r="P9" s="956">
        <f t="shared" ref="P9:P53" si="2">IF(K9=0,"",N9/K9*100)</f>
        <v>120.73684131393281</v>
      </c>
    </row>
    <row r="10" spans="1:18" ht="12.95" customHeight="1">
      <c r="B10" s="10"/>
      <c r="C10" s="11"/>
      <c r="D10" s="11"/>
      <c r="E10" s="163"/>
      <c r="F10" s="177">
        <v>611200</v>
      </c>
      <c r="G10" s="196"/>
      <c r="H10" s="24" t="s">
        <v>162</v>
      </c>
      <c r="I10" s="237">
        <f>106320+1000+30*700</f>
        <v>128320</v>
      </c>
      <c r="J10" s="237">
        <f>106320+1000+30*700</f>
        <v>128320</v>
      </c>
      <c r="K10" s="224">
        <v>91831</v>
      </c>
      <c r="L10" s="360">
        <v>125263</v>
      </c>
      <c r="M10" s="237">
        <v>0</v>
      </c>
      <c r="N10" s="813">
        <f t="shared" ref="N10:N11" si="3">SUM(L10:M10)</f>
        <v>125263</v>
      </c>
      <c r="O10" s="955">
        <f t="shared" si="1"/>
        <v>97.617674563591024</v>
      </c>
      <c r="P10" s="956">
        <f t="shared" si="2"/>
        <v>136.4060066861953</v>
      </c>
    </row>
    <row r="11" spans="1:18" ht="12.95" customHeight="1">
      <c r="B11" s="10"/>
      <c r="C11" s="11"/>
      <c r="D11" s="11"/>
      <c r="E11" s="163"/>
      <c r="F11" s="177">
        <v>611200</v>
      </c>
      <c r="G11" s="196"/>
      <c r="H11" s="435" t="s">
        <v>434</v>
      </c>
      <c r="I11" s="235">
        <v>0</v>
      </c>
      <c r="J11" s="235">
        <v>0</v>
      </c>
      <c r="K11" s="225">
        <v>0</v>
      </c>
      <c r="L11" s="357">
        <v>0</v>
      </c>
      <c r="M11" s="235">
        <v>0</v>
      </c>
      <c r="N11" s="813">
        <f t="shared" si="3"/>
        <v>0</v>
      </c>
      <c r="O11" s="955" t="str">
        <f t="shared" si="1"/>
        <v/>
      </c>
      <c r="P11" s="956" t="str">
        <f t="shared" si="2"/>
        <v/>
      </c>
      <c r="R11" s="50"/>
    </row>
    <row r="12" spans="1:18" ht="12.95" customHeight="1">
      <c r="B12" s="10"/>
      <c r="C12" s="11"/>
      <c r="D12" s="11"/>
      <c r="E12" s="163"/>
      <c r="F12" s="177"/>
      <c r="G12" s="196"/>
      <c r="H12" s="428"/>
      <c r="I12" s="237"/>
      <c r="J12" s="237"/>
      <c r="K12" s="224"/>
      <c r="L12" s="360"/>
      <c r="M12" s="237"/>
      <c r="N12" s="813"/>
      <c r="O12" s="955" t="str">
        <f t="shared" si="1"/>
        <v/>
      </c>
      <c r="P12" s="956" t="str">
        <f t="shared" si="2"/>
        <v/>
      </c>
    </row>
    <row r="13" spans="1:18" s="1" customFormat="1" ht="12.95" customHeight="1">
      <c r="A13" s="158"/>
      <c r="B13" s="12"/>
      <c r="C13" s="8"/>
      <c r="D13" s="8"/>
      <c r="E13" s="8"/>
      <c r="F13" s="176">
        <v>612000</v>
      </c>
      <c r="G13" s="195"/>
      <c r="H13" s="25" t="s">
        <v>139</v>
      </c>
      <c r="I13" s="236">
        <f t="shared" ref="I13:N13" si="4">I14</f>
        <v>69190</v>
      </c>
      <c r="J13" s="236">
        <f t="shared" si="4"/>
        <v>69190</v>
      </c>
      <c r="K13" s="226">
        <f t="shared" si="4"/>
        <v>56034</v>
      </c>
      <c r="L13" s="482">
        <f t="shared" si="4"/>
        <v>68534</v>
      </c>
      <c r="M13" s="236">
        <f t="shared" si="4"/>
        <v>0</v>
      </c>
      <c r="N13" s="812">
        <f t="shared" si="4"/>
        <v>68534</v>
      </c>
      <c r="O13" s="953">
        <f t="shared" si="1"/>
        <v>99.051886110709646</v>
      </c>
      <c r="P13" s="954">
        <f t="shared" si="2"/>
        <v>122.30788449869723</v>
      </c>
    </row>
    <row r="14" spans="1:18" ht="12.95" customHeight="1">
      <c r="B14" s="10"/>
      <c r="C14" s="11"/>
      <c r="D14" s="11"/>
      <c r="E14" s="163"/>
      <c r="F14" s="177">
        <v>612100</v>
      </c>
      <c r="G14" s="196"/>
      <c r="H14" s="430" t="s">
        <v>81</v>
      </c>
      <c r="I14" s="237">
        <f>68590+600</f>
        <v>69190</v>
      </c>
      <c r="J14" s="237">
        <f>68590+600</f>
        <v>69190</v>
      </c>
      <c r="K14" s="224">
        <v>56034</v>
      </c>
      <c r="L14" s="360">
        <v>68534</v>
      </c>
      <c r="M14" s="237">
        <v>0</v>
      </c>
      <c r="N14" s="813">
        <f>SUM(L14:M14)</f>
        <v>68534</v>
      </c>
      <c r="O14" s="955">
        <f t="shared" si="1"/>
        <v>99.051886110709646</v>
      </c>
      <c r="P14" s="956">
        <f t="shared" si="2"/>
        <v>122.30788449869723</v>
      </c>
    </row>
    <row r="15" spans="1:18" ht="12.95" customHeight="1">
      <c r="B15" s="10"/>
      <c r="C15" s="11"/>
      <c r="D15" s="11"/>
      <c r="E15" s="163"/>
      <c r="F15" s="177"/>
      <c r="G15" s="196"/>
      <c r="H15" s="24"/>
      <c r="I15" s="233"/>
      <c r="J15" s="233"/>
      <c r="K15" s="222"/>
      <c r="L15" s="359"/>
      <c r="M15" s="233"/>
      <c r="N15" s="776"/>
      <c r="O15" s="955" t="str">
        <f t="shared" si="1"/>
        <v/>
      </c>
      <c r="P15" s="956" t="str">
        <f t="shared" si="2"/>
        <v/>
      </c>
    </row>
    <row r="16" spans="1:18" s="1" customFormat="1" ht="12.95" customHeight="1">
      <c r="A16" s="158"/>
      <c r="B16" s="12"/>
      <c r="C16" s="8"/>
      <c r="D16" s="8"/>
      <c r="E16" s="8"/>
      <c r="F16" s="176">
        <v>613000</v>
      </c>
      <c r="G16" s="195"/>
      <c r="H16" s="25" t="s">
        <v>141</v>
      </c>
      <c r="I16" s="234">
        <f t="shared" ref="I16:N16" si="5">SUM(I17:I26)</f>
        <v>67230</v>
      </c>
      <c r="J16" s="234">
        <f t="shared" si="5"/>
        <v>67230</v>
      </c>
      <c r="K16" s="221">
        <f t="shared" si="5"/>
        <v>49064</v>
      </c>
      <c r="L16" s="483">
        <f t="shared" si="5"/>
        <v>65514</v>
      </c>
      <c r="M16" s="234">
        <f t="shared" si="5"/>
        <v>0</v>
      </c>
      <c r="N16" s="774">
        <f t="shared" si="5"/>
        <v>65514</v>
      </c>
      <c r="O16" s="953">
        <f t="shared" si="1"/>
        <v>97.44756804997769</v>
      </c>
      <c r="P16" s="954">
        <f t="shared" si="2"/>
        <v>133.52763737159628</v>
      </c>
    </row>
    <row r="17" spans="1:16" ht="12.95" customHeight="1">
      <c r="B17" s="10"/>
      <c r="C17" s="11"/>
      <c r="D17" s="11"/>
      <c r="E17" s="163"/>
      <c r="F17" s="177">
        <v>613100</v>
      </c>
      <c r="G17" s="196"/>
      <c r="H17" s="24" t="s">
        <v>82</v>
      </c>
      <c r="I17" s="237">
        <v>3500</v>
      </c>
      <c r="J17" s="237">
        <v>3500</v>
      </c>
      <c r="K17" s="224">
        <v>1546</v>
      </c>
      <c r="L17" s="359">
        <v>3374</v>
      </c>
      <c r="M17" s="233">
        <v>0</v>
      </c>
      <c r="N17" s="813">
        <f t="shared" ref="N17:N26" si="6">SUM(L17:M17)</f>
        <v>3374</v>
      </c>
      <c r="O17" s="955">
        <f t="shared" si="1"/>
        <v>96.399999999999991</v>
      </c>
      <c r="P17" s="956">
        <f t="shared" si="2"/>
        <v>218.2406209573092</v>
      </c>
    </row>
    <row r="18" spans="1:16" ht="12.95" customHeight="1">
      <c r="B18" s="10"/>
      <c r="C18" s="11"/>
      <c r="D18" s="11"/>
      <c r="E18" s="163"/>
      <c r="F18" s="177">
        <v>613200</v>
      </c>
      <c r="G18" s="196"/>
      <c r="H18" s="24" t="s">
        <v>83</v>
      </c>
      <c r="I18" s="237">
        <v>25000</v>
      </c>
      <c r="J18" s="237">
        <v>24400</v>
      </c>
      <c r="K18" s="224">
        <v>18184</v>
      </c>
      <c r="L18" s="359">
        <v>23896</v>
      </c>
      <c r="M18" s="233">
        <v>0</v>
      </c>
      <c r="N18" s="813">
        <f t="shared" si="6"/>
        <v>23896</v>
      </c>
      <c r="O18" s="955">
        <f t="shared" si="1"/>
        <v>97.934426229508205</v>
      </c>
      <c r="P18" s="956">
        <f t="shared" si="2"/>
        <v>131.41223053233614</v>
      </c>
    </row>
    <row r="19" spans="1:16" ht="12.95" customHeight="1">
      <c r="B19" s="10"/>
      <c r="C19" s="11"/>
      <c r="D19" s="11"/>
      <c r="E19" s="163"/>
      <c r="F19" s="177">
        <v>613300</v>
      </c>
      <c r="G19" s="196"/>
      <c r="H19" s="428" t="s">
        <v>163</v>
      </c>
      <c r="I19" s="237">
        <v>3700</v>
      </c>
      <c r="J19" s="237">
        <v>3700</v>
      </c>
      <c r="K19" s="224">
        <v>2959</v>
      </c>
      <c r="L19" s="359">
        <v>3236</v>
      </c>
      <c r="M19" s="233">
        <v>0</v>
      </c>
      <c r="N19" s="813">
        <f t="shared" si="6"/>
        <v>3236</v>
      </c>
      <c r="O19" s="955">
        <f t="shared" si="1"/>
        <v>87.459459459459453</v>
      </c>
      <c r="P19" s="956">
        <f t="shared" si="2"/>
        <v>109.36127069956065</v>
      </c>
    </row>
    <row r="20" spans="1:16" ht="12.95" customHeight="1">
      <c r="B20" s="10"/>
      <c r="C20" s="11"/>
      <c r="D20" s="11"/>
      <c r="E20" s="163"/>
      <c r="F20" s="177">
        <v>613400</v>
      </c>
      <c r="G20" s="196"/>
      <c r="H20" s="24" t="s">
        <v>142</v>
      </c>
      <c r="I20" s="237">
        <v>12000</v>
      </c>
      <c r="J20" s="237">
        <v>12000</v>
      </c>
      <c r="K20" s="224">
        <v>10667</v>
      </c>
      <c r="L20" s="359">
        <v>11906</v>
      </c>
      <c r="M20" s="233">
        <v>0</v>
      </c>
      <c r="N20" s="813">
        <f t="shared" si="6"/>
        <v>11906</v>
      </c>
      <c r="O20" s="955">
        <f t="shared" si="1"/>
        <v>99.216666666666669</v>
      </c>
      <c r="P20" s="956">
        <f t="shared" si="2"/>
        <v>111.61526202306177</v>
      </c>
    </row>
    <row r="21" spans="1:16" ht="12.95" customHeight="1">
      <c r="B21" s="10"/>
      <c r="C21" s="11"/>
      <c r="D21" s="11"/>
      <c r="E21" s="163"/>
      <c r="F21" s="177">
        <v>613500</v>
      </c>
      <c r="G21" s="196"/>
      <c r="H21" s="24" t="s">
        <v>84</v>
      </c>
      <c r="I21" s="237">
        <v>350</v>
      </c>
      <c r="J21" s="237">
        <v>350</v>
      </c>
      <c r="K21" s="224">
        <v>322</v>
      </c>
      <c r="L21" s="359">
        <v>345</v>
      </c>
      <c r="M21" s="233">
        <v>0</v>
      </c>
      <c r="N21" s="813">
        <f t="shared" si="6"/>
        <v>345</v>
      </c>
      <c r="O21" s="955">
        <f t="shared" si="1"/>
        <v>98.571428571428584</v>
      </c>
      <c r="P21" s="956">
        <f t="shared" si="2"/>
        <v>107.14285714285714</v>
      </c>
    </row>
    <row r="22" spans="1:16" ht="12.95" customHeight="1">
      <c r="B22" s="10"/>
      <c r="C22" s="11"/>
      <c r="D22" s="11"/>
      <c r="E22" s="163"/>
      <c r="F22" s="177">
        <v>613600</v>
      </c>
      <c r="G22" s="196"/>
      <c r="H22" s="428" t="s">
        <v>164</v>
      </c>
      <c r="I22" s="237">
        <v>0</v>
      </c>
      <c r="J22" s="237">
        <v>0</v>
      </c>
      <c r="K22" s="224">
        <v>0</v>
      </c>
      <c r="L22" s="359">
        <v>0</v>
      </c>
      <c r="M22" s="233">
        <v>0</v>
      </c>
      <c r="N22" s="813">
        <f t="shared" si="6"/>
        <v>0</v>
      </c>
      <c r="O22" s="955" t="str">
        <f t="shared" si="1"/>
        <v/>
      </c>
      <c r="P22" s="956" t="str">
        <f t="shared" si="2"/>
        <v/>
      </c>
    </row>
    <row r="23" spans="1:16" ht="12.95" customHeight="1">
      <c r="B23" s="10"/>
      <c r="C23" s="11"/>
      <c r="D23" s="11"/>
      <c r="E23" s="163"/>
      <c r="F23" s="177">
        <v>613700</v>
      </c>
      <c r="G23" s="196"/>
      <c r="H23" s="24" t="s">
        <v>85</v>
      </c>
      <c r="I23" s="237">
        <v>12000</v>
      </c>
      <c r="J23" s="237">
        <v>12000</v>
      </c>
      <c r="K23" s="224">
        <v>9550</v>
      </c>
      <c r="L23" s="360">
        <v>11974</v>
      </c>
      <c r="M23" s="237">
        <v>0</v>
      </c>
      <c r="N23" s="813">
        <f t="shared" si="6"/>
        <v>11974</v>
      </c>
      <c r="O23" s="955">
        <f t="shared" si="1"/>
        <v>99.783333333333331</v>
      </c>
      <c r="P23" s="956">
        <f t="shared" si="2"/>
        <v>125.38219895287959</v>
      </c>
    </row>
    <row r="24" spans="1:16" ht="12.95" customHeight="1">
      <c r="B24" s="10"/>
      <c r="C24" s="11"/>
      <c r="D24" s="11"/>
      <c r="E24" s="163"/>
      <c r="F24" s="177">
        <v>613800</v>
      </c>
      <c r="G24" s="196"/>
      <c r="H24" s="24" t="s">
        <v>143</v>
      </c>
      <c r="I24" s="237">
        <v>680</v>
      </c>
      <c r="J24" s="237">
        <v>680</v>
      </c>
      <c r="K24" s="224">
        <v>0</v>
      </c>
      <c r="L24" s="360">
        <v>240</v>
      </c>
      <c r="M24" s="237">
        <v>0</v>
      </c>
      <c r="N24" s="813">
        <f t="shared" si="6"/>
        <v>240</v>
      </c>
      <c r="O24" s="955">
        <f t="shared" si="1"/>
        <v>35.294117647058826</v>
      </c>
      <c r="P24" s="956" t="str">
        <f t="shared" si="2"/>
        <v/>
      </c>
    </row>
    <row r="25" spans="1:16" ht="12.95" customHeight="1">
      <c r="B25" s="10"/>
      <c r="C25" s="11"/>
      <c r="D25" s="11"/>
      <c r="E25" s="163"/>
      <c r="F25" s="177">
        <v>613900</v>
      </c>
      <c r="G25" s="196"/>
      <c r="H25" s="24" t="s">
        <v>144</v>
      </c>
      <c r="I25" s="237">
        <v>10000</v>
      </c>
      <c r="J25" s="237">
        <v>10600</v>
      </c>
      <c r="K25" s="224">
        <v>5836</v>
      </c>
      <c r="L25" s="360">
        <v>10543</v>
      </c>
      <c r="M25" s="237">
        <v>0</v>
      </c>
      <c r="N25" s="813">
        <f t="shared" si="6"/>
        <v>10543</v>
      </c>
      <c r="O25" s="955">
        <f t="shared" si="1"/>
        <v>99.462264150943398</v>
      </c>
      <c r="P25" s="956">
        <f t="shared" si="2"/>
        <v>180.65455791638107</v>
      </c>
    </row>
    <row r="26" spans="1:16" ht="12.95" customHeight="1">
      <c r="B26" s="10"/>
      <c r="C26" s="11"/>
      <c r="D26" s="11"/>
      <c r="E26" s="163"/>
      <c r="F26" s="177">
        <v>613900</v>
      </c>
      <c r="G26" s="196"/>
      <c r="H26" s="435" t="s">
        <v>435</v>
      </c>
      <c r="I26" s="230">
        <v>0</v>
      </c>
      <c r="J26" s="230">
        <v>0</v>
      </c>
      <c r="K26" s="487">
        <v>0</v>
      </c>
      <c r="L26" s="361">
        <v>0</v>
      </c>
      <c r="M26" s="230">
        <v>0</v>
      </c>
      <c r="N26" s="813">
        <f t="shared" si="6"/>
        <v>0</v>
      </c>
      <c r="O26" s="955" t="str">
        <f t="shared" si="1"/>
        <v/>
      </c>
      <c r="P26" s="956" t="str">
        <f t="shared" si="2"/>
        <v/>
      </c>
    </row>
    <row r="27" spans="1:16" s="1" customFormat="1" ht="12.95" customHeight="1">
      <c r="A27" s="158"/>
      <c r="B27" s="12"/>
      <c r="C27" s="8"/>
      <c r="D27" s="8"/>
      <c r="E27" s="8"/>
      <c r="F27" s="176"/>
      <c r="G27" s="195"/>
      <c r="H27" s="25"/>
      <c r="I27" s="237"/>
      <c r="J27" s="237"/>
      <c r="K27" s="224"/>
      <c r="L27" s="360"/>
      <c r="M27" s="237"/>
      <c r="N27" s="776"/>
      <c r="O27" s="955" t="str">
        <f t="shared" si="1"/>
        <v/>
      </c>
      <c r="P27" s="956" t="str">
        <f t="shared" si="2"/>
        <v/>
      </c>
    </row>
    <row r="28" spans="1:16" s="1" customFormat="1" ht="12.95" customHeight="1">
      <c r="A28" s="158"/>
      <c r="B28" s="12"/>
      <c r="C28" s="8"/>
      <c r="D28" s="8"/>
      <c r="E28" s="8"/>
      <c r="F28" s="176">
        <v>821000</v>
      </c>
      <c r="G28" s="195"/>
      <c r="H28" s="25" t="s">
        <v>88</v>
      </c>
      <c r="I28" s="236">
        <f t="shared" ref="I28:N28" si="7">SUM(I29:I30)</f>
        <v>15000</v>
      </c>
      <c r="J28" s="236">
        <f t="shared" si="7"/>
        <v>15000</v>
      </c>
      <c r="K28" s="226">
        <f t="shared" si="7"/>
        <v>11431</v>
      </c>
      <c r="L28" s="482">
        <f t="shared" si="7"/>
        <v>14959</v>
      </c>
      <c r="M28" s="236">
        <f t="shared" si="7"/>
        <v>0</v>
      </c>
      <c r="N28" s="774">
        <f t="shared" si="7"/>
        <v>14959</v>
      </c>
      <c r="O28" s="953">
        <f t="shared" si="1"/>
        <v>99.726666666666659</v>
      </c>
      <c r="P28" s="954">
        <f t="shared" si="2"/>
        <v>130.86344151867729</v>
      </c>
    </row>
    <row r="29" spans="1:16" ht="12.95" customHeight="1">
      <c r="B29" s="10"/>
      <c r="C29" s="11"/>
      <c r="D29" s="11"/>
      <c r="E29" s="163"/>
      <c r="F29" s="177">
        <v>821200</v>
      </c>
      <c r="G29" s="196"/>
      <c r="H29" s="24" t="s">
        <v>89</v>
      </c>
      <c r="I29" s="237">
        <v>12000</v>
      </c>
      <c r="J29" s="237">
        <v>12000</v>
      </c>
      <c r="K29" s="224">
        <v>7988</v>
      </c>
      <c r="L29" s="360">
        <v>11982</v>
      </c>
      <c r="M29" s="237">
        <v>0</v>
      </c>
      <c r="N29" s="813">
        <f t="shared" ref="N29:N30" si="8">SUM(L29:M29)</f>
        <v>11982</v>
      </c>
      <c r="O29" s="955">
        <f t="shared" si="1"/>
        <v>99.850000000000009</v>
      </c>
      <c r="P29" s="956">
        <f t="shared" si="2"/>
        <v>150</v>
      </c>
    </row>
    <row r="30" spans="1:16" ht="12.95" customHeight="1">
      <c r="B30" s="10"/>
      <c r="C30" s="11"/>
      <c r="D30" s="11"/>
      <c r="E30" s="163"/>
      <c r="F30" s="177">
        <v>821300</v>
      </c>
      <c r="G30" s="196"/>
      <c r="H30" s="24" t="s">
        <v>90</v>
      </c>
      <c r="I30" s="237">
        <v>3000</v>
      </c>
      <c r="J30" s="237">
        <v>3000</v>
      </c>
      <c r="K30" s="224">
        <v>3443</v>
      </c>
      <c r="L30" s="360">
        <v>2977</v>
      </c>
      <c r="M30" s="237">
        <v>0</v>
      </c>
      <c r="N30" s="813">
        <f t="shared" si="8"/>
        <v>2977</v>
      </c>
      <c r="O30" s="955">
        <f t="shared" si="1"/>
        <v>99.233333333333334</v>
      </c>
      <c r="P30" s="956">
        <f t="shared" si="2"/>
        <v>86.465291896601798</v>
      </c>
    </row>
    <row r="31" spans="1:16" ht="12.95" customHeight="1">
      <c r="B31" s="10"/>
      <c r="C31" s="11"/>
      <c r="D31" s="11"/>
      <c r="E31" s="163"/>
      <c r="F31" s="177"/>
      <c r="G31" s="196"/>
      <c r="H31" s="24"/>
      <c r="I31" s="233"/>
      <c r="J31" s="233"/>
      <c r="K31" s="222"/>
      <c r="L31" s="359"/>
      <c r="M31" s="233"/>
      <c r="N31" s="776"/>
      <c r="O31" s="955" t="str">
        <f t="shared" si="1"/>
        <v/>
      </c>
      <c r="P31" s="956" t="str">
        <f t="shared" si="2"/>
        <v/>
      </c>
    </row>
    <row r="32" spans="1:16" s="1" customFormat="1" ht="12.95" customHeight="1">
      <c r="A32" s="158"/>
      <c r="B32" s="12"/>
      <c r="C32" s="8"/>
      <c r="D32" s="8"/>
      <c r="E32" s="8"/>
      <c r="F32" s="176"/>
      <c r="G32" s="195"/>
      <c r="H32" s="25" t="s">
        <v>91</v>
      </c>
      <c r="I32" s="394" t="s">
        <v>845</v>
      </c>
      <c r="J32" s="394" t="s">
        <v>845</v>
      </c>
      <c r="K32" s="727" t="s">
        <v>935</v>
      </c>
      <c r="L32" s="498">
        <v>30</v>
      </c>
      <c r="M32" s="394"/>
      <c r="N32" s="767">
        <v>30</v>
      </c>
      <c r="O32" s="955"/>
      <c r="P32" s="956"/>
    </row>
    <row r="33" spans="1:16" s="1" customFormat="1" ht="12.95" customHeight="1">
      <c r="A33" s="158"/>
      <c r="B33" s="12"/>
      <c r="C33" s="8"/>
      <c r="D33" s="8"/>
      <c r="E33" s="8"/>
      <c r="F33" s="176"/>
      <c r="G33" s="195"/>
      <c r="H33" s="8" t="s">
        <v>105</v>
      </c>
      <c r="I33" s="367">
        <f t="shared" ref="I33:K33" si="9">I8+I13+I16+I28</f>
        <v>927160</v>
      </c>
      <c r="J33" s="165">
        <f t="shared" si="9"/>
        <v>927160</v>
      </c>
      <c r="K33" s="153">
        <f t="shared" si="9"/>
        <v>740442</v>
      </c>
      <c r="L33" s="370">
        <f>L8+L13+L16+L28</f>
        <v>916689</v>
      </c>
      <c r="M33" s="165">
        <f>M8+M13+M16+M28</f>
        <v>0</v>
      </c>
      <c r="N33" s="774">
        <f>N8+N13+N16+N28</f>
        <v>916689</v>
      </c>
      <c r="O33" s="953">
        <f>IF(J33=0,"",N33/J33*100)</f>
        <v>98.870637214720219</v>
      </c>
      <c r="P33" s="954">
        <f t="shared" si="2"/>
        <v>123.80294472760865</v>
      </c>
    </row>
    <row r="34" spans="1:16" s="1" customFormat="1" ht="12.95" customHeight="1">
      <c r="A34" s="158"/>
      <c r="B34" s="12"/>
      <c r="C34" s="8"/>
      <c r="D34" s="8"/>
      <c r="E34" s="8"/>
      <c r="F34" s="176"/>
      <c r="G34" s="195"/>
      <c r="H34" s="8" t="s">
        <v>92</v>
      </c>
      <c r="I34" s="367"/>
      <c r="J34" s="165"/>
      <c r="K34" s="153"/>
      <c r="L34" s="370"/>
      <c r="M34" s="165"/>
      <c r="N34" s="774"/>
      <c r="O34" s="955" t="str">
        <f>IF(J34=0,"",N34/J34*100)</f>
        <v/>
      </c>
      <c r="P34" s="956" t="str">
        <f t="shared" si="2"/>
        <v/>
      </c>
    </row>
    <row r="35" spans="1:16" s="1" customFormat="1" ht="12.95" customHeight="1">
      <c r="A35" s="158"/>
      <c r="B35" s="12"/>
      <c r="C35" s="8"/>
      <c r="D35" s="8"/>
      <c r="E35" s="8"/>
      <c r="F35" s="176"/>
      <c r="G35" s="195"/>
      <c r="H35" s="8" t="s">
        <v>93</v>
      </c>
      <c r="I35" s="29"/>
      <c r="J35" s="29"/>
      <c r="K35" s="148"/>
      <c r="L35" s="369"/>
      <c r="M35" s="156"/>
      <c r="N35" s="776"/>
      <c r="O35" s="955" t="str">
        <f>IF(J35=0,"",N35/J35*100)</f>
        <v/>
      </c>
      <c r="P35" s="956" t="str">
        <f t="shared" si="2"/>
        <v/>
      </c>
    </row>
    <row r="36" spans="1:16" ht="12.95" customHeight="1" thickBot="1">
      <c r="B36" s="16"/>
      <c r="C36" s="17"/>
      <c r="D36" s="17"/>
      <c r="E36" s="17"/>
      <c r="F36" s="178"/>
      <c r="G36" s="197"/>
      <c r="H36" s="17"/>
      <c r="I36" s="31"/>
      <c r="J36" s="31"/>
      <c r="K36" s="725"/>
      <c r="L36" s="371"/>
      <c r="M36" s="31"/>
      <c r="N36" s="814"/>
      <c r="O36" s="957"/>
      <c r="P36" s="958" t="str">
        <f t="shared" si="2"/>
        <v/>
      </c>
    </row>
    <row r="37" spans="1:16" ht="12.95" customHeight="1">
      <c r="F37" s="179"/>
      <c r="G37" s="198"/>
      <c r="N37" s="254"/>
      <c r="P37" s="214" t="str">
        <f t="shared" si="2"/>
        <v/>
      </c>
    </row>
    <row r="38" spans="1:16" ht="12.95" customHeight="1">
      <c r="B38" s="45"/>
      <c r="F38" s="179"/>
      <c r="G38" s="198"/>
      <c r="N38" s="254"/>
      <c r="P38" s="214" t="str">
        <f t="shared" si="2"/>
        <v/>
      </c>
    </row>
    <row r="39" spans="1:16" ht="12.95" customHeight="1">
      <c r="B39" s="45"/>
      <c r="F39" s="179"/>
      <c r="G39" s="198"/>
      <c r="N39" s="254"/>
      <c r="P39" s="214" t="str">
        <f t="shared" si="2"/>
        <v/>
      </c>
    </row>
    <row r="40" spans="1:16" ht="12.95" customHeight="1">
      <c r="B40" s="45"/>
      <c r="F40" s="179"/>
      <c r="G40" s="198"/>
      <c r="N40" s="254"/>
      <c r="P40" s="214" t="str">
        <f t="shared" si="2"/>
        <v/>
      </c>
    </row>
    <row r="41" spans="1:16" ht="12.95" customHeight="1">
      <c r="B41" s="45"/>
      <c r="F41" s="179"/>
      <c r="G41" s="198"/>
      <c r="N41" s="254"/>
      <c r="P41" s="214" t="str">
        <f t="shared" si="2"/>
        <v/>
      </c>
    </row>
    <row r="42" spans="1:16" ht="12.95" customHeight="1">
      <c r="B42" s="45"/>
      <c r="F42" s="179"/>
      <c r="G42" s="198"/>
      <c r="N42" s="254"/>
      <c r="P42" s="214" t="str">
        <f t="shared" si="2"/>
        <v/>
      </c>
    </row>
    <row r="43" spans="1:16" ht="12.95" customHeight="1">
      <c r="B43" s="45"/>
      <c r="F43" s="179"/>
      <c r="G43" s="198"/>
      <c r="N43" s="254"/>
      <c r="P43" s="214" t="str">
        <f t="shared" si="2"/>
        <v/>
      </c>
    </row>
    <row r="44" spans="1:16" ht="12.95" customHeight="1">
      <c r="B44" s="45"/>
      <c r="F44" s="179"/>
      <c r="G44" s="198"/>
      <c r="N44" s="254"/>
      <c r="P44" s="214" t="str">
        <f t="shared" si="2"/>
        <v/>
      </c>
    </row>
    <row r="45" spans="1:16" ht="12.95" customHeight="1">
      <c r="B45" s="45"/>
      <c r="F45" s="179"/>
      <c r="G45" s="198"/>
      <c r="N45" s="254"/>
      <c r="P45" s="214" t="str">
        <f t="shared" si="2"/>
        <v/>
      </c>
    </row>
    <row r="46" spans="1:16" ht="12.95" customHeight="1">
      <c r="B46" s="45"/>
      <c r="F46" s="179"/>
      <c r="G46" s="198"/>
      <c r="N46" s="254"/>
      <c r="P46" s="214" t="str">
        <f t="shared" si="2"/>
        <v/>
      </c>
    </row>
    <row r="47" spans="1:16" ht="12.95" customHeight="1">
      <c r="B47" s="45"/>
      <c r="F47" s="179"/>
      <c r="G47" s="198"/>
      <c r="N47" s="254"/>
      <c r="P47" s="214" t="str">
        <f t="shared" si="2"/>
        <v/>
      </c>
    </row>
    <row r="48" spans="1:16" ht="12.95" customHeight="1">
      <c r="B48" s="45"/>
      <c r="F48" s="179"/>
      <c r="G48" s="198"/>
      <c r="N48" s="254"/>
      <c r="P48" s="214" t="str">
        <f t="shared" si="2"/>
        <v/>
      </c>
    </row>
    <row r="49" spans="6:16" ht="12.95" customHeight="1">
      <c r="F49" s="179"/>
      <c r="G49" s="198"/>
      <c r="N49" s="254"/>
      <c r="P49" s="214" t="str">
        <f t="shared" si="2"/>
        <v/>
      </c>
    </row>
    <row r="50" spans="6:16" ht="12.95" customHeight="1">
      <c r="F50" s="179"/>
      <c r="G50" s="198"/>
      <c r="N50" s="254"/>
      <c r="P50" s="214" t="str">
        <f t="shared" si="2"/>
        <v/>
      </c>
    </row>
    <row r="51" spans="6:16" ht="12.95" customHeight="1">
      <c r="F51" s="179"/>
      <c r="G51" s="198"/>
      <c r="N51" s="254"/>
      <c r="P51" s="214" t="str">
        <f t="shared" si="2"/>
        <v/>
      </c>
    </row>
    <row r="52" spans="6:16" ht="12.95" customHeight="1">
      <c r="F52" s="179"/>
      <c r="G52" s="198"/>
      <c r="N52" s="254"/>
      <c r="P52" s="214" t="str">
        <f t="shared" si="2"/>
        <v/>
      </c>
    </row>
    <row r="53" spans="6:16" ht="12.95" customHeight="1">
      <c r="F53" s="179"/>
      <c r="G53" s="198"/>
      <c r="N53" s="254"/>
      <c r="P53" s="214" t="str">
        <f t="shared" si="2"/>
        <v/>
      </c>
    </row>
    <row r="54" spans="6:16" ht="12.95" customHeight="1">
      <c r="F54" s="179"/>
      <c r="G54" s="198"/>
      <c r="N54" s="254"/>
    </row>
    <row r="55" spans="6:16" ht="12.95" customHeight="1">
      <c r="F55" s="179"/>
      <c r="G55" s="198"/>
      <c r="N55" s="254"/>
    </row>
    <row r="56" spans="6:16" ht="12.95" customHeight="1">
      <c r="F56" s="179"/>
      <c r="G56" s="198"/>
      <c r="N56" s="254"/>
    </row>
    <row r="57" spans="6:16" ht="12.95" customHeight="1">
      <c r="F57" s="179"/>
      <c r="G57" s="198"/>
      <c r="N57" s="254"/>
    </row>
    <row r="58" spans="6:16" ht="12.95" customHeight="1">
      <c r="F58" s="179"/>
      <c r="G58" s="198"/>
      <c r="N58" s="254"/>
    </row>
    <row r="59" spans="6:16" ht="12.95" customHeight="1">
      <c r="F59" s="179"/>
      <c r="G59" s="198"/>
      <c r="N59" s="254"/>
    </row>
    <row r="60" spans="6:16" ht="17.100000000000001" customHeight="1">
      <c r="F60" s="179"/>
      <c r="G60" s="198"/>
      <c r="N60" s="254"/>
    </row>
    <row r="61" spans="6:16" ht="14.25">
      <c r="F61" s="179"/>
      <c r="G61" s="198"/>
      <c r="N61" s="254"/>
    </row>
    <row r="62" spans="6:16" ht="14.25">
      <c r="F62" s="179"/>
      <c r="G62" s="198"/>
      <c r="N62" s="254"/>
    </row>
    <row r="63" spans="6:16" ht="14.25">
      <c r="F63" s="179"/>
      <c r="G63" s="198"/>
      <c r="N63" s="254"/>
    </row>
    <row r="64" spans="6:16" ht="14.25">
      <c r="F64" s="179"/>
      <c r="G64" s="198"/>
      <c r="N64" s="254"/>
    </row>
    <row r="65" spans="6:14" ht="14.25">
      <c r="F65" s="179"/>
      <c r="G65" s="198"/>
      <c r="N65" s="254"/>
    </row>
    <row r="66" spans="6:14" ht="14.25">
      <c r="F66" s="179"/>
      <c r="G66" s="198"/>
      <c r="N66" s="254"/>
    </row>
    <row r="67" spans="6:14" ht="14.25">
      <c r="F67" s="179"/>
      <c r="G67" s="198"/>
      <c r="N67" s="254"/>
    </row>
    <row r="68" spans="6:14" ht="14.25">
      <c r="F68" s="179"/>
      <c r="G68" s="198"/>
      <c r="N68" s="254"/>
    </row>
    <row r="69" spans="6:14" ht="14.25">
      <c r="F69" s="179"/>
      <c r="G69" s="198"/>
      <c r="N69" s="254"/>
    </row>
    <row r="70" spans="6:14" ht="14.25">
      <c r="F70" s="179"/>
      <c r="G70" s="198"/>
      <c r="N70" s="254"/>
    </row>
    <row r="71" spans="6:14" ht="14.25">
      <c r="F71" s="179"/>
      <c r="G71" s="198"/>
      <c r="N71" s="254"/>
    </row>
    <row r="72" spans="6:14" ht="14.25">
      <c r="F72" s="179"/>
      <c r="G72" s="198"/>
      <c r="N72" s="254"/>
    </row>
    <row r="73" spans="6:14" ht="14.25">
      <c r="F73" s="179"/>
      <c r="G73" s="198"/>
      <c r="N73" s="254"/>
    </row>
    <row r="74" spans="6:14" ht="14.25">
      <c r="F74" s="179"/>
      <c r="G74" s="179"/>
      <c r="N74" s="254"/>
    </row>
    <row r="75" spans="6:14" ht="14.25">
      <c r="F75" s="179"/>
      <c r="G75" s="179"/>
      <c r="N75" s="254"/>
    </row>
    <row r="76" spans="6:14" ht="14.25">
      <c r="F76" s="179"/>
      <c r="G76" s="179"/>
      <c r="N76" s="254"/>
    </row>
    <row r="77" spans="6:14" ht="14.25">
      <c r="F77" s="179"/>
      <c r="G77" s="179"/>
      <c r="N77" s="254"/>
    </row>
    <row r="78" spans="6:14" ht="14.25">
      <c r="F78" s="179"/>
      <c r="G78" s="179"/>
      <c r="N78" s="254"/>
    </row>
    <row r="79" spans="6:14" ht="14.25">
      <c r="F79" s="179"/>
      <c r="G79" s="179"/>
      <c r="N79" s="254"/>
    </row>
    <row r="80" spans="6:14" ht="14.25">
      <c r="F80" s="179"/>
      <c r="G80" s="179"/>
      <c r="N80" s="254"/>
    </row>
    <row r="81" spans="6:14" ht="14.25">
      <c r="F81" s="179"/>
      <c r="G81" s="179"/>
      <c r="N81" s="254"/>
    </row>
    <row r="82" spans="6:14" ht="14.25">
      <c r="F82" s="179"/>
      <c r="G82" s="179"/>
      <c r="N82" s="254"/>
    </row>
    <row r="83" spans="6:14" ht="14.25">
      <c r="F83" s="179"/>
      <c r="G83" s="179"/>
      <c r="N83" s="254"/>
    </row>
    <row r="84" spans="6:14" ht="14.25">
      <c r="F84" s="179"/>
      <c r="G84" s="179"/>
      <c r="N84" s="254"/>
    </row>
    <row r="85" spans="6:14" ht="14.25">
      <c r="F85" s="179"/>
      <c r="G85" s="179"/>
      <c r="N85" s="254"/>
    </row>
    <row r="86" spans="6:14" ht="14.25">
      <c r="F86" s="179"/>
      <c r="G86" s="179"/>
      <c r="N86" s="254"/>
    </row>
    <row r="87" spans="6:14" ht="14.25">
      <c r="F87" s="179"/>
      <c r="G87" s="179"/>
      <c r="N87" s="254"/>
    </row>
    <row r="88" spans="6:14" ht="14.25">
      <c r="F88" s="179"/>
      <c r="G88" s="179"/>
      <c r="N88" s="254"/>
    </row>
    <row r="89" spans="6:14" ht="14.25">
      <c r="F89" s="179"/>
      <c r="G89" s="179"/>
      <c r="N89" s="254"/>
    </row>
    <row r="90" spans="6:14" ht="14.25">
      <c r="F90" s="179"/>
      <c r="G90" s="179"/>
      <c r="N90" s="254"/>
    </row>
    <row r="91" spans="6:14">
      <c r="G91" s="179"/>
    </row>
    <row r="92" spans="6:14">
      <c r="G92" s="179"/>
    </row>
    <row r="93" spans="6:14">
      <c r="G93" s="179"/>
    </row>
    <row r="94" spans="6:14">
      <c r="G94" s="179"/>
    </row>
    <row r="95" spans="6:14">
      <c r="G95" s="179"/>
    </row>
    <row r="96" spans="6:14">
      <c r="G96" s="179"/>
    </row>
  </sheetData>
  <mergeCells count="15">
    <mergeCell ref="P4:P5"/>
    <mergeCell ref="B2:P2"/>
    <mergeCell ref="K4:K5"/>
    <mergeCell ref="O4:O5"/>
    <mergeCell ref="H4:H5"/>
    <mergeCell ref="H3:I3"/>
    <mergeCell ref="L4:N4"/>
    <mergeCell ref="B4:B5"/>
    <mergeCell ref="C4:C5"/>
    <mergeCell ref="D4:D5"/>
    <mergeCell ref="G4:G5"/>
    <mergeCell ref="F4:F5"/>
    <mergeCell ref="I4:I5"/>
    <mergeCell ref="J4:J5"/>
    <mergeCell ref="E4:E5"/>
  </mergeCells>
  <phoneticPr fontId="2" type="noConversion"/>
  <pageMargins left="0.78740157480314965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 codeName="Sheet29"/>
  <dimension ref="A1:R96"/>
  <sheetViews>
    <sheetView zoomScaleNormal="100" workbookViewId="0">
      <selection activeCell="N33" sqref="N33"/>
    </sheetView>
  </sheetViews>
  <sheetFormatPr defaultColWidth="9.140625" defaultRowHeight="12.75"/>
  <cols>
    <col min="1" max="1" width="4.42578125" style="161" customWidth="1"/>
    <col min="2" max="2" width="4.7109375" style="9" customWidth="1"/>
    <col min="3" max="3" width="5.140625" style="9" customWidth="1"/>
    <col min="4" max="4" width="5" style="9" customWidth="1"/>
    <col min="5" max="5" width="5" style="161" customWidth="1"/>
    <col min="6" max="6" width="8.7109375" style="18" customWidth="1"/>
    <col min="7" max="7" width="8.7109375" style="166" customWidth="1"/>
    <col min="8" max="8" width="50.7109375" style="9" customWidth="1"/>
    <col min="9" max="10" width="14.7109375" style="51" customWidth="1"/>
    <col min="11" max="11" width="12.5703125" style="51" customWidth="1"/>
    <col min="12" max="13" width="14.7109375" style="51" customWidth="1"/>
    <col min="14" max="14" width="15.7109375" style="51" customWidth="1"/>
    <col min="15" max="16" width="7.7109375" style="214" customWidth="1"/>
    <col min="17" max="16384" width="9.140625" style="9"/>
  </cols>
  <sheetData>
    <row r="1" spans="1:18" ht="13.5" thickBot="1"/>
    <row r="2" spans="1:18" s="79" customFormat="1" ht="20.100000000000001" customHeight="1" thickTop="1" thickBot="1">
      <c r="A2" s="244"/>
      <c r="B2" s="1034" t="s">
        <v>681</v>
      </c>
      <c r="C2" s="1035"/>
      <c r="D2" s="1035"/>
      <c r="E2" s="1035"/>
      <c r="F2" s="1035"/>
      <c r="G2" s="1035"/>
      <c r="H2" s="1035"/>
      <c r="I2" s="1035"/>
      <c r="J2" s="1070"/>
      <c r="K2" s="1070"/>
      <c r="L2" s="1070"/>
      <c r="M2" s="1070"/>
      <c r="N2" s="1070"/>
      <c r="O2" s="1070"/>
      <c r="P2" s="1036"/>
      <c r="R2" s="244"/>
    </row>
    <row r="3" spans="1:18" s="1" customFormat="1" ht="8.1" customHeight="1" thickTop="1" thickBot="1">
      <c r="A3" s="158"/>
      <c r="E3" s="158"/>
      <c r="F3" s="2"/>
      <c r="G3" s="159"/>
      <c r="H3" s="1039"/>
      <c r="I3" s="1039"/>
      <c r="J3" s="139"/>
      <c r="K3" s="721"/>
      <c r="L3" s="74"/>
      <c r="M3" s="74"/>
      <c r="N3" s="74"/>
      <c r="O3" s="208"/>
      <c r="P3" s="208"/>
    </row>
    <row r="4" spans="1:18" s="1" customFormat="1" ht="39" customHeight="1">
      <c r="A4" s="158"/>
      <c r="B4" s="1043" t="s">
        <v>76</v>
      </c>
      <c r="C4" s="1045" t="s">
        <v>77</v>
      </c>
      <c r="D4" s="1047" t="s">
        <v>102</v>
      </c>
      <c r="E4" s="1062" t="s">
        <v>692</v>
      </c>
      <c r="F4" s="1058" t="s">
        <v>466</v>
      </c>
      <c r="G4" s="1048" t="s">
        <v>493</v>
      </c>
      <c r="H4" s="1050" t="s">
        <v>78</v>
      </c>
      <c r="I4" s="1059" t="s">
        <v>901</v>
      </c>
      <c r="J4" s="1068" t="s">
        <v>813</v>
      </c>
      <c r="K4" s="1037" t="s">
        <v>906</v>
      </c>
      <c r="L4" s="1040" t="s">
        <v>905</v>
      </c>
      <c r="M4" s="1041"/>
      <c r="N4" s="1042"/>
      <c r="O4" s="1054" t="s">
        <v>945</v>
      </c>
      <c r="P4" s="1032" t="s">
        <v>946</v>
      </c>
      <c r="R4" s="61"/>
    </row>
    <row r="5" spans="1:18" s="158" customFormat="1" ht="27" customHeight="1">
      <c r="B5" s="1044"/>
      <c r="C5" s="1046"/>
      <c r="D5" s="1046"/>
      <c r="E5" s="1049"/>
      <c r="F5" s="1051"/>
      <c r="G5" s="1049"/>
      <c r="H5" s="1051"/>
      <c r="I5" s="1051"/>
      <c r="J5" s="1051"/>
      <c r="K5" s="1038"/>
      <c r="L5" s="373" t="s">
        <v>526</v>
      </c>
      <c r="M5" s="242" t="s">
        <v>527</v>
      </c>
      <c r="N5" s="764" t="s">
        <v>319</v>
      </c>
      <c r="O5" s="1055"/>
      <c r="P5" s="1033"/>
    </row>
    <row r="6" spans="1:18" s="2" customFormat="1" ht="12.95" customHeight="1">
      <c r="A6" s="159"/>
      <c r="B6" s="328">
        <v>1</v>
      </c>
      <c r="C6" s="195">
        <v>2</v>
      </c>
      <c r="D6" s="195">
        <v>3</v>
      </c>
      <c r="E6" s="195">
        <v>4</v>
      </c>
      <c r="F6" s="195">
        <v>5</v>
      </c>
      <c r="G6" s="195">
        <v>6</v>
      </c>
      <c r="H6" s="195">
        <v>7</v>
      </c>
      <c r="I6" s="195">
        <v>8</v>
      </c>
      <c r="J6" s="195">
        <v>9</v>
      </c>
      <c r="K6" s="188">
        <v>10</v>
      </c>
      <c r="L6" s="328">
        <v>11</v>
      </c>
      <c r="M6" s="195">
        <v>12</v>
      </c>
      <c r="N6" s="810" t="s">
        <v>694</v>
      </c>
      <c r="O6" s="929" t="s">
        <v>814</v>
      </c>
      <c r="P6" s="930" t="s">
        <v>944</v>
      </c>
    </row>
    <row r="7" spans="1:18" s="2" customFormat="1" ht="12.95" customHeight="1">
      <c r="A7" s="159"/>
      <c r="B7" s="6" t="s">
        <v>126</v>
      </c>
      <c r="C7" s="7" t="s">
        <v>127</v>
      </c>
      <c r="D7" s="7" t="s">
        <v>114</v>
      </c>
      <c r="E7" s="415" t="s">
        <v>711</v>
      </c>
      <c r="F7" s="5"/>
      <c r="G7" s="160"/>
      <c r="H7" s="5"/>
      <c r="I7" s="378"/>
      <c r="J7" s="70"/>
      <c r="K7" s="726"/>
      <c r="L7" s="391"/>
      <c r="M7" s="70"/>
      <c r="N7" s="832"/>
      <c r="O7" s="951"/>
      <c r="P7" s="952"/>
    </row>
    <row r="8" spans="1:18" s="1" customFormat="1" ht="12.95" customHeight="1">
      <c r="A8" s="158"/>
      <c r="B8" s="12"/>
      <c r="C8" s="8"/>
      <c r="D8" s="8"/>
      <c r="E8" s="8"/>
      <c r="F8" s="176">
        <v>611000</v>
      </c>
      <c r="G8" s="195"/>
      <c r="H8" s="25" t="s">
        <v>140</v>
      </c>
      <c r="I8" s="236">
        <f t="shared" ref="I8:N8" si="0">SUM(I9:I11)</f>
        <v>880700</v>
      </c>
      <c r="J8" s="236">
        <f t="shared" si="0"/>
        <v>880700</v>
      </c>
      <c r="K8" s="226">
        <f t="shared" si="0"/>
        <v>811536</v>
      </c>
      <c r="L8" s="482">
        <f t="shared" si="0"/>
        <v>866326</v>
      </c>
      <c r="M8" s="236">
        <f t="shared" si="0"/>
        <v>0</v>
      </c>
      <c r="N8" s="812">
        <f t="shared" si="0"/>
        <v>866326</v>
      </c>
      <c r="O8" s="953">
        <f t="shared" ref="O8:O31" si="1">IF(J8=0,"",N8/J8*100)</f>
        <v>98.367889179062104</v>
      </c>
      <c r="P8" s="954">
        <f>IF(K8=0,"",N8/K8*100)</f>
        <v>106.75139488574752</v>
      </c>
    </row>
    <row r="9" spans="1:18" ht="12.95" customHeight="1">
      <c r="B9" s="10"/>
      <c r="C9" s="11"/>
      <c r="D9" s="11"/>
      <c r="E9" s="163"/>
      <c r="F9" s="177">
        <v>611100</v>
      </c>
      <c r="G9" s="196"/>
      <c r="H9" s="428" t="s">
        <v>161</v>
      </c>
      <c r="I9" s="237">
        <f>724300+1500</f>
        <v>725800</v>
      </c>
      <c r="J9" s="237">
        <f>724300+1500</f>
        <v>725800</v>
      </c>
      <c r="K9" s="224">
        <v>666966</v>
      </c>
      <c r="L9" s="360">
        <v>720985</v>
      </c>
      <c r="M9" s="237">
        <v>0</v>
      </c>
      <c r="N9" s="813">
        <f>SUM(L9:M9)</f>
        <v>720985</v>
      </c>
      <c r="O9" s="955">
        <f t="shared" si="1"/>
        <v>99.336594103058701</v>
      </c>
      <c r="P9" s="956">
        <f t="shared" ref="P9:P53" si="2">IF(K9=0,"",N9/K9*100)</f>
        <v>108.09921345315954</v>
      </c>
    </row>
    <row r="10" spans="1:18" ht="12.95" customHeight="1">
      <c r="B10" s="10"/>
      <c r="C10" s="11"/>
      <c r="D10" s="11"/>
      <c r="E10" s="163"/>
      <c r="F10" s="177">
        <v>611200</v>
      </c>
      <c r="G10" s="196"/>
      <c r="H10" s="24" t="s">
        <v>162</v>
      </c>
      <c r="I10" s="237">
        <f>127500+1500+37*700</f>
        <v>154900</v>
      </c>
      <c r="J10" s="237">
        <f>127500+1500+37*700</f>
        <v>154900</v>
      </c>
      <c r="K10" s="224">
        <v>144570</v>
      </c>
      <c r="L10" s="360">
        <v>145341</v>
      </c>
      <c r="M10" s="237">
        <v>0</v>
      </c>
      <c r="N10" s="813">
        <f t="shared" ref="N10:N11" si="3">SUM(L10:M10)</f>
        <v>145341</v>
      </c>
      <c r="O10" s="955">
        <f t="shared" si="1"/>
        <v>93.828921885087155</v>
      </c>
      <c r="P10" s="956">
        <f t="shared" si="2"/>
        <v>100.53330566507574</v>
      </c>
    </row>
    <row r="11" spans="1:18" ht="12.95" customHeight="1">
      <c r="B11" s="10"/>
      <c r="C11" s="11"/>
      <c r="D11" s="11"/>
      <c r="E11" s="163"/>
      <c r="F11" s="177">
        <v>611200</v>
      </c>
      <c r="G11" s="196"/>
      <c r="H11" s="435" t="s">
        <v>434</v>
      </c>
      <c r="I11" s="235">
        <v>0</v>
      </c>
      <c r="J11" s="235">
        <v>0</v>
      </c>
      <c r="K11" s="225">
        <v>0</v>
      </c>
      <c r="L11" s="357">
        <v>0</v>
      </c>
      <c r="M11" s="235">
        <v>0</v>
      </c>
      <c r="N11" s="813">
        <f t="shared" si="3"/>
        <v>0</v>
      </c>
      <c r="O11" s="955" t="str">
        <f t="shared" si="1"/>
        <v/>
      </c>
      <c r="P11" s="956" t="str">
        <f t="shared" si="2"/>
        <v/>
      </c>
      <c r="R11" s="50"/>
    </row>
    <row r="12" spans="1:18" ht="12.95" customHeight="1">
      <c r="B12" s="10"/>
      <c r="C12" s="11"/>
      <c r="D12" s="11"/>
      <c r="E12" s="163"/>
      <c r="F12" s="177"/>
      <c r="G12" s="196"/>
      <c r="H12" s="24"/>
      <c r="I12" s="236"/>
      <c r="J12" s="236"/>
      <c r="K12" s="226"/>
      <c r="L12" s="482"/>
      <c r="M12" s="236"/>
      <c r="N12" s="812"/>
      <c r="O12" s="955" t="str">
        <f t="shared" si="1"/>
        <v/>
      </c>
      <c r="P12" s="956" t="str">
        <f t="shared" si="2"/>
        <v/>
      </c>
    </row>
    <row r="13" spans="1:18" s="1" customFormat="1" ht="12.95" customHeight="1">
      <c r="A13" s="158"/>
      <c r="B13" s="12"/>
      <c r="C13" s="8"/>
      <c r="D13" s="8"/>
      <c r="E13" s="8"/>
      <c r="F13" s="176">
        <v>612000</v>
      </c>
      <c r="G13" s="195"/>
      <c r="H13" s="25" t="s">
        <v>139</v>
      </c>
      <c r="I13" s="236">
        <f t="shared" ref="I13:N13" si="4">I14</f>
        <v>77240</v>
      </c>
      <c r="J13" s="236">
        <f t="shared" si="4"/>
        <v>77240</v>
      </c>
      <c r="K13" s="226">
        <f t="shared" si="4"/>
        <v>70523</v>
      </c>
      <c r="L13" s="482">
        <f t="shared" si="4"/>
        <v>76538</v>
      </c>
      <c r="M13" s="236">
        <f t="shared" si="4"/>
        <v>0</v>
      </c>
      <c r="N13" s="812">
        <f t="shared" si="4"/>
        <v>76538</v>
      </c>
      <c r="O13" s="953">
        <f t="shared" si="1"/>
        <v>99.091144484722932</v>
      </c>
      <c r="P13" s="954">
        <f t="shared" si="2"/>
        <v>108.52913233980404</v>
      </c>
    </row>
    <row r="14" spans="1:18" ht="12.95" customHeight="1">
      <c r="B14" s="10"/>
      <c r="C14" s="11"/>
      <c r="D14" s="11"/>
      <c r="E14" s="163"/>
      <c r="F14" s="177">
        <v>612100</v>
      </c>
      <c r="G14" s="196"/>
      <c r="H14" s="430" t="s">
        <v>81</v>
      </c>
      <c r="I14" s="237">
        <f>76540+700</f>
        <v>77240</v>
      </c>
      <c r="J14" s="237">
        <f>76540+700</f>
        <v>77240</v>
      </c>
      <c r="K14" s="224">
        <v>70523</v>
      </c>
      <c r="L14" s="360">
        <v>76538</v>
      </c>
      <c r="M14" s="237">
        <v>0</v>
      </c>
      <c r="N14" s="813">
        <f>SUM(L14:M14)</f>
        <v>76538</v>
      </c>
      <c r="O14" s="955">
        <f t="shared" si="1"/>
        <v>99.091144484722932</v>
      </c>
      <c r="P14" s="956">
        <f t="shared" si="2"/>
        <v>108.52913233980404</v>
      </c>
    </row>
    <row r="15" spans="1:18" ht="12.95" customHeight="1">
      <c r="B15" s="10"/>
      <c r="C15" s="11"/>
      <c r="D15" s="11"/>
      <c r="E15" s="163"/>
      <c r="F15" s="177"/>
      <c r="G15" s="196"/>
      <c r="H15" s="24"/>
      <c r="I15" s="232"/>
      <c r="J15" s="232"/>
      <c r="K15" s="223"/>
      <c r="L15" s="484"/>
      <c r="M15" s="232"/>
      <c r="N15" s="774"/>
      <c r="O15" s="955" t="str">
        <f t="shared" si="1"/>
        <v/>
      </c>
      <c r="P15" s="956" t="str">
        <f t="shared" si="2"/>
        <v/>
      </c>
    </row>
    <row r="16" spans="1:18" s="1" customFormat="1" ht="12.95" customHeight="1">
      <c r="A16" s="158"/>
      <c r="B16" s="12"/>
      <c r="C16" s="8"/>
      <c r="D16" s="8"/>
      <c r="E16" s="8"/>
      <c r="F16" s="176">
        <v>613000</v>
      </c>
      <c r="G16" s="195"/>
      <c r="H16" s="25" t="s">
        <v>141</v>
      </c>
      <c r="I16" s="234">
        <f t="shared" ref="I16:N16" si="5">SUM(I17:I26)</f>
        <v>113350</v>
      </c>
      <c r="J16" s="234">
        <f t="shared" si="5"/>
        <v>113350</v>
      </c>
      <c r="K16" s="221">
        <f t="shared" si="5"/>
        <v>66949</v>
      </c>
      <c r="L16" s="483">
        <f t="shared" si="5"/>
        <v>106909</v>
      </c>
      <c r="M16" s="234">
        <f t="shared" si="5"/>
        <v>0</v>
      </c>
      <c r="N16" s="774">
        <f t="shared" si="5"/>
        <v>106909</v>
      </c>
      <c r="O16" s="953">
        <f t="shared" si="1"/>
        <v>94.317600352889286</v>
      </c>
      <c r="P16" s="954">
        <f t="shared" si="2"/>
        <v>159.68722460380289</v>
      </c>
    </row>
    <row r="17" spans="1:16" ht="12.95" customHeight="1">
      <c r="B17" s="10"/>
      <c r="C17" s="11"/>
      <c r="D17" s="11"/>
      <c r="E17" s="163"/>
      <c r="F17" s="177">
        <v>613100</v>
      </c>
      <c r="G17" s="196"/>
      <c r="H17" s="24" t="s">
        <v>82</v>
      </c>
      <c r="I17" s="237">
        <v>3800</v>
      </c>
      <c r="J17" s="237">
        <v>3800</v>
      </c>
      <c r="K17" s="224">
        <v>1497</v>
      </c>
      <c r="L17" s="359">
        <v>3593</v>
      </c>
      <c r="M17" s="233">
        <v>0</v>
      </c>
      <c r="N17" s="813">
        <f t="shared" ref="N17:N26" si="6">SUM(L17:M17)</f>
        <v>3593</v>
      </c>
      <c r="O17" s="955">
        <f t="shared" si="1"/>
        <v>94.55263157894737</v>
      </c>
      <c r="P17" s="956">
        <f t="shared" si="2"/>
        <v>240.01336005344021</v>
      </c>
    </row>
    <row r="18" spans="1:16" ht="12.95" customHeight="1">
      <c r="B18" s="10"/>
      <c r="C18" s="11"/>
      <c r="D18" s="11"/>
      <c r="E18" s="163"/>
      <c r="F18" s="177">
        <v>613200</v>
      </c>
      <c r="G18" s="196"/>
      <c r="H18" s="24" t="s">
        <v>83</v>
      </c>
      <c r="I18" s="237">
        <v>55000</v>
      </c>
      <c r="J18" s="237">
        <v>55000</v>
      </c>
      <c r="K18" s="224">
        <v>31670</v>
      </c>
      <c r="L18" s="359">
        <v>54777</v>
      </c>
      <c r="M18" s="233">
        <v>0</v>
      </c>
      <c r="N18" s="813">
        <f t="shared" si="6"/>
        <v>54777</v>
      </c>
      <c r="O18" s="955">
        <f t="shared" si="1"/>
        <v>99.594545454545454</v>
      </c>
      <c r="P18" s="956">
        <f t="shared" si="2"/>
        <v>172.96179349542155</v>
      </c>
    </row>
    <row r="19" spans="1:16" ht="12.95" customHeight="1">
      <c r="B19" s="10"/>
      <c r="C19" s="11"/>
      <c r="D19" s="11"/>
      <c r="E19" s="163"/>
      <c r="F19" s="177">
        <v>613300</v>
      </c>
      <c r="G19" s="196"/>
      <c r="H19" s="428" t="s">
        <v>163</v>
      </c>
      <c r="I19" s="237">
        <v>3000</v>
      </c>
      <c r="J19" s="237">
        <v>3000</v>
      </c>
      <c r="K19" s="224">
        <v>2190</v>
      </c>
      <c r="L19" s="360">
        <v>2248</v>
      </c>
      <c r="M19" s="237">
        <v>0</v>
      </c>
      <c r="N19" s="813">
        <f t="shared" si="6"/>
        <v>2248</v>
      </c>
      <c r="O19" s="955">
        <f t="shared" si="1"/>
        <v>74.933333333333323</v>
      </c>
      <c r="P19" s="956">
        <f t="shared" si="2"/>
        <v>102.64840182648402</v>
      </c>
    </row>
    <row r="20" spans="1:16" ht="12.95" customHeight="1">
      <c r="B20" s="10"/>
      <c r="C20" s="11"/>
      <c r="D20" s="11"/>
      <c r="E20" s="163"/>
      <c r="F20" s="177">
        <v>613400</v>
      </c>
      <c r="G20" s="196"/>
      <c r="H20" s="24" t="s">
        <v>142</v>
      </c>
      <c r="I20" s="237">
        <v>13000</v>
      </c>
      <c r="J20" s="237">
        <v>13000</v>
      </c>
      <c r="K20" s="224">
        <v>10504</v>
      </c>
      <c r="L20" s="360">
        <v>12499</v>
      </c>
      <c r="M20" s="237">
        <v>0</v>
      </c>
      <c r="N20" s="813">
        <f t="shared" si="6"/>
        <v>12499</v>
      </c>
      <c r="O20" s="955">
        <f t="shared" si="1"/>
        <v>96.146153846153851</v>
      </c>
      <c r="P20" s="956">
        <f t="shared" si="2"/>
        <v>118.99276466108148</v>
      </c>
    </row>
    <row r="21" spans="1:16" ht="12.95" customHeight="1">
      <c r="B21" s="10"/>
      <c r="C21" s="11"/>
      <c r="D21" s="11"/>
      <c r="E21" s="163"/>
      <c r="F21" s="177">
        <v>613500</v>
      </c>
      <c r="G21" s="196"/>
      <c r="H21" s="24" t="s">
        <v>84</v>
      </c>
      <c r="I21" s="237">
        <v>250</v>
      </c>
      <c r="J21" s="237">
        <v>250</v>
      </c>
      <c r="K21" s="224">
        <v>0</v>
      </c>
      <c r="L21" s="360">
        <v>150</v>
      </c>
      <c r="M21" s="237">
        <v>0</v>
      </c>
      <c r="N21" s="813">
        <f t="shared" si="6"/>
        <v>150</v>
      </c>
      <c r="O21" s="955">
        <f t="shared" si="1"/>
        <v>60</v>
      </c>
      <c r="P21" s="956" t="str">
        <f t="shared" si="2"/>
        <v/>
      </c>
    </row>
    <row r="22" spans="1:16" ht="12.95" customHeight="1">
      <c r="B22" s="10"/>
      <c r="C22" s="11"/>
      <c r="D22" s="11"/>
      <c r="E22" s="163"/>
      <c r="F22" s="177">
        <v>613600</v>
      </c>
      <c r="G22" s="196"/>
      <c r="H22" s="428" t="s">
        <v>164</v>
      </c>
      <c r="I22" s="237">
        <v>0</v>
      </c>
      <c r="J22" s="237">
        <v>0</v>
      </c>
      <c r="K22" s="224">
        <v>0</v>
      </c>
      <c r="L22" s="360">
        <v>0</v>
      </c>
      <c r="M22" s="237">
        <v>0</v>
      </c>
      <c r="N22" s="813">
        <f t="shared" si="6"/>
        <v>0</v>
      </c>
      <c r="O22" s="955" t="str">
        <f t="shared" si="1"/>
        <v/>
      </c>
      <c r="P22" s="956" t="str">
        <f t="shared" si="2"/>
        <v/>
      </c>
    </row>
    <row r="23" spans="1:16" ht="12.95" customHeight="1">
      <c r="B23" s="10"/>
      <c r="C23" s="11"/>
      <c r="D23" s="11"/>
      <c r="E23" s="163"/>
      <c r="F23" s="177">
        <v>613700</v>
      </c>
      <c r="G23" s="196"/>
      <c r="H23" s="24" t="s">
        <v>85</v>
      </c>
      <c r="I23" s="237">
        <v>16000</v>
      </c>
      <c r="J23" s="237">
        <v>16000</v>
      </c>
      <c r="K23" s="224">
        <v>5444</v>
      </c>
      <c r="L23" s="360">
        <v>12299</v>
      </c>
      <c r="M23" s="237">
        <v>0</v>
      </c>
      <c r="N23" s="813">
        <f t="shared" si="6"/>
        <v>12299</v>
      </c>
      <c r="O23" s="955">
        <f t="shared" si="1"/>
        <v>76.868749999999991</v>
      </c>
      <c r="P23" s="956">
        <f t="shared" si="2"/>
        <v>225.9184423218222</v>
      </c>
    </row>
    <row r="24" spans="1:16" ht="12.95" customHeight="1">
      <c r="B24" s="10"/>
      <c r="C24" s="11"/>
      <c r="D24" s="11"/>
      <c r="E24" s="163"/>
      <c r="F24" s="177">
        <v>613800</v>
      </c>
      <c r="G24" s="196"/>
      <c r="H24" s="24" t="s">
        <v>143</v>
      </c>
      <c r="I24" s="237">
        <v>800</v>
      </c>
      <c r="J24" s="237">
        <v>800</v>
      </c>
      <c r="K24" s="224">
        <v>0</v>
      </c>
      <c r="L24" s="360">
        <v>448</v>
      </c>
      <c r="M24" s="237">
        <v>0</v>
      </c>
      <c r="N24" s="813">
        <f t="shared" si="6"/>
        <v>448</v>
      </c>
      <c r="O24" s="955">
        <f t="shared" si="1"/>
        <v>56.000000000000007</v>
      </c>
      <c r="P24" s="956" t="str">
        <f t="shared" si="2"/>
        <v/>
      </c>
    </row>
    <row r="25" spans="1:16" ht="12.95" customHeight="1">
      <c r="B25" s="10"/>
      <c r="C25" s="11"/>
      <c r="D25" s="11"/>
      <c r="E25" s="163"/>
      <c r="F25" s="177">
        <v>613900</v>
      </c>
      <c r="G25" s="196"/>
      <c r="H25" s="24" t="s">
        <v>144</v>
      </c>
      <c r="I25" s="237">
        <v>21500</v>
      </c>
      <c r="J25" s="237">
        <v>21500</v>
      </c>
      <c r="K25" s="224">
        <v>15644</v>
      </c>
      <c r="L25" s="360">
        <v>20895</v>
      </c>
      <c r="M25" s="237">
        <v>0</v>
      </c>
      <c r="N25" s="813">
        <f t="shared" si="6"/>
        <v>20895</v>
      </c>
      <c r="O25" s="955">
        <f t="shared" si="1"/>
        <v>97.186046511627907</v>
      </c>
      <c r="P25" s="956">
        <f t="shared" si="2"/>
        <v>133.56558424955253</v>
      </c>
    </row>
    <row r="26" spans="1:16" ht="12.95" customHeight="1">
      <c r="B26" s="10"/>
      <c r="C26" s="11"/>
      <c r="D26" s="11"/>
      <c r="E26" s="163"/>
      <c r="F26" s="177">
        <v>613900</v>
      </c>
      <c r="G26" s="196"/>
      <c r="H26" s="435" t="s">
        <v>435</v>
      </c>
      <c r="I26" s="237">
        <v>0</v>
      </c>
      <c r="J26" s="237">
        <v>0</v>
      </c>
      <c r="K26" s="224">
        <v>0</v>
      </c>
      <c r="L26" s="360">
        <v>0</v>
      </c>
      <c r="M26" s="237">
        <v>0</v>
      </c>
      <c r="N26" s="813">
        <f t="shared" si="6"/>
        <v>0</v>
      </c>
      <c r="O26" s="955" t="str">
        <f t="shared" si="1"/>
        <v/>
      </c>
      <c r="P26" s="956" t="str">
        <f t="shared" si="2"/>
        <v/>
      </c>
    </row>
    <row r="27" spans="1:16" s="1" customFormat="1" ht="12.95" customHeight="1">
      <c r="A27" s="158"/>
      <c r="B27" s="12"/>
      <c r="C27" s="8"/>
      <c r="D27" s="8"/>
      <c r="E27" s="8"/>
      <c r="F27" s="176"/>
      <c r="G27" s="195"/>
      <c r="H27" s="25"/>
      <c r="I27" s="237"/>
      <c r="J27" s="237"/>
      <c r="K27" s="224"/>
      <c r="L27" s="360"/>
      <c r="M27" s="237"/>
      <c r="N27" s="776"/>
      <c r="O27" s="955" t="str">
        <f t="shared" si="1"/>
        <v/>
      </c>
      <c r="P27" s="956" t="str">
        <f t="shared" si="2"/>
        <v/>
      </c>
    </row>
    <row r="28" spans="1:16" s="1" customFormat="1" ht="12.95" customHeight="1">
      <c r="A28" s="158"/>
      <c r="B28" s="12"/>
      <c r="C28" s="8"/>
      <c r="D28" s="8"/>
      <c r="E28" s="8"/>
      <c r="F28" s="176">
        <v>821000</v>
      </c>
      <c r="G28" s="195"/>
      <c r="H28" s="25" t="s">
        <v>88</v>
      </c>
      <c r="I28" s="236">
        <f t="shared" ref="I28:N28" si="7">SUM(I29:I30)</f>
        <v>30000</v>
      </c>
      <c r="J28" s="236">
        <f t="shared" si="7"/>
        <v>30000</v>
      </c>
      <c r="K28" s="226">
        <f t="shared" si="7"/>
        <v>14899</v>
      </c>
      <c r="L28" s="482">
        <f t="shared" si="7"/>
        <v>29403</v>
      </c>
      <c r="M28" s="236">
        <f t="shared" si="7"/>
        <v>0</v>
      </c>
      <c r="N28" s="774">
        <f t="shared" si="7"/>
        <v>29403</v>
      </c>
      <c r="O28" s="953">
        <f t="shared" si="1"/>
        <v>98.009999999999991</v>
      </c>
      <c r="P28" s="954">
        <f t="shared" si="2"/>
        <v>197.34881535673534</v>
      </c>
    </row>
    <row r="29" spans="1:16" ht="12.95" customHeight="1">
      <c r="B29" s="10"/>
      <c r="C29" s="11"/>
      <c r="D29" s="11"/>
      <c r="E29" s="163"/>
      <c r="F29" s="177">
        <v>821200</v>
      </c>
      <c r="G29" s="196"/>
      <c r="H29" s="24" t="s">
        <v>89</v>
      </c>
      <c r="I29" s="237">
        <v>12000</v>
      </c>
      <c r="J29" s="237">
        <v>12000</v>
      </c>
      <c r="K29" s="224">
        <v>0</v>
      </c>
      <c r="L29" s="360">
        <v>11555</v>
      </c>
      <c r="M29" s="237">
        <v>0</v>
      </c>
      <c r="N29" s="813">
        <f t="shared" ref="N29:N30" si="8">SUM(L29:M29)</f>
        <v>11555</v>
      </c>
      <c r="O29" s="955">
        <f t="shared" si="1"/>
        <v>96.291666666666657</v>
      </c>
      <c r="P29" s="956" t="str">
        <f t="shared" si="2"/>
        <v/>
      </c>
    </row>
    <row r="30" spans="1:16" ht="12.95" customHeight="1">
      <c r="B30" s="10"/>
      <c r="C30" s="11"/>
      <c r="D30" s="11"/>
      <c r="E30" s="163"/>
      <c r="F30" s="177">
        <v>821300</v>
      </c>
      <c r="G30" s="196"/>
      <c r="H30" s="24" t="s">
        <v>90</v>
      </c>
      <c r="I30" s="237">
        <v>18000</v>
      </c>
      <c r="J30" s="237">
        <v>18000</v>
      </c>
      <c r="K30" s="224">
        <v>14899</v>
      </c>
      <c r="L30" s="360">
        <v>17848</v>
      </c>
      <c r="M30" s="237">
        <v>0</v>
      </c>
      <c r="N30" s="813">
        <f t="shared" si="8"/>
        <v>17848</v>
      </c>
      <c r="O30" s="955">
        <f t="shared" si="1"/>
        <v>99.155555555555551</v>
      </c>
      <c r="P30" s="956">
        <f t="shared" si="2"/>
        <v>119.79327471642391</v>
      </c>
    </row>
    <row r="31" spans="1:16" ht="12.95" customHeight="1">
      <c r="B31" s="10"/>
      <c r="C31" s="11"/>
      <c r="D31" s="11"/>
      <c r="E31" s="163"/>
      <c r="F31" s="177"/>
      <c r="G31" s="196"/>
      <c r="H31" s="24"/>
      <c r="I31" s="233"/>
      <c r="J31" s="233"/>
      <c r="K31" s="222"/>
      <c r="L31" s="359"/>
      <c r="M31" s="233"/>
      <c r="N31" s="776"/>
      <c r="O31" s="955" t="str">
        <f t="shared" si="1"/>
        <v/>
      </c>
      <c r="P31" s="956" t="str">
        <f t="shared" si="2"/>
        <v/>
      </c>
    </row>
    <row r="32" spans="1:16" s="1" customFormat="1" ht="12.95" customHeight="1">
      <c r="A32" s="158"/>
      <c r="B32" s="12"/>
      <c r="C32" s="8"/>
      <c r="D32" s="8"/>
      <c r="E32" s="8"/>
      <c r="F32" s="176"/>
      <c r="G32" s="195"/>
      <c r="H32" s="25" t="s">
        <v>91</v>
      </c>
      <c r="I32" s="377" t="s">
        <v>846</v>
      </c>
      <c r="J32" s="377" t="s">
        <v>846</v>
      </c>
      <c r="K32" s="486" t="s">
        <v>936</v>
      </c>
      <c r="L32" s="485">
        <v>38</v>
      </c>
      <c r="M32" s="394"/>
      <c r="N32" s="767">
        <v>38</v>
      </c>
      <c r="O32" s="955"/>
      <c r="P32" s="956"/>
    </row>
    <row r="33" spans="1:16" s="1" customFormat="1" ht="12.95" customHeight="1">
      <c r="A33" s="158"/>
      <c r="B33" s="12"/>
      <c r="C33" s="8"/>
      <c r="D33" s="8"/>
      <c r="E33" s="8"/>
      <c r="F33" s="176"/>
      <c r="G33" s="195"/>
      <c r="H33" s="8" t="s">
        <v>105</v>
      </c>
      <c r="I33" s="367">
        <f t="shared" ref="I33:K33" si="9">I8+I13+I16+I28</f>
        <v>1101290</v>
      </c>
      <c r="J33" s="165">
        <f t="shared" si="9"/>
        <v>1101290</v>
      </c>
      <c r="K33" s="153">
        <f t="shared" si="9"/>
        <v>963907</v>
      </c>
      <c r="L33" s="370">
        <f>L8+L13+L16+L28</f>
        <v>1079176</v>
      </c>
      <c r="M33" s="165">
        <f>M8+M13+M16+M28</f>
        <v>0</v>
      </c>
      <c r="N33" s="774">
        <f>N8+N13+N16+N28</f>
        <v>1079176</v>
      </c>
      <c r="O33" s="953">
        <f>IF(J33=0,"",N33/J33*100)</f>
        <v>97.991991210307916</v>
      </c>
      <c r="P33" s="954">
        <f t="shared" si="2"/>
        <v>111.95851881976166</v>
      </c>
    </row>
    <row r="34" spans="1:16" s="1" customFormat="1" ht="12.95" customHeight="1">
      <c r="A34" s="158"/>
      <c r="B34" s="12"/>
      <c r="C34" s="8"/>
      <c r="D34" s="8"/>
      <c r="E34" s="8"/>
      <c r="F34" s="176"/>
      <c r="G34" s="195"/>
      <c r="H34" s="8" t="s">
        <v>92</v>
      </c>
      <c r="I34" s="367"/>
      <c r="J34" s="165"/>
      <c r="K34" s="153"/>
      <c r="L34" s="370"/>
      <c r="M34" s="165"/>
      <c r="N34" s="774"/>
      <c r="O34" s="955" t="str">
        <f>IF(J34=0,"",N34/J34*100)</f>
        <v/>
      </c>
      <c r="P34" s="956" t="str">
        <f t="shared" si="2"/>
        <v/>
      </c>
    </row>
    <row r="35" spans="1:16" s="1" customFormat="1" ht="12.95" customHeight="1">
      <c r="A35" s="158"/>
      <c r="B35" s="12"/>
      <c r="C35" s="8"/>
      <c r="D35" s="8"/>
      <c r="E35" s="8"/>
      <c r="F35" s="176"/>
      <c r="G35" s="195"/>
      <c r="H35" s="8" t="s">
        <v>93</v>
      </c>
      <c r="I35" s="372"/>
      <c r="J35" s="156"/>
      <c r="K35" s="148"/>
      <c r="L35" s="369"/>
      <c r="M35" s="156"/>
      <c r="N35" s="776"/>
      <c r="O35" s="955" t="str">
        <f>IF(J35=0,"",N35/J35*100)</f>
        <v/>
      </c>
      <c r="P35" s="956" t="str">
        <f t="shared" si="2"/>
        <v/>
      </c>
    </row>
    <row r="36" spans="1:16" ht="12.95" customHeight="1" thickBot="1">
      <c r="B36" s="16"/>
      <c r="C36" s="17"/>
      <c r="D36" s="17"/>
      <c r="E36" s="17"/>
      <c r="F36" s="178"/>
      <c r="G36" s="197"/>
      <c r="H36" s="17"/>
      <c r="I36" s="31"/>
      <c r="J36" s="31"/>
      <c r="K36" s="725"/>
      <c r="L36" s="371"/>
      <c r="M36" s="31"/>
      <c r="N36" s="814"/>
      <c r="O36" s="957"/>
      <c r="P36" s="958" t="str">
        <f t="shared" si="2"/>
        <v/>
      </c>
    </row>
    <row r="37" spans="1:16" ht="12.95" customHeight="1">
      <c r="F37" s="179"/>
      <c r="G37" s="198"/>
      <c r="N37" s="254"/>
      <c r="P37" s="214" t="str">
        <f t="shared" si="2"/>
        <v/>
      </c>
    </row>
    <row r="38" spans="1:16" ht="12.95" customHeight="1">
      <c r="F38" s="179"/>
      <c r="G38" s="198"/>
      <c r="N38" s="254"/>
      <c r="P38" s="214" t="str">
        <f t="shared" si="2"/>
        <v/>
      </c>
    </row>
    <row r="39" spans="1:16" ht="12.95" customHeight="1">
      <c r="B39" s="45"/>
      <c r="F39" s="179"/>
      <c r="G39" s="198"/>
      <c r="N39" s="254"/>
      <c r="P39" s="214" t="str">
        <f t="shared" si="2"/>
        <v/>
      </c>
    </row>
    <row r="40" spans="1:16" ht="12.95" customHeight="1">
      <c r="B40" s="45"/>
      <c r="F40" s="179"/>
      <c r="G40" s="198"/>
      <c r="N40" s="254"/>
      <c r="P40" s="214" t="str">
        <f t="shared" si="2"/>
        <v/>
      </c>
    </row>
    <row r="41" spans="1:16" ht="12.95" customHeight="1">
      <c r="B41" s="45"/>
      <c r="F41" s="179"/>
      <c r="G41" s="198"/>
      <c r="N41" s="254"/>
      <c r="P41" s="214" t="str">
        <f t="shared" si="2"/>
        <v/>
      </c>
    </row>
    <row r="42" spans="1:16" ht="12.95" customHeight="1">
      <c r="B42" s="45"/>
      <c r="F42" s="179"/>
      <c r="G42" s="198"/>
      <c r="N42" s="254"/>
      <c r="P42" s="214" t="str">
        <f t="shared" si="2"/>
        <v/>
      </c>
    </row>
    <row r="43" spans="1:16" ht="12.95" customHeight="1">
      <c r="B43" s="45"/>
      <c r="F43" s="179"/>
      <c r="G43" s="198"/>
      <c r="N43" s="254"/>
      <c r="P43" s="214" t="str">
        <f t="shared" si="2"/>
        <v/>
      </c>
    </row>
    <row r="44" spans="1:16" ht="12.95" customHeight="1">
      <c r="F44" s="179"/>
      <c r="G44" s="198"/>
      <c r="N44" s="254"/>
      <c r="P44" s="214" t="str">
        <f t="shared" si="2"/>
        <v/>
      </c>
    </row>
    <row r="45" spans="1:16" ht="12.95" customHeight="1">
      <c r="F45" s="179"/>
      <c r="G45" s="198"/>
      <c r="N45" s="254"/>
      <c r="P45" s="214" t="str">
        <f t="shared" si="2"/>
        <v/>
      </c>
    </row>
    <row r="46" spans="1:16" ht="12.95" customHeight="1">
      <c r="F46" s="179"/>
      <c r="G46" s="198"/>
      <c r="N46" s="254"/>
      <c r="P46" s="214" t="str">
        <f t="shared" si="2"/>
        <v/>
      </c>
    </row>
    <row r="47" spans="1:16" ht="12.95" customHeight="1">
      <c r="F47" s="179"/>
      <c r="G47" s="198"/>
      <c r="N47" s="254"/>
      <c r="P47" s="214" t="str">
        <f t="shared" si="2"/>
        <v/>
      </c>
    </row>
    <row r="48" spans="1:16" ht="12.95" customHeight="1">
      <c r="F48" s="179"/>
      <c r="G48" s="198"/>
      <c r="N48" s="254"/>
      <c r="P48" s="214" t="str">
        <f t="shared" si="2"/>
        <v/>
      </c>
    </row>
    <row r="49" spans="6:16" ht="12.95" customHeight="1">
      <c r="F49" s="179"/>
      <c r="G49" s="198"/>
      <c r="N49" s="254"/>
      <c r="P49" s="214" t="str">
        <f t="shared" si="2"/>
        <v/>
      </c>
    </row>
    <row r="50" spans="6:16" ht="12.95" customHeight="1">
      <c r="F50" s="179"/>
      <c r="G50" s="198"/>
      <c r="N50" s="254"/>
      <c r="P50" s="214" t="str">
        <f t="shared" si="2"/>
        <v/>
      </c>
    </row>
    <row r="51" spans="6:16" ht="12.95" customHeight="1">
      <c r="F51" s="179"/>
      <c r="G51" s="198"/>
      <c r="N51" s="254"/>
      <c r="P51" s="214" t="str">
        <f t="shared" si="2"/>
        <v/>
      </c>
    </row>
    <row r="52" spans="6:16" ht="12.95" customHeight="1">
      <c r="F52" s="179"/>
      <c r="G52" s="198"/>
      <c r="N52" s="254"/>
      <c r="P52" s="214" t="str">
        <f t="shared" si="2"/>
        <v/>
      </c>
    </row>
    <row r="53" spans="6:16" ht="12.95" customHeight="1">
      <c r="F53" s="179"/>
      <c r="G53" s="198"/>
      <c r="N53" s="254"/>
      <c r="P53" s="214" t="str">
        <f t="shared" si="2"/>
        <v/>
      </c>
    </row>
    <row r="54" spans="6:16" ht="12.95" customHeight="1">
      <c r="F54" s="179"/>
      <c r="G54" s="198"/>
      <c r="N54" s="254"/>
    </row>
    <row r="55" spans="6:16" ht="12.95" customHeight="1">
      <c r="F55" s="179"/>
      <c r="G55" s="198"/>
      <c r="N55" s="254"/>
    </row>
    <row r="56" spans="6:16" ht="12.95" customHeight="1">
      <c r="F56" s="179"/>
      <c r="G56" s="198"/>
      <c r="N56" s="254"/>
    </row>
    <row r="57" spans="6:16" ht="12.95" customHeight="1">
      <c r="F57" s="179"/>
      <c r="G57" s="198"/>
      <c r="N57" s="254"/>
    </row>
    <row r="58" spans="6:16" ht="12.95" customHeight="1">
      <c r="F58" s="179"/>
      <c r="G58" s="198"/>
      <c r="N58" s="254"/>
    </row>
    <row r="59" spans="6:16" ht="12.95" customHeight="1">
      <c r="F59" s="179"/>
      <c r="G59" s="198"/>
      <c r="N59" s="254"/>
    </row>
    <row r="60" spans="6:16" ht="17.100000000000001" customHeight="1">
      <c r="F60" s="179"/>
      <c r="G60" s="198"/>
      <c r="N60" s="254"/>
    </row>
    <row r="61" spans="6:16" ht="14.25">
      <c r="F61" s="179"/>
      <c r="G61" s="198"/>
      <c r="N61" s="254"/>
    </row>
    <row r="62" spans="6:16" ht="14.25">
      <c r="F62" s="179"/>
      <c r="G62" s="198"/>
      <c r="N62" s="254"/>
    </row>
    <row r="63" spans="6:16" ht="14.25">
      <c r="F63" s="179"/>
      <c r="G63" s="198"/>
      <c r="N63" s="254"/>
    </row>
    <row r="64" spans="6:16" ht="14.25">
      <c r="F64" s="179"/>
      <c r="G64" s="198"/>
      <c r="N64" s="254"/>
    </row>
    <row r="65" spans="6:14" ht="14.25">
      <c r="F65" s="179"/>
      <c r="G65" s="198"/>
      <c r="N65" s="254"/>
    </row>
    <row r="66" spans="6:14" ht="14.25">
      <c r="F66" s="179"/>
      <c r="G66" s="198"/>
      <c r="N66" s="254"/>
    </row>
    <row r="67" spans="6:14" ht="14.25">
      <c r="F67" s="179"/>
      <c r="G67" s="198"/>
      <c r="N67" s="254"/>
    </row>
    <row r="68" spans="6:14" ht="14.25">
      <c r="F68" s="179"/>
      <c r="G68" s="198"/>
      <c r="N68" s="254"/>
    </row>
    <row r="69" spans="6:14" ht="14.25">
      <c r="F69" s="179"/>
      <c r="G69" s="198"/>
      <c r="N69" s="254"/>
    </row>
    <row r="70" spans="6:14" ht="14.25">
      <c r="F70" s="179"/>
      <c r="G70" s="198"/>
      <c r="N70" s="254"/>
    </row>
    <row r="71" spans="6:14" ht="14.25">
      <c r="F71" s="179"/>
      <c r="G71" s="198"/>
      <c r="N71" s="254"/>
    </row>
    <row r="72" spans="6:14" ht="14.25">
      <c r="F72" s="179"/>
      <c r="G72" s="198"/>
      <c r="N72" s="254"/>
    </row>
    <row r="73" spans="6:14" ht="14.25">
      <c r="F73" s="179"/>
      <c r="G73" s="198"/>
      <c r="N73" s="254"/>
    </row>
    <row r="74" spans="6:14" ht="14.25">
      <c r="F74" s="179"/>
      <c r="G74" s="179"/>
      <c r="N74" s="254"/>
    </row>
    <row r="75" spans="6:14" ht="14.25">
      <c r="F75" s="179"/>
      <c r="G75" s="179"/>
      <c r="N75" s="254"/>
    </row>
    <row r="76" spans="6:14" ht="14.25">
      <c r="F76" s="179"/>
      <c r="G76" s="179"/>
      <c r="N76" s="254"/>
    </row>
    <row r="77" spans="6:14" ht="14.25">
      <c r="F77" s="179"/>
      <c r="G77" s="179"/>
      <c r="N77" s="254"/>
    </row>
    <row r="78" spans="6:14" ht="14.25">
      <c r="F78" s="179"/>
      <c r="G78" s="179"/>
      <c r="N78" s="254"/>
    </row>
    <row r="79" spans="6:14" ht="14.25">
      <c r="F79" s="179"/>
      <c r="G79" s="179"/>
      <c r="N79" s="254"/>
    </row>
    <row r="80" spans="6:14" ht="14.25">
      <c r="F80" s="179"/>
      <c r="G80" s="179"/>
      <c r="N80" s="254"/>
    </row>
    <row r="81" spans="6:14" ht="14.25">
      <c r="F81" s="179"/>
      <c r="G81" s="179"/>
      <c r="N81" s="254"/>
    </row>
    <row r="82" spans="6:14" ht="14.25">
      <c r="F82" s="179"/>
      <c r="G82" s="179"/>
      <c r="N82" s="254"/>
    </row>
    <row r="83" spans="6:14" ht="14.25">
      <c r="F83" s="179"/>
      <c r="G83" s="179"/>
      <c r="N83" s="254"/>
    </row>
    <row r="84" spans="6:14" ht="14.25">
      <c r="F84" s="179"/>
      <c r="G84" s="179"/>
      <c r="N84" s="254"/>
    </row>
    <row r="85" spans="6:14" ht="14.25">
      <c r="F85" s="179"/>
      <c r="G85" s="179"/>
      <c r="N85" s="254"/>
    </row>
    <row r="86" spans="6:14" ht="14.25">
      <c r="F86" s="179"/>
      <c r="G86" s="179"/>
      <c r="N86" s="254"/>
    </row>
    <row r="87" spans="6:14" ht="14.25">
      <c r="F87" s="179"/>
      <c r="G87" s="179"/>
      <c r="N87" s="254"/>
    </row>
    <row r="88" spans="6:14" ht="14.25">
      <c r="F88" s="179"/>
      <c r="G88" s="179"/>
      <c r="N88" s="254"/>
    </row>
    <row r="89" spans="6:14" ht="14.25">
      <c r="F89" s="179"/>
      <c r="G89" s="179"/>
      <c r="N89" s="254"/>
    </row>
    <row r="90" spans="6:14" ht="14.25">
      <c r="F90" s="179"/>
      <c r="G90" s="179"/>
      <c r="N90" s="254"/>
    </row>
    <row r="91" spans="6:14">
      <c r="G91" s="179"/>
    </row>
    <row r="92" spans="6:14">
      <c r="G92" s="179"/>
    </row>
    <row r="93" spans="6:14">
      <c r="G93" s="179"/>
    </row>
    <row r="94" spans="6:14">
      <c r="G94" s="179"/>
    </row>
    <row r="95" spans="6:14">
      <c r="G95" s="179"/>
    </row>
    <row r="96" spans="6:14">
      <c r="G96" s="179"/>
    </row>
  </sheetData>
  <mergeCells count="15">
    <mergeCell ref="P4:P5"/>
    <mergeCell ref="B2:P2"/>
    <mergeCell ref="K4:K5"/>
    <mergeCell ref="O4:O5"/>
    <mergeCell ref="H4:H5"/>
    <mergeCell ref="H3:I3"/>
    <mergeCell ref="L4:N4"/>
    <mergeCell ref="B4:B5"/>
    <mergeCell ref="C4:C5"/>
    <mergeCell ref="D4:D5"/>
    <mergeCell ref="G4:G5"/>
    <mergeCell ref="F4:F5"/>
    <mergeCell ref="I4:I5"/>
    <mergeCell ref="J4:J5"/>
    <mergeCell ref="E4:E5"/>
  </mergeCells>
  <phoneticPr fontId="2" type="noConversion"/>
  <pageMargins left="0.78740157480314965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 codeName="Sheet30"/>
  <dimension ref="A1:R96"/>
  <sheetViews>
    <sheetView zoomScaleNormal="100" workbookViewId="0">
      <selection activeCell="N33" sqref="N33"/>
    </sheetView>
  </sheetViews>
  <sheetFormatPr defaultColWidth="9.140625" defaultRowHeight="12.75"/>
  <cols>
    <col min="1" max="1" width="4.42578125" style="161" customWidth="1"/>
    <col min="2" max="2" width="4.7109375" style="9" customWidth="1"/>
    <col min="3" max="3" width="5.140625" style="9" customWidth="1"/>
    <col min="4" max="4" width="5" style="9" customWidth="1"/>
    <col min="5" max="5" width="5" style="161" customWidth="1"/>
    <col min="6" max="6" width="8.7109375" style="18" customWidth="1"/>
    <col min="7" max="7" width="8.7109375" style="166" customWidth="1"/>
    <col min="8" max="8" width="50.7109375" style="9" customWidth="1"/>
    <col min="9" max="10" width="14.7109375" style="51" customWidth="1"/>
    <col min="11" max="11" width="12.5703125" style="51" customWidth="1"/>
    <col min="12" max="13" width="14.7109375" style="51" customWidth="1"/>
    <col min="14" max="14" width="15.7109375" style="51" customWidth="1"/>
    <col min="15" max="16" width="7.7109375" style="214" customWidth="1"/>
    <col min="17" max="16384" width="9.140625" style="9"/>
  </cols>
  <sheetData>
    <row r="1" spans="1:18" ht="13.5" thickBot="1"/>
    <row r="2" spans="1:18" s="79" customFormat="1" ht="20.100000000000001" customHeight="1" thickTop="1" thickBot="1">
      <c r="A2" s="244"/>
      <c r="B2" s="1034" t="s">
        <v>668</v>
      </c>
      <c r="C2" s="1035"/>
      <c r="D2" s="1035"/>
      <c r="E2" s="1035"/>
      <c r="F2" s="1035"/>
      <c r="G2" s="1035"/>
      <c r="H2" s="1035"/>
      <c r="I2" s="1035"/>
      <c r="J2" s="1070"/>
      <c r="K2" s="1070"/>
      <c r="L2" s="1070"/>
      <c r="M2" s="1070"/>
      <c r="N2" s="1070"/>
      <c r="O2" s="1070"/>
      <c r="P2" s="1036"/>
      <c r="R2" s="244"/>
    </row>
    <row r="3" spans="1:18" s="1" customFormat="1" ht="8.1" customHeight="1" thickTop="1" thickBot="1">
      <c r="A3" s="158"/>
      <c r="E3" s="158"/>
      <c r="F3" s="2"/>
      <c r="G3" s="159"/>
      <c r="H3" s="1039"/>
      <c r="I3" s="1039"/>
      <c r="J3" s="139"/>
      <c r="K3" s="721"/>
      <c r="L3" s="74"/>
      <c r="M3" s="74"/>
      <c r="N3" s="74"/>
      <c r="O3" s="208"/>
      <c r="P3" s="208"/>
    </row>
    <row r="4" spans="1:18" s="1" customFormat="1" ht="39" customHeight="1">
      <c r="A4" s="158"/>
      <c r="B4" s="1043" t="s">
        <v>76</v>
      </c>
      <c r="C4" s="1045" t="s">
        <v>77</v>
      </c>
      <c r="D4" s="1047" t="s">
        <v>102</v>
      </c>
      <c r="E4" s="1062" t="s">
        <v>692</v>
      </c>
      <c r="F4" s="1058" t="s">
        <v>466</v>
      </c>
      <c r="G4" s="1048" t="s">
        <v>493</v>
      </c>
      <c r="H4" s="1050" t="s">
        <v>78</v>
      </c>
      <c r="I4" s="1059" t="s">
        <v>901</v>
      </c>
      <c r="J4" s="1068" t="s">
        <v>813</v>
      </c>
      <c r="K4" s="1037" t="s">
        <v>906</v>
      </c>
      <c r="L4" s="1040" t="s">
        <v>905</v>
      </c>
      <c r="M4" s="1041"/>
      <c r="N4" s="1042"/>
      <c r="O4" s="1054" t="s">
        <v>945</v>
      </c>
      <c r="P4" s="1032" t="s">
        <v>946</v>
      </c>
      <c r="R4" s="61"/>
    </row>
    <row r="5" spans="1:18" s="158" customFormat="1" ht="27" customHeight="1">
      <c r="B5" s="1044"/>
      <c r="C5" s="1046"/>
      <c r="D5" s="1046"/>
      <c r="E5" s="1049"/>
      <c r="F5" s="1051"/>
      <c r="G5" s="1049"/>
      <c r="H5" s="1051"/>
      <c r="I5" s="1051"/>
      <c r="J5" s="1051"/>
      <c r="K5" s="1038"/>
      <c r="L5" s="373" t="s">
        <v>526</v>
      </c>
      <c r="M5" s="242" t="s">
        <v>527</v>
      </c>
      <c r="N5" s="764" t="s">
        <v>319</v>
      </c>
      <c r="O5" s="1055"/>
      <c r="P5" s="1033"/>
    </row>
    <row r="6" spans="1:18" s="2" customFormat="1" ht="12.95" customHeight="1">
      <c r="A6" s="159"/>
      <c r="B6" s="328">
        <v>1</v>
      </c>
      <c r="C6" s="195">
        <v>2</v>
      </c>
      <c r="D6" s="195">
        <v>3</v>
      </c>
      <c r="E6" s="195">
        <v>4</v>
      </c>
      <c r="F6" s="195">
        <v>5</v>
      </c>
      <c r="G6" s="195">
        <v>6</v>
      </c>
      <c r="H6" s="195">
        <v>7</v>
      </c>
      <c r="I6" s="195">
        <v>8</v>
      </c>
      <c r="J6" s="195">
        <v>9</v>
      </c>
      <c r="K6" s="188">
        <v>10</v>
      </c>
      <c r="L6" s="328">
        <v>11</v>
      </c>
      <c r="M6" s="195">
        <v>12</v>
      </c>
      <c r="N6" s="810" t="s">
        <v>694</v>
      </c>
      <c r="O6" s="929" t="s">
        <v>814</v>
      </c>
      <c r="P6" s="930" t="s">
        <v>944</v>
      </c>
    </row>
    <row r="7" spans="1:18" s="2" customFormat="1" ht="12.95" customHeight="1">
      <c r="A7" s="159"/>
      <c r="B7" s="6" t="s">
        <v>126</v>
      </c>
      <c r="C7" s="7" t="s">
        <v>127</v>
      </c>
      <c r="D7" s="7" t="s">
        <v>128</v>
      </c>
      <c r="E7" s="415" t="s">
        <v>711</v>
      </c>
      <c r="F7" s="5"/>
      <c r="G7" s="160"/>
      <c r="H7" s="5"/>
      <c r="I7" s="378"/>
      <c r="J7" s="70"/>
      <c r="K7" s="726"/>
      <c r="L7" s="391"/>
      <c r="M7" s="70"/>
      <c r="N7" s="832"/>
      <c r="O7" s="951"/>
      <c r="P7" s="952"/>
    </row>
    <row r="8" spans="1:18" s="1" customFormat="1" ht="12.95" customHeight="1">
      <c r="A8" s="158"/>
      <c r="B8" s="12"/>
      <c r="C8" s="8"/>
      <c r="D8" s="8"/>
      <c r="E8" s="8"/>
      <c r="F8" s="176">
        <v>611000</v>
      </c>
      <c r="G8" s="195"/>
      <c r="H8" s="25" t="s">
        <v>140</v>
      </c>
      <c r="I8" s="236">
        <f t="shared" ref="I8:N8" si="0">SUM(I9:I11)</f>
        <v>1099480</v>
      </c>
      <c r="J8" s="236">
        <f t="shared" si="0"/>
        <v>1099480</v>
      </c>
      <c r="K8" s="226">
        <f t="shared" si="0"/>
        <v>926256</v>
      </c>
      <c r="L8" s="482">
        <f t="shared" si="0"/>
        <v>1083101</v>
      </c>
      <c r="M8" s="236">
        <f t="shared" si="0"/>
        <v>0</v>
      </c>
      <c r="N8" s="812">
        <f t="shared" si="0"/>
        <v>1083101</v>
      </c>
      <c r="O8" s="953">
        <f t="shared" ref="O8:O31" si="1">IF(J8=0,"",N8/J8*100)</f>
        <v>98.510295776185103</v>
      </c>
      <c r="P8" s="954">
        <f>IF(K8=0,"",N8/K8*100)</f>
        <v>116.93322364443523</v>
      </c>
    </row>
    <row r="9" spans="1:18" ht="12.95" customHeight="1">
      <c r="B9" s="10"/>
      <c r="C9" s="11"/>
      <c r="D9" s="11"/>
      <c r="E9" s="163"/>
      <c r="F9" s="177">
        <v>611100</v>
      </c>
      <c r="G9" s="196"/>
      <c r="H9" s="428" t="s">
        <v>161</v>
      </c>
      <c r="I9" s="237">
        <f>881980+2000+2*500</f>
        <v>884980</v>
      </c>
      <c r="J9" s="237">
        <f>881980+2000+2*500</f>
        <v>884980</v>
      </c>
      <c r="K9" s="224">
        <v>765956</v>
      </c>
      <c r="L9" s="360">
        <v>871906</v>
      </c>
      <c r="M9" s="237">
        <v>0</v>
      </c>
      <c r="N9" s="813">
        <f>SUM(L9:M9)</f>
        <v>871906</v>
      </c>
      <c r="O9" s="955">
        <f t="shared" si="1"/>
        <v>98.522678478609677</v>
      </c>
      <c r="P9" s="956">
        <f t="shared" ref="P9:P53" si="2">IF(K9=0,"",N9/K9*100)</f>
        <v>113.83238723895369</v>
      </c>
      <c r="Q9" s="45"/>
      <c r="R9" s="51"/>
    </row>
    <row r="10" spans="1:18" ht="12.95" customHeight="1">
      <c r="B10" s="10"/>
      <c r="C10" s="11"/>
      <c r="D10" s="11"/>
      <c r="E10" s="163"/>
      <c r="F10" s="177">
        <v>611200</v>
      </c>
      <c r="G10" s="196"/>
      <c r="H10" s="24" t="s">
        <v>162</v>
      </c>
      <c r="I10" s="237">
        <f>180900+1200+2*1150+43*700</f>
        <v>214500</v>
      </c>
      <c r="J10" s="237">
        <f>180900+1200+2*1150+43*700</f>
        <v>214500</v>
      </c>
      <c r="K10" s="224">
        <v>160300</v>
      </c>
      <c r="L10" s="360">
        <v>211195</v>
      </c>
      <c r="M10" s="237">
        <v>0</v>
      </c>
      <c r="N10" s="813">
        <f t="shared" ref="N10:N11" si="3">SUM(L10:M10)</f>
        <v>211195</v>
      </c>
      <c r="O10" s="955">
        <f t="shared" si="1"/>
        <v>98.459207459207448</v>
      </c>
      <c r="P10" s="956">
        <f t="shared" si="2"/>
        <v>131.74984404242048</v>
      </c>
    </row>
    <row r="11" spans="1:18" ht="12.95" customHeight="1">
      <c r="B11" s="10"/>
      <c r="C11" s="11"/>
      <c r="D11" s="11"/>
      <c r="E11" s="163"/>
      <c r="F11" s="177">
        <v>611200</v>
      </c>
      <c r="G11" s="196"/>
      <c r="H11" s="435" t="s">
        <v>434</v>
      </c>
      <c r="I11" s="235">
        <v>0</v>
      </c>
      <c r="J11" s="235">
        <v>0</v>
      </c>
      <c r="K11" s="225">
        <v>0</v>
      </c>
      <c r="L11" s="357">
        <v>0</v>
      </c>
      <c r="M11" s="235">
        <v>0</v>
      </c>
      <c r="N11" s="813">
        <f t="shared" si="3"/>
        <v>0</v>
      </c>
      <c r="O11" s="955" t="str">
        <f t="shared" si="1"/>
        <v/>
      </c>
      <c r="P11" s="956" t="str">
        <f t="shared" si="2"/>
        <v/>
      </c>
      <c r="R11" s="50"/>
    </row>
    <row r="12" spans="1:18" ht="12.95" customHeight="1">
      <c r="B12" s="10"/>
      <c r="C12" s="11"/>
      <c r="D12" s="11"/>
      <c r="E12" s="163"/>
      <c r="F12" s="177"/>
      <c r="G12" s="196"/>
      <c r="H12" s="24"/>
      <c r="I12" s="236"/>
      <c r="J12" s="236"/>
      <c r="K12" s="226"/>
      <c r="L12" s="482"/>
      <c r="M12" s="236"/>
      <c r="N12" s="812"/>
      <c r="O12" s="955" t="str">
        <f t="shared" si="1"/>
        <v/>
      </c>
      <c r="P12" s="956" t="str">
        <f t="shared" si="2"/>
        <v/>
      </c>
    </row>
    <row r="13" spans="1:18" s="1" customFormat="1" ht="12.95" customHeight="1">
      <c r="A13" s="158"/>
      <c r="B13" s="12"/>
      <c r="C13" s="8"/>
      <c r="D13" s="8"/>
      <c r="E13" s="8"/>
      <c r="F13" s="176">
        <v>612000</v>
      </c>
      <c r="G13" s="195"/>
      <c r="H13" s="25" t="s">
        <v>139</v>
      </c>
      <c r="I13" s="236">
        <f t="shared" ref="I13:N13" si="4">I14</f>
        <v>93100</v>
      </c>
      <c r="J13" s="236">
        <f t="shared" si="4"/>
        <v>93100</v>
      </c>
      <c r="K13" s="226">
        <f t="shared" si="4"/>
        <v>81144</v>
      </c>
      <c r="L13" s="482">
        <f t="shared" si="4"/>
        <v>92269</v>
      </c>
      <c r="M13" s="236">
        <f t="shared" si="4"/>
        <v>0</v>
      </c>
      <c r="N13" s="812">
        <f t="shared" si="4"/>
        <v>92269</v>
      </c>
      <c r="O13" s="953">
        <f t="shared" si="1"/>
        <v>99.107411385606866</v>
      </c>
      <c r="P13" s="954">
        <f t="shared" si="2"/>
        <v>113.71019422261659</v>
      </c>
    </row>
    <row r="14" spans="1:18" ht="12.95" customHeight="1">
      <c r="B14" s="10"/>
      <c r="C14" s="11"/>
      <c r="D14" s="11"/>
      <c r="E14" s="163"/>
      <c r="F14" s="177">
        <v>612100</v>
      </c>
      <c r="G14" s="196"/>
      <c r="H14" s="430" t="s">
        <v>81</v>
      </c>
      <c r="I14" s="237">
        <f>91940+800+2*180</f>
        <v>93100</v>
      </c>
      <c r="J14" s="237">
        <f>91940+800+2*180</f>
        <v>93100</v>
      </c>
      <c r="K14" s="224">
        <v>81144</v>
      </c>
      <c r="L14" s="360">
        <v>92269</v>
      </c>
      <c r="M14" s="237">
        <v>0</v>
      </c>
      <c r="N14" s="813">
        <f>SUM(L14:M14)</f>
        <v>92269</v>
      </c>
      <c r="O14" s="955">
        <f t="shared" si="1"/>
        <v>99.107411385606866</v>
      </c>
      <c r="P14" s="956">
        <f t="shared" si="2"/>
        <v>113.71019422261659</v>
      </c>
    </row>
    <row r="15" spans="1:18" ht="12.95" customHeight="1">
      <c r="B15" s="10"/>
      <c r="C15" s="11"/>
      <c r="D15" s="11"/>
      <c r="E15" s="163"/>
      <c r="F15" s="177"/>
      <c r="G15" s="196"/>
      <c r="H15" s="24"/>
      <c r="I15" s="232"/>
      <c r="J15" s="232"/>
      <c r="K15" s="223"/>
      <c r="L15" s="484"/>
      <c r="M15" s="232"/>
      <c r="N15" s="774"/>
      <c r="O15" s="955" t="str">
        <f t="shared" si="1"/>
        <v/>
      </c>
      <c r="P15" s="956" t="str">
        <f t="shared" si="2"/>
        <v/>
      </c>
    </row>
    <row r="16" spans="1:18" s="1" customFormat="1" ht="12.95" customHeight="1">
      <c r="A16" s="158"/>
      <c r="B16" s="12"/>
      <c r="C16" s="8"/>
      <c r="D16" s="8"/>
      <c r="E16" s="8"/>
      <c r="F16" s="176">
        <v>613000</v>
      </c>
      <c r="G16" s="195"/>
      <c r="H16" s="25" t="s">
        <v>141</v>
      </c>
      <c r="I16" s="234">
        <f t="shared" ref="I16:N16" si="5">SUM(I17:I26)</f>
        <v>153610</v>
      </c>
      <c r="J16" s="234">
        <f t="shared" si="5"/>
        <v>153610</v>
      </c>
      <c r="K16" s="221">
        <f t="shared" si="5"/>
        <v>95181</v>
      </c>
      <c r="L16" s="483">
        <f t="shared" si="5"/>
        <v>151584</v>
      </c>
      <c r="M16" s="234">
        <f t="shared" si="5"/>
        <v>0</v>
      </c>
      <c r="N16" s="774">
        <f t="shared" si="5"/>
        <v>151584</v>
      </c>
      <c r="O16" s="953">
        <f t="shared" si="1"/>
        <v>98.681075450817005</v>
      </c>
      <c r="P16" s="954">
        <f t="shared" si="2"/>
        <v>159.25867557600782</v>
      </c>
    </row>
    <row r="17" spans="1:16" ht="12.95" customHeight="1">
      <c r="B17" s="10"/>
      <c r="C17" s="11"/>
      <c r="D17" s="11"/>
      <c r="E17" s="163"/>
      <c r="F17" s="177">
        <v>613100</v>
      </c>
      <c r="G17" s="196"/>
      <c r="H17" s="24" t="s">
        <v>82</v>
      </c>
      <c r="I17" s="237">
        <v>3150</v>
      </c>
      <c r="J17" s="237">
        <v>3150</v>
      </c>
      <c r="K17" s="224">
        <v>909</v>
      </c>
      <c r="L17" s="359">
        <v>3132</v>
      </c>
      <c r="M17" s="233">
        <v>0</v>
      </c>
      <c r="N17" s="813">
        <f t="shared" ref="N17:N26" si="6">SUM(L17:M17)</f>
        <v>3132</v>
      </c>
      <c r="O17" s="955">
        <f t="shared" si="1"/>
        <v>99.428571428571431</v>
      </c>
      <c r="P17" s="956">
        <f t="shared" si="2"/>
        <v>344.55445544554453</v>
      </c>
    </row>
    <row r="18" spans="1:16" ht="12.95" customHeight="1">
      <c r="B18" s="10"/>
      <c r="C18" s="11"/>
      <c r="D18" s="11"/>
      <c r="E18" s="163"/>
      <c r="F18" s="177">
        <v>613200</v>
      </c>
      <c r="G18" s="196"/>
      <c r="H18" s="24" t="s">
        <v>83</v>
      </c>
      <c r="I18" s="237">
        <v>90000</v>
      </c>
      <c r="J18" s="237">
        <v>89000</v>
      </c>
      <c r="K18" s="224">
        <v>54505</v>
      </c>
      <c r="L18" s="359">
        <v>88779</v>
      </c>
      <c r="M18" s="233">
        <v>0</v>
      </c>
      <c r="N18" s="813">
        <f t="shared" si="6"/>
        <v>88779</v>
      </c>
      <c r="O18" s="955">
        <f t="shared" si="1"/>
        <v>99.751685393258427</v>
      </c>
      <c r="P18" s="956">
        <f t="shared" si="2"/>
        <v>162.88230437574532</v>
      </c>
    </row>
    <row r="19" spans="1:16" ht="12.95" customHeight="1">
      <c r="B19" s="10"/>
      <c r="C19" s="11"/>
      <c r="D19" s="11"/>
      <c r="E19" s="163"/>
      <c r="F19" s="177">
        <v>613300</v>
      </c>
      <c r="G19" s="196"/>
      <c r="H19" s="428" t="s">
        <v>163</v>
      </c>
      <c r="I19" s="237">
        <v>6800</v>
      </c>
      <c r="J19" s="237">
        <v>6800</v>
      </c>
      <c r="K19" s="224">
        <v>5557</v>
      </c>
      <c r="L19" s="359">
        <v>6181</v>
      </c>
      <c r="M19" s="233">
        <v>0</v>
      </c>
      <c r="N19" s="813">
        <f t="shared" si="6"/>
        <v>6181</v>
      </c>
      <c r="O19" s="955">
        <f t="shared" si="1"/>
        <v>90.897058823529406</v>
      </c>
      <c r="P19" s="956">
        <f t="shared" si="2"/>
        <v>111.22908043908583</v>
      </c>
    </row>
    <row r="20" spans="1:16" ht="12.95" customHeight="1">
      <c r="B20" s="10"/>
      <c r="C20" s="11"/>
      <c r="D20" s="11"/>
      <c r="E20" s="163"/>
      <c r="F20" s="177">
        <v>613400</v>
      </c>
      <c r="G20" s="196"/>
      <c r="H20" s="24" t="s">
        <v>142</v>
      </c>
      <c r="I20" s="237">
        <v>13000</v>
      </c>
      <c r="J20" s="237">
        <v>13000</v>
      </c>
      <c r="K20" s="224">
        <v>13970</v>
      </c>
      <c r="L20" s="359">
        <v>12798</v>
      </c>
      <c r="M20" s="233">
        <v>0</v>
      </c>
      <c r="N20" s="813">
        <f t="shared" si="6"/>
        <v>12798</v>
      </c>
      <c r="O20" s="955">
        <f t="shared" si="1"/>
        <v>98.446153846153848</v>
      </c>
      <c r="P20" s="956">
        <f t="shared" si="2"/>
        <v>91.610594130279168</v>
      </c>
    </row>
    <row r="21" spans="1:16" ht="12.95" customHeight="1">
      <c r="B21" s="10"/>
      <c r="C21" s="11"/>
      <c r="D21" s="11"/>
      <c r="E21" s="163"/>
      <c r="F21" s="177">
        <v>613500</v>
      </c>
      <c r="G21" s="196"/>
      <c r="H21" s="24" t="s">
        <v>84</v>
      </c>
      <c r="I21" s="237">
        <v>1100</v>
      </c>
      <c r="J21" s="237">
        <v>1100</v>
      </c>
      <c r="K21" s="224">
        <v>973</v>
      </c>
      <c r="L21" s="360">
        <v>1084</v>
      </c>
      <c r="M21" s="237">
        <v>0</v>
      </c>
      <c r="N21" s="813">
        <f t="shared" si="6"/>
        <v>1084</v>
      </c>
      <c r="O21" s="955">
        <f t="shared" si="1"/>
        <v>98.545454545454547</v>
      </c>
      <c r="P21" s="956">
        <f t="shared" si="2"/>
        <v>111.40801644398766</v>
      </c>
    </row>
    <row r="22" spans="1:16" ht="12.95" customHeight="1">
      <c r="B22" s="10"/>
      <c r="C22" s="11"/>
      <c r="D22" s="11"/>
      <c r="E22" s="163"/>
      <c r="F22" s="177">
        <v>613600</v>
      </c>
      <c r="G22" s="196"/>
      <c r="H22" s="428" t="s">
        <v>164</v>
      </c>
      <c r="I22" s="237">
        <v>0</v>
      </c>
      <c r="J22" s="237">
        <v>0</v>
      </c>
      <c r="K22" s="224">
        <v>0</v>
      </c>
      <c r="L22" s="360">
        <v>0</v>
      </c>
      <c r="M22" s="237">
        <v>0</v>
      </c>
      <c r="N22" s="813">
        <f t="shared" si="6"/>
        <v>0</v>
      </c>
      <c r="O22" s="955" t="str">
        <f t="shared" si="1"/>
        <v/>
      </c>
      <c r="P22" s="956" t="str">
        <f t="shared" si="2"/>
        <v/>
      </c>
    </row>
    <row r="23" spans="1:16" ht="12.95" customHeight="1">
      <c r="B23" s="10"/>
      <c r="C23" s="11"/>
      <c r="D23" s="11"/>
      <c r="E23" s="163"/>
      <c r="F23" s="177">
        <v>613700</v>
      </c>
      <c r="G23" s="196"/>
      <c r="H23" s="24" t="s">
        <v>85</v>
      </c>
      <c r="I23" s="237">
        <v>14000</v>
      </c>
      <c r="J23" s="237">
        <v>15000</v>
      </c>
      <c r="K23" s="224">
        <v>9963</v>
      </c>
      <c r="L23" s="360">
        <v>14873</v>
      </c>
      <c r="M23" s="237">
        <v>0</v>
      </c>
      <c r="N23" s="813">
        <f t="shared" si="6"/>
        <v>14873</v>
      </c>
      <c r="O23" s="955">
        <f t="shared" si="1"/>
        <v>99.153333333333336</v>
      </c>
      <c r="P23" s="956">
        <f t="shared" si="2"/>
        <v>149.28234467529859</v>
      </c>
    </row>
    <row r="24" spans="1:16" ht="12.95" customHeight="1">
      <c r="B24" s="10"/>
      <c r="C24" s="11"/>
      <c r="D24" s="11"/>
      <c r="E24" s="163"/>
      <c r="F24" s="177">
        <v>613800</v>
      </c>
      <c r="G24" s="196"/>
      <c r="H24" s="24" t="s">
        <v>143</v>
      </c>
      <c r="I24" s="237">
        <v>2060</v>
      </c>
      <c r="J24" s="237">
        <v>2060</v>
      </c>
      <c r="K24" s="224">
        <v>1067</v>
      </c>
      <c r="L24" s="360">
        <v>1867</v>
      </c>
      <c r="M24" s="237">
        <v>0</v>
      </c>
      <c r="N24" s="813">
        <f t="shared" si="6"/>
        <v>1867</v>
      </c>
      <c r="O24" s="955">
        <f t="shared" si="1"/>
        <v>90.631067961165044</v>
      </c>
      <c r="P24" s="956">
        <f t="shared" si="2"/>
        <v>174.97656982193064</v>
      </c>
    </row>
    <row r="25" spans="1:16" ht="12.95" customHeight="1">
      <c r="B25" s="10"/>
      <c r="C25" s="11"/>
      <c r="D25" s="11"/>
      <c r="E25" s="163"/>
      <c r="F25" s="177">
        <v>613900</v>
      </c>
      <c r="G25" s="196"/>
      <c r="H25" s="24" t="s">
        <v>144</v>
      </c>
      <c r="I25" s="237">
        <v>23500</v>
      </c>
      <c r="J25" s="237">
        <v>23500</v>
      </c>
      <c r="K25" s="224">
        <v>8237</v>
      </c>
      <c r="L25" s="360">
        <v>22870</v>
      </c>
      <c r="M25" s="237">
        <v>0</v>
      </c>
      <c r="N25" s="813">
        <f t="shared" si="6"/>
        <v>22870</v>
      </c>
      <c r="O25" s="955">
        <f t="shared" si="1"/>
        <v>97.319148936170208</v>
      </c>
      <c r="P25" s="956">
        <f t="shared" si="2"/>
        <v>277.64962971955811</v>
      </c>
    </row>
    <row r="26" spans="1:16" ht="12.95" customHeight="1">
      <c r="B26" s="10"/>
      <c r="C26" s="11"/>
      <c r="D26" s="11"/>
      <c r="E26" s="163"/>
      <c r="F26" s="177">
        <v>613900</v>
      </c>
      <c r="G26" s="196"/>
      <c r="H26" s="435" t="s">
        <v>435</v>
      </c>
      <c r="I26" s="230">
        <v>0</v>
      </c>
      <c r="J26" s="230">
        <v>0</v>
      </c>
      <c r="K26" s="487">
        <v>0</v>
      </c>
      <c r="L26" s="361">
        <v>0</v>
      </c>
      <c r="M26" s="230">
        <v>0</v>
      </c>
      <c r="N26" s="813">
        <f t="shared" si="6"/>
        <v>0</v>
      </c>
      <c r="O26" s="955" t="str">
        <f t="shared" si="1"/>
        <v/>
      </c>
      <c r="P26" s="956" t="str">
        <f t="shared" si="2"/>
        <v/>
      </c>
    </row>
    <row r="27" spans="1:16" s="1" customFormat="1" ht="12.95" customHeight="1">
      <c r="A27" s="158"/>
      <c r="B27" s="12"/>
      <c r="C27" s="8"/>
      <c r="D27" s="8"/>
      <c r="E27" s="8"/>
      <c r="F27" s="176"/>
      <c r="G27" s="195"/>
      <c r="H27" s="25"/>
      <c r="I27" s="237"/>
      <c r="J27" s="237"/>
      <c r="K27" s="224"/>
      <c r="L27" s="360"/>
      <c r="M27" s="237"/>
      <c r="N27" s="776"/>
      <c r="O27" s="955" t="str">
        <f t="shared" si="1"/>
        <v/>
      </c>
      <c r="P27" s="956" t="str">
        <f t="shared" si="2"/>
        <v/>
      </c>
    </row>
    <row r="28" spans="1:16" s="1" customFormat="1" ht="12.95" customHeight="1">
      <c r="A28" s="158"/>
      <c r="B28" s="12"/>
      <c r="C28" s="8"/>
      <c r="D28" s="8"/>
      <c r="E28" s="8"/>
      <c r="F28" s="176">
        <v>821000</v>
      </c>
      <c r="G28" s="195"/>
      <c r="H28" s="25" t="s">
        <v>88</v>
      </c>
      <c r="I28" s="236">
        <f t="shared" ref="I28:N28" si="7">SUM(I29:I30)</f>
        <v>20500</v>
      </c>
      <c r="J28" s="236">
        <f t="shared" si="7"/>
        <v>20500</v>
      </c>
      <c r="K28" s="226">
        <f t="shared" si="7"/>
        <v>11981</v>
      </c>
      <c r="L28" s="482">
        <f t="shared" si="7"/>
        <v>20401</v>
      </c>
      <c r="M28" s="236">
        <f t="shared" si="7"/>
        <v>0</v>
      </c>
      <c r="N28" s="774">
        <f t="shared" si="7"/>
        <v>20401</v>
      </c>
      <c r="O28" s="953">
        <f t="shared" si="1"/>
        <v>99.517073170731706</v>
      </c>
      <c r="P28" s="954">
        <f t="shared" si="2"/>
        <v>170.27794007178031</v>
      </c>
    </row>
    <row r="29" spans="1:16" ht="12.95" customHeight="1">
      <c r="B29" s="10"/>
      <c r="C29" s="11"/>
      <c r="D29" s="11"/>
      <c r="E29" s="163"/>
      <c r="F29" s="177">
        <v>821200</v>
      </c>
      <c r="G29" s="196"/>
      <c r="H29" s="24" t="s">
        <v>89</v>
      </c>
      <c r="I29" s="237">
        <v>10000</v>
      </c>
      <c r="J29" s="237">
        <v>10000</v>
      </c>
      <c r="K29" s="224">
        <v>7989</v>
      </c>
      <c r="L29" s="360">
        <v>9904</v>
      </c>
      <c r="M29" s="237">
        <v>0</v>
      </c>
      <c r="N29" s="813">
        <f t="shared" ref="N29:N30" si="8">SUM(L29:M29)</f>
        <v>9904</v>
      </c>
      <c r="O29" s="955">
        <f t="shared" si="1"/>
        <v>99.039999999999992</v>
      </c>
      <c r="P29" s="956">
        <f t="shared" si="2"/>
        <v>123.97045938164976</v>
      </c>
    </row>
    <row r="30" spans="1:16" ht="12.95" customHeight="1">
      <c r="B30" s="10"/>
      <c r="C30" s="11"/>
      <c r="D30" s="11"/>
      <c r="E30" s="163"/>
      <c r="F30" s="177">
        <v>821300</v>
      </c>
      <c r="G30" s="196"/>
      <c r="H30" s="24" t="s">
        <v>90</v>
      </c>
      <c r="I30" s="237">
        <v>10500</v>
      </c>
      <c r="J30" s="237">
        <v>10500</v>
      </c>
      <c r="K30" s="224">
        <v>3992</v>
      </c>
      <c r="L30" s="360">
        <v>10497</v>
      </c>
      <c r="M30" s="237">
        <v>0</v>
      </c>
      <c r="N30" s="813">
        <f t="shared" si="8"/>
        <v>10497</v>
      </c>
      <c r="O30" s="955">
        <f t="shared" si="1"/>
        <v>99.971428571428561</v>
      </c>
      <c r="P30" s="956">
        <f t="shared" si="2"/>
        <v>262.95090180360722</v>
      </c>
    </row>
    <row r="31" spans="1:16" ht="12.95" customHeight="1">
      <c r="B31" s="10"/>
      <c r="C31" s="11"/>
      <c r="D31" s="11"/>
      <c r="E31" s="163"/>
      <c r="F31" s="177"/>
      <c r="G31" s="196"/>
      <c r="H31" s="24"/>
      <c r="I31" s="233"/>
      <c r="J31" s="233"/>
      <c r="K31" s="222"/>
      <c r="L31" s="359"/>
      <c r="M31" s="233"/>
      <c r="N31" s="776"/>
      <c r="O31" s="955" t="str">
        <f t="shared" si="1"/>
        <v/>
      </c>
      <c r="P31" s="956" t="str">
        <f t="shared" si="2"/>
        <v/>
      </c>
    </row>
    <row r="32" spans="1:16" s="1" customFormat="1" ht="12.95" customHeight="1">
      <c r="A32" s="158"/>
      <c r="B32" s="12"/>
      <c r="C32" s="8"/>
      <c r="D32" s="8"/>
      <c r="E32" s="8"/>
      <c r="F32" s="176"/>
      <c r="G32" s="195"/>
      <c r="H32" s="25" t="s">
        <v>91</v>
      </c>
      <c r="I32" s="377" t="s">
        <v>852</v>
      </c>
      <c r="J32" s="377" t="s">
        <v>852</v>
      </c>
      <c r="K32" s="486" t="s">
        <v>801</v>
      </c>
      <c r="L32" s="485">
        <v>43</v>
      </c>
      <c r="M32" s="377"/>
      <c r="N32" s="767">
        <v>43</v>
      </c>
      <c r="O32" s="955"/>
      <c r="P32" s="956"/>
    </row>
    <row r="33" spans="1:16" s="1" customFormat="1" ht="12.95" customHeight="1">
      <c r="A33" s="158"/>
      <c r="B33" s="12"/>
      <c r="C33" s="8"/>
      <c r="D33" s="8"/>
      <c r="E33" s="8"/>
      <c r="F33" s="176"/>
      <c r="G33" s="195"/>
      <c r="H33" s="8" t="s">
        <v>105</v>
      </c>
      <c r="I33" s="367">
        <f t="shared" ref="I33:K33" si="9">I8+I13+I16+I28</f>
        <v>1366690</v>
      </c>
      <c r="J33" s="165">
        <f t="shared" si="9"/>
        <v>1366690</v>
      </c>
      <c r="K33" s="153">
        <f t="shared" si="9"/>
        <v>1114562</v>
      </c>
      <c r="L33" s="370">
        <f>L8+L13+L16+L28</f>
        <v>1347355</v>
      </c>
      <c r="M33" s="165">
        <f>M8+M13+M16+M28</f>
        <v>0</v>
      </c>
      <c r="N33" s="774">
        <f>N8+N13+N16+N28</f>
        <v>1347355</v>
      </c>
      <c r="O33" s="953">
        <f>IF(J33=0,"",N33/J33*100)</f>
        <v>98.58526805639903</v>
      </c>
      <c r="P33" s="954">
        <f t="shared" si="2"/>
        <v>120.88650070610699</v>
      </c>
    </row>
    <row r="34" spans="1:16" s="1" customFormat="1" ht="12.95" customHeight="1">
      <c r="A34" s="158"/>
      <c r="B34" s="12"/>
      <c r="C34" s="8"/>
      <c r="D34" s="8"/>
      <c r="E34" s="8"/>
      <c r="F34" s="176"/>
      <c r="G34" s="195"/>
      <c r="H34" s="8" t="s">
        <v>92</v>
      </c>
      <c r="I34" s="367"/>
      <c r="J34" s="165"/>
      <c r="K34" s="153"/>
      <c r="L34" s="370"/>
      <c r="M34" s="165"/>
      <c r="N34" s="774"/>
      <c r="O34" s="955" t="str">
        <f>IF(J34=0,"",N34/J34*100)</f>
        <v/>
      </c>
      <c r="P34" s="956" t="str">
        <f t="shared" si="2"/>
        <v/>
      </c>
    </row>
    <row r="35" spans="1:16" s="1" customFormat="1" ht="12.95" customHeight="1">
      <c r="A35" s="158"/>
      <c r="B35" s="12"/>
      <c r="C35" s="8"/>
      <c r="D35" s="8"/>
      <c r="E35" s="8"/>
      <c r="F35" s="176"/>
      <c r="G35" s="195"/>
      <c r="H35" s="8" t="s">
        <v>93</v>
      </c>
      <c r="I35" s="29"/>
      <c r="J35" s="29"/>
      <c r="K35" s="148"/>
      <c r="L35" s="369"/>
      <c r="M35" s="156"/>
      <c r="N35" s="776"/>
      <c r="O35" s="955" t="str">
        <f>IF(J35=0,"",N35/J35*100)</f>
        <v/>
      </c>
      <c r="P35" s="956" t="str">
        <f t="shared" si="2"/>
        <v/>
      </c>
    </row>
    <row r="36" spans="1:16" ht="12.95" customHeight="1" thickBot="1">
      <c r="B36" s="16"/>
      <c r="C36" s="17"/>
      <c r="D36" s="17"/>
      <c r="E36" s="17"/>
      <c r="F36" s="178"/>
      <c r="G36" s="197"/>
      <c r="H36" s="17"/>
      <c r="I36" s="31"/>
      <c r="J36" s="31"/>
      <c r="K36" s="725"/>
      <c r="L36" s="371"/>
      <c r="M36" s="31"/>
      <c r="N36" s="814"/>
      <c r="O36" s="957"/>
      <c r="P36" s="958" t="str">
        <f t="shared" si="2"/>
        <v/>
      </c>
    </row>
    <row r="37" spans="1:16" ht="12.95" customHeight="1">
      <c r="F37" s="179"/>
      <c r="G37" s="198"/>
      <c r="N37" s="254"/>
      <c r="P37" s="214" t="str">
        <f t="shared" si="2"/>
        <v/>
      </c>
    </row>
    <row r="38" spans="1:16" ht="12.95" customHeight="1">
      <c r="B38" s="45"/>
      <c r="F38" s="179"/>
      <c r="G38" s="198"/>
      <c r="N38" s="254"/>
      <c r="P38" s="214" t="str">
        <f t="shared" si="2"/>
        <v/>
      </c>
    </row>
    <row r="39" spans="1:16" ht="12.95" customHeight="1">
      <c r="B39" s="45"/>
      <c r="F39" s="179"/>
      <c r="G39" s="198"/>
      <c r="N39" s="254"/>
      <c r="P39" s="214" t="str">
        <f t="shared" si="2"/>
        <v/>
      </c>
    </row>
    <row r="40" spans="1:16" ht="12.95" customHeight="1">
      <c r="B40" s="45"/>
      <c r="F40" s="179"/>
      <c r="G40" s="198"/>
      <c r="N40" s="254"/>
      <c r="P40" s="214" t="str">
        <f t="shared" si="2"/>
        <v/>
      </c>
    </row>
    <row r="41" spans="1:16" ht="12.95" customHeight="1">
      <c r="B41" s="45"/>
      <c r="F41" s="179"/>
      <c r="G41" s="198"/>
      <c r="N41" s="254"/>
      <c r="P41" s="214" t="str">
        <f t="shared" si="2"/>
        <v/>
      </c>
    </row>
    <row r="42" spans="1:16" ht="12.95" customHeight="1">
      <c r="B42" s="45"/>
      <c r="F42" s="179"/>
      <c r="G42" s="198"/>
      <c r="N42" s="254"/>
      <c r="P42" s="214" t="str">
        <f t="shared" si="2"/>
        <v/>
      </c>
    </row>
    <row r="43" spans="1:16" ht="12.95" customHeight="1">
      <c r="B43" s="45"/>
      <c r="F43" s="179"/>
      <c r="G43" s="198"/>
      <c r="N43" s="254"/>
      <c r="P43" s="214" t="str">
        <f t="shared" si="2"/>
        <v/>
      </c>
    </row>
    <row r="44" spans="1:16" ht="12.95" customHeight="1">
      <c r="B44" s="45"/>
      <c r="F44" s="179"/>
      <c r="G44" s="198"/>
      <c r="N44" s="254"/>
      <c r="P44" s="214" t="str">
        <f t="shared" si="2"/>
        <v/>
      </c>
    </row>
    <row r="45" spans="1:16" ht="12.95" customHeight="1">
      <c r="F45" s="179"/>
      <c r="G45" s="198"/>
      <c r="N45" s="254"/>
      <c r="P45" s="214" t="str">
        <f t="shared" si="2"/>
        <v/>
      </c>
    </row>
    <row r="46" spans="1:16" ht="12.95" customHeight="1">
      <c r="F46" s="179"/>
      <c r="G46" s="198"/>
      <c r="N46" s="254"/>
      <c r="P46" s="214" t="str">
        <f t="shared" si="2"/>
        <v/>
      </c>
    </row>
    <row r="47" spans="1:16" ht="12.95" customHeight="1">
      <c r="F47" s="179"/>
      <c r="G47" s="198"/>
      <c r="N47" s="254"/>
      <c r="P47" s="214" t="str">
        <f t="shared" si="2"/>
        <v/>
      </c>
    </row>
    <row r="48" spans="1:16" ht="12.95" customHeight="1">
      <c r="F48" s="179"/>
      <c r="G48" s="198"/>
      <c r="N48" s="254"/>
      <c r="P48" s="214" t="str">
        <f t="shared" si="2"/>
        <v/>
      </c>
    </row>
    <row r="49" spans="6:16" ht="12.95" customHeight="1">
      <c r="F49" s="179"/>
      <c r="G49" s="198"/>
      <c r="N49" s="254"/>
      <c r="P49" s="214" t="str">
        <f t="shared" si="2"/>
        <v/>
      </c>
    </row>
    <row r="50" spans="6:16" ht="12.95" customHeight="1">
      <c r="F50" s="179"/>
      <c r="G50" s="198"/>
      <c r="N50" s="254"/>
      <c r="P50" s="214" t="str">
        <f t="shared" si="2"/>
        <v/>
      </c>
    </row>
    <row r="51" spans="6:16" ht="12.95" customHeight="1">
      <c r="F51" s="179"/>
      <c r="G51" s="198"/>
      <c r="N51" s="254"/>
      <c r="P51" s="214" t="str">
        <f t="shared" si="2"/>
        <v/>
      </c>
    </row>
    <row r="52" spans="6:16" ht="12.95" customHeight="1">
      <c r="F52" s="179"/>
      <c r="G52" s="198"/>
      <c r="N52" s="254"/>
      <c r="P52" s="214" t="str">
        <f t="shared" si="2"/>
        <v/>
      </c>
    </row>
    <row r="53" spans="6:16" ht="12.95" customHeight="1">
      <c r="F53" s="179"/>
      <c r="G53" s="198"/>
      <c r="N53" s="254"/>
      <c r="P53" s="214" t="str">
        <f t="shared" si="2"/>
        <v/>
      </c>
    </row>
    <row r="54" spans="6:16" ht="12.95" customHeight="1">
      <c r="F54" s="179"/>
      <c r="G54" s="198"/>
      <c r="N54" s="254"/>
    </row>
    <row r="55" spans="6:16" ht="12.95" customHeight="1">
      <c r="F55" s="179"/>
      <c r="G55" s="198"/>
      <c r="N55" s="254"/>
    </row>
    <row r="56" spans="6:16" ht="12.95" customHeight="1">
      <c r="F56" s="179"/>
      <c r="G56" s="198"/>
      <c r="N56" s="254"/>
    </row>
    <row r="57" spans="6:16" ht="12.95" customHeight="1">
      <c r="F57" s="179"/>
      <c r="G57" s="198"/>
      <c r="N57" s="254"/>
    </row>
    <row r="58" spans="6:16" ht="12.95" customHeight="1">
      <c r="F58" s="179"/>
      <c r="G58" s="198"/>
      <c r="N58" s="254"/>
    </row>
    <row r="59" spans="6:16" ht="12.95" customHeight="1">
      <c r="F59" s="179"/>
      <c r="G59" s="198"/>
      <c r="N59" s="254"/>
    </row>
    <row r="60" spans="6:16" ht="17.100000000000001" customHeight="1">
      <c r="F60" s="179"/>
      <c r="G60" s="198"/>
      <c r="N60" s="254"/>
    </row>
    <row r="61" spans="6:16" ht="14.25">
      <c r="F61" s="179"/>
      <c r="G61" s="198"/>
      <c r="N61" s="254"/>
    </row>
    <row r="62" spans="6:16" ht="14.25">
      <c r="F62" s="179"/>
      <c r="G62" s="198"/>
      <c r="N62" s="254"/>
    </row>
    <row r="63" spans="6:16" ht="14.25">
      <c r="F63" s="179"/>
      <c r="G63" s="198"/>
      <c r="N63" s="254"/>
    </row>
    <row r="64" spans="6:16" ht="14.25">
      <c r="F64" s="179"/>
      <c r="G64" s="198"/>
      <c r="N64" s="254"/>
    </row>
    <row r="65" spans="6:14" ht="14.25">
      <c r="F65" s="179"/>
      <c r="G65" s="198"/>
      <c r="N65" s="254"/>
    </row>
    <row r="66" spans="6:14" ht="14.25">
      <c r="F66" s="179"/>
      <c r="G66" s="198"/>
      <c r="N66" s="254"/>
    </row>
    <row r="67" spans="6:14" ht="14.25">
      <c r="F67" s="179"/>
      <c r="G67" s="198"/>
      <c r="N67" s="254"/>
    </row>
    <row r="68" spans="6:14" ht="14.25">
      <c r="F68" s="179"/>
      <c r="G68" s="198"/>
      <c r="N68" s="254"/>
    </row>
    <row r="69" spans="6:14" ht="14.25">
      <c r="F69" s="179"/>
      <c r="G69" s="198"/>
      <c r="N69" s="254"/>
    </row>
    <row r="70" spans="6:14" ht="14.25">
      <c r="F70" s="179"/>
      <c r="G70" s="198"/>
      <c r="N70" s="254"/>
    </row>
    <row r="71" spans="6:14" ht="14.25">
      <c r="F71" s="179"/>
      <c r="G71" s="198"/>
      <c r="N71" s="254"/>
    </row>
    <row r="72" spans="6:14" ht="14.25">
      <c r="F72" s="179"/>
      <c r="G72" s="198"/>
      <c r="N72" s="254"/>
    </row>
    <row r="73" spans="6:14" ht="14.25">
      <c r="F73" s="179"/>
      <c r="G73" s="198"/>
      <c r="N73" s="254"/>
    </row>
    <row r="74" spans="6:14" ht="14.25">
      <c r="F74" s="179"/>
      <c r="G74" s="179"/>
      <c r="N74" s="254"/>
    </row>
    <row r="75" spans="6:14" ht="14.25">
      <c r="F75" s="179"/>
      <c r="G75" s="179"/>
      <c r="N75" s="254"/>
    </row>
    <row r="76" spans="6:14" ht="14.25">
      <c r="F76" s="179"/>
      <c r="G76" s="179"/>
      <c r="N76" s="254"/>
    </row>
    <row r="77" spans="6:14" ht="14.25">
      <c r="F77" s="179"/>
      <c r="G77" s="179"/>
      <c r="N77" s="254"/>
    </row>
    <row r="78" spans="6:14" ht="14.25">
      <c r="F78" s="179"/>
      <c r="G78" s="179"/>
      <c r="N78" s="254"/>
    </row>
    <row r="79" spans="6:14" ht="14.25">
      <c r="F79" s="179"/>
      <c r="G79" s="179"/>
      <c r="N79" s="254"/>
    </row>
    <row r="80" spans="6:14" ht="14.25">
      <c r="F80" s="179"/>
      <c r="G80" s="179"/>
      <c r="N80" s="254"/>
    </row>
    <row r="81" spans="6:14" ht="14.25">
      <c r="F81" s="179"/>
      <c r="G81" s="179"/>
      <c r="N81" s="254"/>
    </row>
    <row r="82" spans="6:14" ht="14.25">
      <c r="F82" s="179"/>
      <c r="G82" s="179"/>
      <c r="N82" s="254"/>
    </row>
    <row r="83" spans="6:14" ht="14.25">
      <c r="F83" s="179"/>
      <c r="G83" s="179"/>
      <c r="N83" s="254"/>
    </row>
    <row r="84" spans="6:14" ht="14.25">
      <c r="F84" s="179"/>
      <c r="G84" s="179"/>
      <c r="N84" s="254"/>
    </row>
    <row r="85" spans="6:14" ht="14.25">
      <c r="F85" s="179"/>
      <c r="G85" s="179"/>
      <c r="N85" s="254"/>
    </row>
    <row r="86" spans="6:14" ht="14.25">
      <c r="F86" s="179"/>
      <c r="G86" s="179"/>
      <c r="N86" s="254"/>
    </row>
    <row r="87" spans="6:14" ht="14.25">
      <c r="F87" s="179"/>
      <c r="G87" s="179"/>
      <c r="N87" s="254"/>
    </row>
    <row r="88" spans="6:14" ht="14.25">
      <c r="F88" s="179"/>
      <c r="G88" s="179"/>
      <c r="N88" s="254"/>
    </row>
    <row r="89" spans="6:14" ht="14.25">
      <c r="F89" s="179"/>
      <c r="G89" s="179"/>
      <c r="N89" s="254"/>
    </row>
    <row r="90" spans="6:14" ht="14.25">
      <c r="F90" s="179"/>
      <c r="G90" s="179"/>
      <c r="N90" s="254"/>
    </row>
    <row r="91" spans="6:14">
      <c r="G91" s="179"/>
    </row>
    <row r="92" spans="6:14">
      <c r="G92" s="179"/>
    </row>
    <row r="93" spans="6:14">
      <c r="G93" s="179"/>
    </row>
    <row r="94" spans="6:14">
      <c r="G94" s="179"/>
    </row>
    <row r="95" spans="6:14">
      <c r="G95" s="179"/>
    </row>
    <row r="96" spans="6:14">
      <c r="G96" s="179"/>
    </row>
  </sheetData>
  <mergeCells count="15">
    <mergeCell ref="P4:P5"/>
    <mergeCell ref="B2:P2"/>
    <mergeCell ref="K4:K5"/>
    <mergeCell ref="O4:O5"/>
    <mergeCell ref="H4:H5"/>
    <mergeCell ref="H3:I3"/>
    <mergeCell ref="L4:N4"/>
    <mergeCell ref="B4:B5"/>
    <mergeCell ref="C4:C5"/>
    <mergeCell ref="D4:D5"/>
    <mergeCell ref="G4:G5"/>
    <mergeCell ref="F4:F5"/>
    <mergeCell ref="I4:I5"/>
    <mergeCell ref="J4:J5"/>
    <mergeCell ref="E4:E5"/>
  </mergeCells>
  <phoneticPr fontId="2" type="noConversion"/>
  <pageMargins left="0.78740157480314965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 codeName="Sheet31"/>
  <dimension ref="A1:R96"/>
  <sheetViews>
    <sheetView topLeftCell="H1" zoomScaleNormal="100" workbookViewId="0">
      <selection activeCell="N33" sqref="N33"/>
    </sheetView>
  </sheetViews>
  <sheetFormatPr defaultColWidth="9.140625" defaultRowHeight="12.75"/>
  <cols>
    <col min="1" max="1" width="4.42578125" style="161" customWidth="1"/>
    <col min="2" max="2" width="4.7109375" style="9" customWidth="1"/>
    <col min="3" max="3" width="5.140625" style="9" customWidth="1"/>
    <col min="4" max="4" width="5" style="9" customWidth="1"/>
    <col min="5" max="5" width="5" style="161" customWidth="1"/>
    <col min="6" max="6" width="8.7109375" style="18" customWidth="1"/>
    <col min="7" max="7" width="8.7109375" style="166" customWidth="1"/>
    <col min="8" max="8" width="50.7109375" style="9" customWidth="1"/>
    <col min="9" max="10" width="14.7109375" style="51" customWidth="1"/>
    <col min="11" max="11" width="12.5703125" style="51" customWidth="1"/>
    <col min="12" max="13" width="14.7109375" style="51" customWidth="1"/>
    <col min="14" max="14" width="15.7109375" style="51" customWidth="1"/>
    <col min="15" max="16" width="7.7109375" style="214" customWidth="1"/>
    <col min="17" max="16384" width="9.140625" style="9"/>
  </cols>
  <sheetData>
    <row r="1" spans="1:18" ht="13.5" thickBot="1"/>
    <row r="2" spans="1:18" s="79" customFormat="1" ht="20.100000000000001" customHeight="1" thickTop="1" thickBot="1">
      <c r="A2" s="244"/>
      <c r="B2" s="1034" t="s">
        <v>670</v>
      </c>
      <c r="C2" s="1035"/>
      <c r="D2" s="1035"/>
      <c r="E2" s="1035"/>
      <c r="F2" s="1035"/>
      <c r="G2" s="1035"/>
      <c r="H2" s="1035"/>
      <c r="I2" s="1035"/>
      <c r="J2" s="1070"/>
      <c r="K2" s="1070"/>
      <c r="L2" s="1070"/>
      <c r="M2" s="1070"/>
      <c r="N2" s="1070"/>
      <c r="O2" s="1070"/>
      <c r="P2" s="1036"/>
      <c r="R2" s="244"/>
    </row>
    <row r="3" spans="1:18" s="1" customFormat="1" ht="8.1" customHeight="1" thickTop="1" thickBot="1">
      <c r="A3" s="158"/>
      <c r="E3" s="158"/>
      <c r="F3" s="2"/>
      <c r="G3" s="159"/>
      <c r="H3" s="1039"/>
      <c r="I3" s="1039"/>
      <c r="J3" s="139"/>
      <c r="K3" s="721"/>
      <c r="L3" s="74"/>
      <c r="M3" s="74"/>
      <c r="N3" s="74"/>
      <c r="O3" s="208"/>
      <c r="P3" s="208"/>
    </row>
    <row r="4" spans="1:18" s="1" customFormat="1" ht="39" customHeight="1">
      <c r="A4" s="158"/>
      <c r="B4" s="1043" t="s">
        <v>76</v>
      </c>
      <c r="C4" s="1045" t="s">
        <v>77</v>
      </c>
      <c r="D4" s="1047" t="s">
        <v>102</v>
      </c>
      <c r="E4" s="1062" t="s">
        <v>692</v>
      </c>
      <c r="F4" s="1058" t="s">
        <v>466</v>
      </c>
      <c r="G4" s="1048" t="s">
        <v>493</v>
      </c>
      <c r="H4" s="1050" t="s">
        <v>78</v>
      </c>
      <c r="I4" s="1059" t="s">
        <v>901</v>
      </c>
      <c r="J4" s="1068" t="s">
        <v>813</v>
      </c>
      <c r="K4" s="1037" t="s">
        <v>906</v>
      </c>
      <c r="L4" s="1040" t="s">
        <v>905</v>
      </c>
      <c r="M4" s="1041"/>
      <c r="N4" s="1042"/>
      <c r="O4" s="1054" t="s">
        <v>945</v>
      </c>
      <c r="P4" s="1032" t="s">
        <v>946</v>
      </c>
      <c r="R4" s="61"/>
    </row>
    <row r="5" spans="1:18" s="158" customFormat="1" ht="27" customHeight="1">
      <c r="B5" s="1044"/>
      <c r="C5" s="1046"/>
      <c r="D5" s="1046"/>
      <c r="E5" s="1049"/>
      <c r="F5" s="1051"/>
      <c r="G5" s="1049"/>
      <c r="H5" s="1051"/>
      <c r="I5" s="1051"/>
      <c r="J5" s="1051"/>
      <c r="K5" s="1038"/>
      <c r="L5" s="373" t="s">
        <v>526</v>
      </c>
      <c r="M5" s="242" t="s">
        <v>527</v>
      </c>
      <c r="N5" s="764" t="s">
        <v>319</v>
      </c>
      <c r="O5" s="1055"/>
      <c r="P5" s="1033"/>
    </row>
    <row r="6" spans="1:18" s="2" customFormat="1" ht="12.95" customHeight="1">
      <c r="A6" s="159"/>
      <c r="B6" s="328">
        <v>1</v>
      </c>
      <c r="C6" s="195">
        <v>2</v>
      </c>
      <c r="D6" s="195">
        <v>3</v>
      </c>
      <c r="E6" s="195">
        <v>4</v>
      </c>
      <c r="F6" s="195">
        <v>5</v>
      </c>
      <c r="G6" s="195">
        <v>6</v>
      </c>
      <c r="H6" s="195">
        <v>7</v>
      </c>
      <c r="I6" s="195">
        <v>8</v>
      </c>
      <c r="J6" s="195">
        <v>9</v>
      </c>
      <c r="K6" s="188">
        <v>10</v>
      </c>
      <c r="L6" s="328">
        <v>11</v>
      </c>
      <c r="M6" s="195">
        <v>12</v>
      </c>
      <c r="N6" s="810" t="s">
        <v>694</v>
      </c>
      <c r="O6" s="929" t="s">
        <v>814</v>
      </c>
      <c r="P6" s="930" t="s">
        <v>944</v>
      </c>
    </row>
    <row r="7" spans="1:18" s="2" customFormat="1" ht="12.95" customHeight="1">
      <c r="A7" s="159"/>
      <c r="B7" s="6" t="s">
        <v>126</v>
      </c>
      <c r="C7" s="7" t="s">
        <v>127</v>
      </c>
      <c r="D7" s="7" t="s">
        <v>129</v>
      </c>
      <c r="E7" s="415" t="s">
        <v>711</v>
      </c>
      <c r="F7" s="5"/>
      <c r="G7" s="160"/>
      <c r="H7" s="5"/>
      <c r="I7" s="378"/>
      <c r="J7" s="70"/>
      <c r="K7" s="726"/>
      <c r="L7" s="391"/>
      <c r="M7" s="70"/>
      <c r="N7" s="832"/>
      <c r="O7" s="951"/>
      <c r="P7" s="952"/>
    </row>
    <row r="8" spans="1:18" s="1" customFormat="1" ht="12.95" customHeight="1">
      <c r="A8" s="158"/>
      <c r="B8" s="12"/>
      <c r="C8" s="8"/>
      <c r="D8" s="8"/>
      <c r="E8" s="8"/>
      <c r="F8" s="176">
        <v>611000</v>
      </c>
      <c r="G8" s="195"/>
      <c r="H8" s="25" t="s">
        <v>140</v>
      </c>
      <c r="I8" s="236">
        <f t="shared" ref="I8:N8" si="0">SUM(I9:I11)</f>
        <v>417080</v>
      </c>
      <c r="J8" s="236">
        <f t="shared" si="0"/>
        <v>417080</v>
      </c>
      <c r="K8" s="226">
        <f t="shared" si="0"/>
        <v>409737</v>
      </c>
      <c r="L8" s="482">
        <f t="shared" si="0"/>
        <v>408528</v>
      </c>
      <c r="M8" s="236">
        <f t="shared" si="0"/>
        <v>0</v>
      </c>
      <c r="N8" s="812">
        <f t="shared" si="0"/>
        <v>408528</v>
      </c>
      <c r="O8" s="953">
        <f t="shared" ref="O8:O31" si="1">IF(J8=0,"",N8/J8*100)</f>
        <v>97.949554042389948</v>
      </c>
      <c r="P8" s="954">
        <f>IF(K8=0,"",N8/K8*100)</f>
        <v>99.704932676326521</v>
      </c>
    </row>
    <row r="9" spans="1:18" ht="12.95" customHeight="1">
      <c r="B9" s="10"/>
      <c r="C9" s="11"/>
      <c r="D9" s="11"/>
      <c r="E9" s="163"/>
      <c r="F9" s="177">
        <v>611100</v>
      </c>
      <c r="G9" s="196"/>
      <c r="H9" s="428" t="s">
        <v>161</v>
      </c>
      <c r="I9" s="237">
        <f>332300+700</f>
        <v>333000</v>
      </c>
      <c r="J9" s="237">
        <f>332300+700</f>
        <v>333000</v>
      </c>
      <c r="K9" s="224">
        <v>341792</v>
      </c>
      <c r="L9" s="360">
        <v>331428</v>
      </c>
      <c r="M9" s="237">
        <v>0</v>
      </c>
      <c r="N9" s="813">
        <f>SUM(L9:M9)</f>
        <v>331428</v>
      </c>
      <c r="O9" s="955">
        <f t="shared" si="1"/>
        <v>99.527927927927934</v>
      </c>
      <c r="P9" s="956">
        <f t="shared" ref="P9:P53" si="2">IF(K9=0,"",N9/K9*100)</f>
        <v>96.96774646568673</v>
      </c>
    </row>
    <row r="10" spans="1:18" ht="12.95" customHeight="1">
      <c r="B10" s="10"/>
      <c r="C10" s="11"/>
      <c r="D10" s="11"/>
      <c r="E10" s="163"/>
      <c r="F10" s="177">
        <v>611200</v>
      </c>
      <c r="G10" s="196"/>
      <c r="H10" s="24" t="s">
        <v>162</v>
      </c>
      <c r="I10" s="237">
        <f>70680+800+18*700</f>
        <v>84080</v>
      </c>
      <c r="J10" s="237">
        <f>70680+800+18*700</f>
        <v>84080</v>
      </c>
      <c r="K10" s="224">
        <v>67945</v>
      </c>
      <c r="L10" s="360">
        <v>77100</v>
      </c>
      <c r="M10" s="237">
        <v>0</v>
      </c>
      <c r="N10" s="813">
        <f t="shared" ref="N10:N11" si="3">SUM(L10:M10)</f>
        <v>77100</v>
      </c>
      <c r="O10" s="955">
        <f t="shared" si="1"/>
        <v>91.698382492863942</v>
      </c>
      <c r="P10" s="956">
        <f t="shared" si="2"/>
        <v>113.47413349032306</v>
      </c>
    </row>
    <row r="11" spans="1:18" ht="12.95" customHeight="1">
      <c r="B11" s="10"/>
      <c r="C11" s="11"/>
      <c r="D11" s="11"/>
      <c r="E11" s="163"/>
      <c r="F11" s="177">
        <v>611200</v>
      </c>
      <c r="G11" s="196"/>
      <c r="H11" s="435" t="s">
        <v>434</v>
      </c>
      <c r="I11" s="235">
        <v>0</v>
      </c>
      <c r="J11" s="235">
        <v>0</v>
      </c>
      <c r="K11" s="225">
        <v>0</v>
      </c>
      <c r="L11" s="357">
        <v>0</v>
      </c>
      <c r="M11" s="235">
        <v>0</v>
      </c>
      <c r="N11" s="813">
        <f t="shared" si="3"/>
        <v>0</v>
      </c>
      <c r="O11" s="955" t="str">
        <f t="shared" si="1"/>
        <v/>
      </c>
      <c r="P11" s="956" t="str">
        <f t="shared" si="2"/>
        <v/>
      </c>
      <c r="R11" s="50"/>
    </row>
    <row r="12" spans="1:18" ht="12.95" customHeight="1">
      <c r="B12" s="10"/>
      <c r="C12" s="11"/>
      <c r="D12" s="11"/>
      <c r="E12" s="163"/>
      <c r="F12" s="177"/>
      <c r="G12" s="196"/>
      <c r="H12" s="24"/>
      <c r="I12" s="236"/>
      <c r="J12" s="236"/>
      <c r="K12" s="226"/>
      <c r="L12" s="482"/>
      <c r="M12" s="236"/>
      <c r="N12" s="812"/>
      <c r="O12" s="955" t="str">
        <f t="shared" si="1"/>
        <v/>
      </c>
      <c r="P12" s="956" t="str">
        <f t="shared" si="2"/>
        <v/>
      </c>
    </row>
    <row r="13" spans="1:18" s="1" customFormat="1" ht="12.95" customHeight="1">
      <c r="A13" s="158"/>
      <c r="B13" s="12"/>
      <c r="C13" s="8"/>
      <c r="D13" s="8"/>
      <c r="E13" s="8"/>
      <c r="F13" s="176">
        <v>612000</v>
      </c>
      <c r="G13" s="195"/>
      <c r="H13" s="25" t="s">
        <v>139</v>
      </c>
      <c r="I13" s="236">
        <f t="shared" ref="I13:N13" si="4">I14</f>
        <v>35540</v>
      </c>
      <c r="J13" s="236">
        <f t="shared" si="4"/>
        <v>35540</v>
      </c>
      <c r="K13" s="226">
        <f t="shared" si="4"/>
        <v>36352</v>
      </c>
      <c r="L13" s="482">
        <f t="shared" si="4"/>
        <v>35144</v>
      </c>
      <c r="M13" s="236">
        <f t="shared" si="4"/>
        <v>0</v>
      </c>
      <c r="N13" s="812">
        <f t="shared" si="4"/>
        <v>35144</v>
      </c>
      <c r="O13" s="953">
        <f t="shared" si="1"/>
        <v>98.885762521102976</v>
      </c>
      <c r="P13" s="954">
        <f t="shared" si="2"/>
        <v>96.676936619718319</v>
      </c>
    </row>
    <row r="14" spans="1:18" ht="12.95" customHeight="1">
      <c r="B14" s="10"/>
      <c r="C14" s="11"/>
      <c r="D14" s="11"/>
      <c r="E14" s="163"/>
      <c r="F14" s="177">
        <v>612100</v>
      </c>
      <c r="G14" s="196"/>
      <c r="H14" s="430" t="s">
        <v>81</v>
      </c>
      <c r="I14" s="237">
        <f>35240+300</f>
        <v>35540</v>
      </c>
      <c r="J14" s="237">
        <f>35240+300</f>
        <v>35540</v>
      </c>
      <c r="K14" s="224">
        <v>36352</v>
      </c>
      <c r="L14" s="360">
        <v>35144</v>
      </c>
      <c r="M14" s="237">
        <v>0</v>
      </c>
      <c r="N14" s="813">
        <f>SUM(L14:M14)</f>
        <v>35144</v>
      </c>
      <c r="O14" s="955">
        <f t="shared" si="1"/>
        <v>98.885762521102976</v>
      </c>
      <c r="P14" s="956">
        <f t="shared" si="2"/>
        <v>96.676936619718319</v>
      </c>
    </row>
    <row r="15" spans="1:18" ht="12.95" customHeight="1">
      <c r="B15" s="10"/>
      <c r="C15" s="11"/>
      <c r="D15" s="11"/>
      <c r="E15" s="163"/>
      <c r="F15" s="177"/>
      <c r="G15" s="196"/>
      <c r="H15" s="24"/>
      <c r="I15" s="232"/>
      <c r="J15" s="232"/>
      <c r="K15" s="223"/>
      <c r="L15" s="484"/>
      <c r="M15" s="232"/>
      <c r="N15" s="774"/>
      <c r="O15" s="955" t="str">
        <f t="shared" si="1"/>
        <v/>
      </c>
      <c r="P15" s="956" t="str">
        <f t="shared" si="2"/>
        <v/>
      </c>
    </row>
    <row r="16" spans="1:18" s="1" customFormat="1" ht="12.95" customHeight="1">
      <c r="A16" s="158"/>
      <c r="B16" s="12"/>
      <c r="C16" s="8"/>
      <c r="D16" s="8"/>
      <c r="E16" s="8"/>
      <c r="F16" s="176">
        <v>613000</v>
      </c>
      <c r="G16" s="195"/>
      <c r="H16" s="25" t="s">
        <v>141</v>
      </c>
      <c r="I16" s="234">
        <f t="shared" ref="I16:N16" si="5">SUM(I17:I26)</f>
        <v>70260</v>
      </c>
      <c r="J16" s="234">
        <f t="shared" si="5"/>
        <v>70260</v>
      </c>
      <c r="K16" s="221">
        <f t="shared" si="5"/>
        <v>48377</v>
      </c>
      <c r="L16" s="483">
        <f t="shared" si="5"/>
        <v>62777</v>
      </c>
      <c r="M16" s="234">
        <f t="shared" si="5"/>
        <v>0</v>
      </c>
      <c r="N16" s="774">
        <f t="shared" si="5"/>
        <v>62777</v>
      </c>
      <c r="O16" s="953">
        <f t="shared" si="1"/>
        <v>89.349558781668094</v>
      </c>
      <c r="P16" s="954">
        <f t="shared" si="2"/>
        <v>129.76621121607374</v>
      </c>
    </row>
    <row r="17" spans="1:16" ht="12.95" customHeight="1">
      <c r="B17" s="10"/>
      <c r="C17" s="11"/>
      <c r="D17" s="11"/>
      <c r="E17" s="163"/>
      <c r="F17" s="177">
        <v>613100</v>
      </c>
      <c r="G17" s="196"/>
      <c r="H17" s="24" t="s">
        <v>82</v>
      </c>
      <c r="I17" s="237">
        <v>2500</v>
      </c>
      <c r="J17" s="237">
        <v>2500</v>
      </c>
      <c r="K17" s="224">
        <v>995</v>
      </c>
      <c r="L17" s="359">
        <v>1981</v>
      </c>
      <c r="M17" s="233">
        <v>0</v>
      </c>
      <c r="N17" s="813">
        <f t="shared" ref="N17:N26" si="6">SUM(L17:M17)</f>
        <v>1981</v>
      </c>
      <c r="O17" s="955">
        <f t="shared" si="1"/>
        <v>79.239999999999995</v>
      </c>
      <c r="P17" s="956">
        <f t="shared" si="2"/>
        <v>199.09547738693468</v>
      </c>
    </row>
    <row r="18" spans="1:16" ht="12.95" customHeight="1">
      <c r="B18" s="10"/>
      <c r="C18" s="11"/>
      <c r="D18" s="11"/>
      <c r="E18" s="163"/>
      <c r="F18" s="177">
        <v>613200</v>
      </c>
      <c r="G18" s="196"/>
      <c r="H18" s="24" t="s">
        <v>83</v>
      </c>
      <c r="I18" s="237">
        <v>24000</v>
      </c>
      <c r="J18" s="237">
        <v>24000</v>
      </c>
      <c r="K18" s="224">
        <v>15770</v>
      </c>
      <c r="L18" s="359">
        <v>21641</v>
      </c>
      <c r="M18" s="233">
        <v>0</v>
      </c>
      <c r="N18" s="813">
        <f t="shared" si="6"/>
        <v>21641</v>
      </c>
      <c r="O18" s="955">
        <f t="shared" si="1"/>
        <v>90.170833333333334</v>
      </c>
      <c r="P18" s="956">
        <f t="shared" si="2"/>
        <v>137.22891566265062</v>
      </c>
    </row>
    <row r="19" spans="1:16" ht="12.95" customHeight="1">
      <c r="B19" s="10"/>
      <c r="C19" s="11"/>
      <c r="D19" s="11"/>
      <c r="E19" s="163"/>
      <c r="F19" s="177">
        <v>613300</v>
      </c>
      <c r="G19" s="196"/>
      <c r="H19" s="428" t="s">
        <v>163</v>
      </c>
      <c r="I19" s="237">
        <v>3300</v>
      </c>
      <c r="J19" s="237">
        <v>3300</v>
      </c>
      <c r="K19" s="224">
        <v>2704</v>
      </c>
      <c r="L19" s="359">
        <v>3086</v>
      </c>
      <c r="M19" s="233">
        <v>0</v>
      </c>
      <c r="N19" s="813">
        <f t="shared" si="6"/>
        <v>3086</v>
      </c>
      <c r="O19" s="955">
        <f t="shared" si="1"/>
        <v>93.515151515151516</v>
      </c>
      <c r="P19" s="956">
        <f t="shared" si="2"/>
        <v>114.12721893491124</v>
      </c>
    </row>
    <row r="20" spans="1:16" ht="12.95" customHeight="1">
      <c r="B20" s="10"/>
      <c r="C20" s="11"/>
      <c r="D20" s="11"/>
      <c r="E20" s="163"/>
      <c r="F20" s="177">
        <v>613400</v>
      </c>
      <c r="G20" s="196"/>
      <c r="H20" s="24" t="s">
        <v>142</v>
      </c>
      <c r="I20" s="237">
        <v>9500</v>
      </c>
      <c r="J20" s="237">
        <v>9500</v>
      </c>
      <c r="K20" s="224">
        <v>6148</v>
      </c>
      <c r="L20" s="359">
        <v>8635</v>
      </c>
      <c r="M20" s="233">
        <v>0</v>
      </c>
      <c r="N20" s="813">
        <f t="shared" si="6"/>
        <v>8635</v>
      </c>
      <c r="O20" s="955">
        <f t="shared" si="1"/>
        <v>90.89473684210526</v>
      </c>
      <c r="P20" s="956">
        <f t="shared" si="2"/>
        <v>140.45217957059205</v>
      </c>
    </row>
    <row r="21" spans="1:16" ht="12.95" customHeight="1">
      <c r="B21" s="10"/>
      <c r="C21" s="11"/>
      <c r="D21" s="11"/>
      <c r="E21" s="163"/>
      <c r="F21" s="177">
        <v>613500</v>
      </c>
      <c r="G21" s="196"/>
      <c r="H21" s="24" t="s">
        <v>84</v>
      </c>
      <c r="I21" s="237">
        <v>600</v>
      </c>
      <c r="J21" s="237">
        <v>600</v>
      </c>
      <c r="K21" s="224">
        <v>288</v>
      </c>
      <c r="L21" s="359">
        <v>598</v>
      </c>
      <c r="M21" s="233">
        <v>0</v>
      </c>
      <c r="N21" s="813">
        <f t="shared" si="6"/>
        <v>598</v>
      </c>
      <c r="O21" s="955">
        <f t="shared" si="1"/>
        <v>99.666666666666671</v>
      </c>
      <c r="P21" s="956">
        <f t="shared" si="2"/>
        <v>207.63888888888889</v>
      </c>
    </row>
    <row r="22" spans="1:16" ht="12.95" customHeight="1">
      <c r="B22" s="10"/>
      <c r="C22" s="11"/>
      <c r="D22" s="11"/>
      <c r="E22" s="163"/>
      <c r="F22" s="177">
        <v>613600</v>
      </c>
      <c r="G22" s="196"/>
      <c r="H22" s="428" t="s">
        <v>164</v>
      </c>
      <c r="I22" s="237">
        <v>0</v>
      </c>
      <c r="J22" s="237">
        <v>0</v>
      </c>
      <c r="K22" s="224">
        <v>0</v>
      </c>
      <c r="L22" s="359">
        <v>0</v>
      </c>
      <c r="M22" s="233">
        <v>0</v>
      </c>
      <c r="N22" s="813">
        <f t="shared" si="6"/>
        <v>0</v>
      </c>
      <c r="O22" s="955" t="str">
        <f t="shared" si="1"/>
        <v/>
      </c>
      <c r="P22" s="956" t="str">
        <f t="shared" si="2"/>
        <v/>
      </c>
    </row>
    <row r="23" spans="1:16" ht="12.95" customHeight="1">
      <c r="B23" s="10"/>
      <c r="C23" s="11"/>
      <c r="D23" s="11"/>
      <c r="E23" s="163"/>
      <c r="F23" s="177">
        <v>613700</v>
      </c>
      <c r="G23" s="196"/>
      <c r="H23" s="24" t="s">
        <v>85</v>
      </c>
      <c r="I23" s="237">
        <v>7000</v>
      </c>
      <c r="J23" s="237">
        <v>7000</v>
      </c>
      <c r="K23" s="224">
        <v>2443</v>
      </c>
      <c r="L23" s="359">
        <v>4532</v>
      </c>
      <c r="M23" s="233">
        <v>0</v>
      </c>
      <c r="N23" s="813">
        <f t="shared" si="6"/>
        <v>4532</v>
      </c>
      <c r="O23" s="955">
        <f t="shared" si="1"/>
        <v>64.742857142857147</v>
      </c>
      <c r="P23" s="956">
        <f t="shared" si="2"/>
        <v>185.50961932050757</v>
      </c>
    </row>
    <row r="24" spans="1:16" ht="12.95" customHeight="1">
      <c r="B24" s="10"/>
      <c r="C24" s="11"/>
      <c r="D24" s="11"/>
      <c r="E24" s="163"/>
      <c r="F24" s="177">
        <v>613800</v>
      </c>
      <c r="G24" s="196"/>
      <c r="H24" s="24" t="s">
        <v>143</v>
      </c>
      <c r="I24" s="237">
        <v>360</v>
      </c>
      <c r="J24" s="237">
        <v>360</v>
      </c>
      <c r="K24" s="224">
        <v>0</v>
      </c>
      <c r="L24" s="360">
        <v>300</v>
      </c>
      <c r="M24" s="237">
        <v>0</v>
      </c>
      <c r="N24" s="813">
        <f t="shared" si="6"/>
        <v>300</v>
      </c>
      <c r="O24" s="955">
        <f t="shared" si="1"/>
        <v>83.333333333333343</v>
      </c>
      <c r="P24" s="956" t="str">
        <f t="shared" si="2"/>
        <v/>
      </c>
    </row>
    <row r="25" spans="1:16" ht="12.95" customHeight="1">
      <c r="B25" s="10"/>
      <c r="C25" s="11"/>
      <c r="D25" s="11"/>
      <c r="E25" s="163"/>
      <c r="F25" s="177">
        <v>613900</v>
      </c>
      <c r="G25" s="196"/>
      <c r="H25" s="24" t="s">
        <v>144</v>
      </c>
      <c r="I25" s="237">
        <v>23000</v>
      </c>
      <c r="J25" s="237">
        <v>23000</v>
      </c>
      <c r="K25" s="224">
        <v>20029</v>
      </c>
      <c r="L25" s="360">
        <v>22004</v>
      </c>
      <c r="M25" s="237">
        <v>0</v>
      </c>
      <c r="N25" s="813">
        <f t="shared" si="6"/>
        <v>22004</v>
      </c>
      <c r="O25" s="955">
        <f t="shared" si="1"/>
        <v>95.669565217391309</v>
      </c>
      <c r="P25" s="956">
        <f t="shared" si="2"/>
        <v>109.86070198212592</v>
      </c>
    </row>
    <row r="26" spans="1:16" ht="12.95" customHeight="1">
      <c r="B26" s="10"/>
      <c r="C26" s="11"/>
      <c r="D26" s="11"/>
      <c r="E26" s="163"/>
      <c r="F26" s="177">
        <v>613900</v>
      </c>
      <c r="G26" s="196"/>
      <c r="H26" s="435" t="s">
        <v>435</v>
      </c>
      <c r="I26" s="237">
        <v>0</v>
      </c>
      <c r="J26" s="237">
        <v>0</v>
      </c>
      <c r="K26" s="224">
        <v>0</v>
      </c>
      <c r="L26" s="360">
        <v>0</v>
      </c>
      <c r="M26" s="237">
        <v>0</v>
      </c>
      <c r="N26" s="813">
        <f t="shared" si="6"/>
        <v>0</v>
      </c>
      <c r="O26" s="955" t="str">
        <f t="shared" si="1"/>
        <v/>
      </c>
      <c r="P26" s="956" t="str">
        <f t="shared" si="2"/>
        <v/>
      </c>
    </row>
    <row r="27" spans="1:16" ht="12.95" customHeight="1">
      <c r="B27" s="10"/>
      <c r="C27" s="11"/>
      <c r="D27" s="11"/>
      <c r="E27" s="163"/>
      <c r="F27" s="177"/>
      <c r="G27" s="196"/>
      <c r="H27" s="24"/>
      <c r="I27" s="236"/>
      <c r="J27" s="236"/>
      <c r="K27" s="226"/>
      <c r="L27" s="482"/>
      <c r="M27" s="236"/>
      <c r="N27" s="774"/>
      <c r="O27" s="955" t="str">
        <f t="shared" si="1"/>
        <v/>
      </c>
      <c r="P27" s="956" t="str">
        <f t="shared" si="2"/>
        <v/>
      </c>
    </row>
    <row r="28" spans="1:16" s="1" customFormat="1" ht="12.95" customHeight="1">
      <c r="A28" s="158"/>
      <c r="B28" s="12"/>
      <c r="C28" s="8"/>
      <c r="D28" s="8"/>
      <c r="E28" s="8"/>
      <c r="F28" s="176">
        <v>821000</v>
      </c>
      <c r="G28" s="195"/>
      <c r="H28" s="25" t="s">
        <v>88</v>
      </c>
      <c r="I28" s="236">
        <f t="shared" ref="I28:N28" si="7">SUM(I29:I30)</f>
        <v>3500</v>
      </c>
      <c r="J28" s="236">
        <f t="shared" si="7"/>
        <v>3500</v>
      </c>
      <c r="K28" s="226">
        <f t="shared" si="7"/>
        <v>0</v>
      </c>
      <c r="L28" s="482">
        <f t="shared" si="7"/>
        <v>3491</v>
      </c>
      <c r="M28" s="236">
        <f t="shared" si="7"/>
        <v>0</v>
      </c>
      <c r="N28" s="774">
        <f t="shared" si="7"/>
        <v>3491</v>
      </c>
      <c r="O28" s="953">
        <f t="shared" si="1"/>
        <v>99.742857142857147</v>
      </c>
      <c r="P28" s="954" t="str">
        <f t="shared" si="2"/>
        <v/>
      </c>
    </row>
    <row r="29" spans="1:16" ht="12.95" customHeight="1">
      <c r="B29" s="10"/>
      <c r="C29" s="11"/>
      <c r="D29" s="11"/>
      <c r="E29" s="163"/>
      <c r="F29" s="177">
        <v>821200</v>
      </c>
      <c r="G29" s="196"/>
      <c r="H29" s="24" t="s">
        <v>89</v>
      </c>
      <c r="I29" s="237">
        <v>0</v>
      </c>
      <c r="J29" s="237">
        <v>0</v>
      </c>
      <c r="K29" s="224">
        <v>0</v>
      </c>
      <c r="L29" s="360">
        <v>0</v>
      </c>
      <c r="M29" s="237">
        <v>0</v>
      </c>
      <c r="N29" s="813">
        <f t="shared" ref="N29:N30" si="8">SUM(L29:M29)</f>
        <v>0</v>
      </c>
      <c r="O29" s="955" t="str">
        <f t="shared" si="1"/>
        <v/>
      </c>
      <c r="P29" s="956" t="str">
        <f t="shared" si="2"/>
        <v/>
      </c>
    </row>
    <row r="30" spans="1:16" ht="12.95" customHeight="1">
      <c r="B30" s="10"/>
      <c r="C30" s="11"/>
      <c r="D30" s="11"/>
      <c r="E30" s="163"/>
      <c r="F30" s="177">
        <v>821300</v>
      </c>
      <c r="G30" s="196"/>
      <c r="H30" s="24" t="s">
        <v>90</v>
      </c>
      <c r="I30" s="237">
        <v>3500</v>
      </c>
      <c r="J30" s="237">
        <v>3500</v>
      </c>
      <c r="K30" s="224">
        <v>0</v>
      </c>
      <c r="L30" s="360">
        <v>3491</v>
      </c>
      <c r="M30" s="237">
        <v>0</v>
      </c>
      <c r="N30" s="813">
        <f t="shared" si="8"/>
        <v>3491</v>
      </c>
      <c r="O30" s="955">
        <f t="shared" si="1"/>
        <v>99.742857142857147</v>
      </c>
      <c r="P30" s="956" t="str">
        <f t="shared" si="2"/>
        <v/>
      </c>
    </row>
    <row r="31" spans="1:16" ht="12.95" customHeight="1">
      <c r="B31" s="10"/>
      <c r="C31" s="11"/>
      <c r="D31" s="11"/>
      <c r="E31" s="163"/>
      <c r="F31" s="177"/>
      <c r="G31" s="196"/>
      <c r="H31" s="24"/>
      <c r="I31" s="233"/>
      <c r="J31" s="233"/>
      <c r="K31" s="222"/>
      <c r="L31" s="359"/>
      <c r="M31" s="233"/>
      <c r="N31" s="776"/>
      <c r="O31" s="955" t="str">
        <f t="shared" si="1"/>
        <v/>
      </c>
      <c r="P31" s="956" t="str">
        <f t="shared" si="2"/>
        <v/>
      </c>
    </row>
    <row r="32" spans="1:16" s="1" customFormat="1" ht="12.95" customHeight="1">
      <c r="A32" s="158"/>
      <c r="B32" s="12"/>
      <c r="C32" s="8"/>
      <c r="D32" s="8"/>
      <c r="E32" s="8"/>
      <c r="F32" s="176"/>
      <c r="G32" s="195"/>
      <c r="H32" s="25" t="s">
        <v>91</v>
      </c>
      <c r="I32" s="394" t="s">
        <v>847</v>
      </c>
      <c r="J32" s="394" t="s">
        <v>847</v>
      </c>
      <c r="K32" s="727" t="s">
        <v>802</v>
      </c>
      <c r="L32" s="498">
        <v>18</v>
      </c>
      <c r="M32" s="394"/>
      <c r="N32" s="767">
        <v>18</v>
      </c>
      <c r="O32" s="955"/>
      <c r="P32" s="956"/>
    </row>
    <row r="33" spans="1:16" s="1" customFormat="1" ht="12.95" customHeight="1">
      <c r="A33" s="158"/>
      <c r="B33" s="12"/>
      <c r="C33" s="8"/>
      <c r="D33" s="8"/>
      <c r="E33" s="8"/>
      <c r="F33" s="176"/>
      <c r="G33" s="195"/>
      <c r="H33" s="8" t="s">
        <v>105</v>
      </c>
      <c r="I33" s="367">
        <f t="shared" ref="I33:K33" si="9">I8+I13+I16+I28</f>
        <v>526380</v>
      </c>
      <c r="J33" s="165">
        <f t="shared" si="9"/>
        <v>526380</v>
      </c>
      <c r="K33" s="153">
        <f t="shared" si="9"/>
        <v>494466</v>
      </c>
      <c r="L33" s="370">
        <f>L8+L13+L16+L28</f>
        <v>509940</v>
      </c>
      <c r="M33" s="165">
        <f>M8+M13+M16+M28</f>
        <v>0</v>
      </c>
      <c r="N33" s="774">
        <f>N8+N13+N16+N28</f>
        <v>509940</v>
      </c>
      <c r="O33" s="953">
        <f>IF(J33=0,"",N33/J33*100)</f>
        <v>96.876781032714007</v>
      </c>
      <c r="P33" s="954">
        <f t="shared" si="2"/>
        <v>103.1294366043368</v>
      </c>
    </row>
    <row r="34" spans="1:16" s="1" customFormat="1" ht="12.95" customHeight="1">
      <c r="A34" s="158"/>
      <c r="B34" s="12"/>
      <c r="C34" s="8"/>
      <c r="D34" s="8"/>
      <c r="E34" s="8"/>
      <c r="F34" s="176"/>
      <c r="G34" s="195"/>
      <c r="H34" s="8" t="s">
        <v>92</v>
      </c>
      <c r="I34" s="367"/>
      <c r="J34" s="165"/>
      <c r="K34" s="153"/>
      <c r="L34" s="370"/>
      <c r="M34" s="165"/>
      <c r="N34" s="774"/>
      <c r="O34" s="955" t="str">
        <f>IF(J34=0,"",N34/J34*100)</f>
        <v/>
      </c>
      <c r="P34" s="956" t="str">
        <f t="shared" si="2"/>
        <v/>
      </c>
    </row>
    <row r="35" spans="1:16" s="1" customFormat="1" ht="12.95" customHeight="1">
      <c r="A35" s="158"/>
      <c r="B35" s="12"/>
      <c r="C35" s="8"/>
      <c r="D35" s="8"/>
      <c r="E35" s="8"/>
      <c r="F35" s="176"/>
      <c r="G35" s="195"/>
      <c r="H35" s="8" t="s">
        <v>93</v>
      </c>
      <c r="I35" s="29"/>
      <c r="J35" s="29"/>
      <c r="K35" s="148"/>
      <c r="L35" s="369"/>
      <c r="M35" s="156"/>
      <c r="N35" s="776"/>
      <c r="O35" s="955" t="str">
        <f>IF(J35=0,"",N35/J35*100)</f>
        <v/>
      </c>
      <c r="P35" s="956" t="str">
        <f t="shared" si="2"/>
        <v/>
      </c>
    </row>
    <row r="36" spans="1:16" ht="12.95" customHeight="1" thickBot="1">
      <c r="B36" s="16"/>
      <c r="C36" s="17"/>
      <c r="D36" s="17"/>
      <c r="E36" s="17"/>
      <c r="F36" s="178"/>
      <c r="G36" s="197"/>
      <c r="H36" s="17"/>
      <c r="I36" s="31"/>
      <c r="J36" s="31"/>
      <c r="K36" s="725"/>
      <c r="L36" s="371"/>
      <c r="M36" s="31"/>
      <c r="N36" s="814"/>
      <c r="O36" s="957"/>
      <c r="P36" s="958" t="str">
        <f t="shared" si="2"/>
        <v/>
      </c>
    </row>
    <row r="37" spans="1:16" ht="12.95" customHeight="1">
      <c r="F37" s="179"/>
      <c r="G37" s="198"/>
      <c r="N37" s="254"/>
      <c r="P37" s="214" t="str">
        <f t="shared" si="2"/>
        <v/>
      </c>
    </row>
    <row r="38" spans="1:16" ht="12.95" customHeight="1">
      <c r="F38" s="179"/>
      <c r="G38" s="198"/>
      <c r="N38" s="254"/>
      <c r="P38" s="214" t="str">
        <f t="shared" si="2"/>
        <v/>
      </c>
    </row>
    <row r="39" spans="1:16" ht="12.95" customHeight="1">
      <c r="B39" s="45"/>
      <c r="F39" s="179"/>
      <c r="G39" s="198"/>
      <c r="N39" s="254"/>
      <c r="P39" s="214" t="str">
        <f t="shared" si="2"/>
        <v/>
      </c>
    </row>
    <row r="40" spans="1:16" ht="12.95" customHeight="1">
      <c r="B40" s="45"/>
      <c r="F40" s="179"/>
      <c r="G40" s="198"/>
      <c r="N40" s="254"/>
      <c r="P40" s="214" t="str">
        <f t="shared" si="2"/>
        <v/>
      </c>
    </row>
    <row r="41" spans="1:16" ht="12.95" customHeight="1">
      <c r="B41" s="45"/>
      <c r="F41" s="179"/>
      <c r="G41" s="198"/>
      <c r="N41" s="254"/>
      <c r="P41" s="214" t="str">
        <f t="shared" si="2"/>
        <v/>
      </c>
    </row>
    <row r="42" spans="1:16" ht="12.95" customHeight="1">
      <c r="B42" s="45"/>
      <c r="F42" s="179"/>
      <c r="G42" s="198"/>
      <c r="N42" s="254"/>
      <c r="P42" s="214" t="str">
        <f t="shared" si="2"/>
        <v/>
      </c>
    </row>
    <row r="43" spans="1:16" ht="12.95" customHeight="1">
      <c r="B43" s="45"/>
      <c r="F43" s="179"/>
      <c r="G43" s="198"/>
      <c r="N43" s="254"/>
      <c r="P43" s="214" t="str">
        <f t="shared" si="2"/>
        <v/>
      </c>
    </row>
    <row r="44" spans="1:16" ht="12.95" customHeight="1">
      <c r="B44" s="45"/>
      <c r="F44" s="179"/>
      <c r="G44" s="198"/>
      <c r="N44" s="254"/>
      <c r="P44" s="214" t="str">
        <f t="shared" si="2"/>
        <v/>
      </c>
    </row>
    <row r="45" spans="1:16" ht="12.95" customHeight="1">
      <c r="B45" s="45"/>
      <c r="F45" s="179"/>
      <c r="G45" s="198"/>
      <c r="N45" s="254"/>
      <c r="P45" s="214" t="str">
        <f t="shared" si="2"/>
        <v/>
      </c>
    </row>
    <row r="46" spans="1:16" ht="12.95" customHeight="1">
      <c r="F46" s="179"/>
      <c r="G46" s="198"/>
      <c r="N46" s="254"/>
      <c r="P46" s="214" t="str">
        <f t="shared" si="2"/>
        <v/>
      </c>
    </row>
    <row r="47" spans="1:16" ht="12.95" customHeight="1">
      <c r="F47" s="179"/>
      <c r="G47" s="198"/>
      <c r="N47" s="254"/>
      <c r="P47" s="214" t="str">
        <f t="shared" si="2"/>
        <v/>
      </c>
    </row>
    <row r="48" spans="1:16" ht="12.95" customHeight="1">
      <c r="F48" s="179"/>
      <c r="G48" s="198"/>
      <c r="N48" s="254"/>
      <c r="P48" s="214" t="str">
        <f t="shared" si="2"/>
        <v/>
      </c>
    </row>
    <row r="49" spans="6:16" ht="12.95" customHeight="1">
      <c r="F49" s="179"/>
      <c r="G49" s="198"/>
      <c r="N49" s="254"/>
      <c r="P49" s="214" t="str">
        <f t="shared" si="2"/>
        <v/>
      </c>
    </row>
    <row r="50" spans="6:16" ht="12.95" customHeight="1">
      <c r="F50" s="179"/>
      <c r="G50" s="198"/>
      <c r="N50" s="254"/>
      <c r="P50" s="214" t="str">
        <f t="shared" si="2"/>
        <v/>
      </c>
    </row>
    <row r="51" spans="6:16" ht="12.95" customHeight="1">
      <c r="F51" s="179"/>
      <c r="G51" s="198"/>
      <c r="N51" s="254"/>
      <c r="P51" s="214" t="str">
        <f t="shared" si="2"/>
        <v/>
      </c>
    </row>
    <row r="52" spans="6:16" ht="12.95" customHeight="1">
      <c r="F52" s="179"/>
      <c r="G52" s="198"/>
      <c r="N52" s="254"/>
      <c r="P52" s="214" t="str">
        <f t="shared" si="2"/>
        <v/>
      </c>
    </row>
    <row r="53" spans="6:16" ht="12.95" customHeight="1">
      <c r="F53" s="179"/>
      <c r="G53" s="198"/>
      <c r="N53" s="254"/>
      <c r="P53" s="214" t="str">
        <f t="shared" si="2"/>
        <v/>
      </c>
    </row>
    <row r="54" spans="6:16" ht="12.95" customHeight="1">
      <c r="F54" s="179"/>
      <c r="G54" s="198"/>
      <c r="N54" s="254"/>
    </row>
    <row r="55" spans="6:16" ht="12.95" customHeight="1">
      <c r="F55" s="179"/>
      <c r="G55" s="198"/>
      <c r="N55" s="254"/>
    </row>
    <row r="56" spans="6:16" ht="12.95" customHeight="1">
      <c r="F56" s="179"/>
      <c r="G56" s="198"/>
      <c r="N56" s="254"/>
    </row>
    <row r="57" spans="6:16" ht="12.95" customHeight="1">
      <c r="F57" s="179"/>
      <c r="G57" s="198"/>
      <c r="N57" s="254"/>
    </row>
    <row r="58" spans="6:16" ht="12.95" customHeight="1">
      <c r="F58" s="179"/>
      <c r="G58" s="198"/>
      <c r="N58" s="254"/>
    </row>
    <row r="59" spans="6:16" ht="12.95" customHeight="1">
      <c r="F59" s="179"/>
      <c r="G59" s="198"/>
      <c r="N59" s="254"/>
    </row>
    <row r="60" spans="6:16" ht="17.100000000000001" customHeight="1">
      <c r="F60" s="179"/>
      <c r="G60" s="198"/>
      <c r="N60" s="254"/>
    </row>
    <row r="61" spans="6:16" ht="14.25">
      <c r="F61" s="179"/>
      <c r="G61" s="198"/>
      <c r="N61" s="254"/>
    </row>
    <row r="62" spans="6:16" ht="14.25">
      <c r="F62" s="179"/>
      <c r="G62" s="198"/>
      <c r="N62" s="254"/>
    </row>
    <row r="63" spans="6:16" ht="14.25">
      <c r="F63" s="179"/>
      <c r="G63" s="198"/>
      <c r="N63" s="254"/>
    </row>
    <row r="64" spans="6:16" ht="14.25">
      <c r="F64" s="179"/>
      <c r="G64" s="198"/>
      <c r="N64" s="254"/>
    </row>
    <row r="65" spans="6:14" ht="14.25">
      <c r="F65" s="179"/>
      <c r="G65" s="198"/>
      <c r="N65" s="254"/>
    </row>
    <row r="66" spans="6:14" ht="14.25">
      <c r="F66" s="179"/>
      <c r="G66" s="198"/>
      <c r="N66" s="254"/>
    </row>
    <row r="67" spans="6:14" ht="14.25">
      <c r="F67" s="179"/>
      <c r="G67" s="198"/>
      <c r="N67" s="254"/>
    </row>
    <row r="68" spans="6:14" ht="14.25">
      <c r="F68" s="179"/>
      <c r="G68" s="198"/>
      <c r="N68" s="254"/>
    </row>
    <row r="69" spans="6:14" ht="14.25">
      <c r="F69" s="179"/>
      <c r="G69" s="198"/>
      <c r="N69" s="254"/>
    </row>
    <row r="70" spans="6:14" ht="14.25">
      <c r="F70" s="179"/>
      <c r="G70" s="198"/>
      <c r="N70" s="254"/>
    </row>
    <row r="71" spans="6:14" ht="14.25">
      <c r="F71" s="179"/>
      <c r="G71" s="198"/>
      <c r="N71" s="254"/>
    </row>
    <row r="72" spans="6:14" ht="14.25">
      <c r="F72" s="179"/>
      <c r="G72" s="198"/>
      <c r="N72" s="254"/>
    </row>
    <row r="73" spans="6:14" ht="14.25">
      <c r="F73" s="179"/>
      <c r="G73" s="198"/>
      <c r="N73" s="254"/>
    </row>
    <row r="74" spans="6:14" ht="14.25">
      <c r="F74" s="179"/>
      <c r="G74" s="179"/>
      <c r="N74" s="254"/>
    </row>
    <row r="75" spans="6:14" ht="14.25">
      <c r="F75" s="179"/>
      <c r="G75" s="179"/>
      <c r="N75" s="254"/>
    </row>
    <row r="76" spans="6:14" ht="14.25">
      <c r="F76" s="179"/>
      <c r="G76" s="179"/>
      <c r="N76" s="254"/>
    </row>
    <row r="77" spans="6:14" ht="14.25">
      <c r="F77" s="179"/>
      <c r="G77" s="179"/>
      <c r="N77" s="254"/>
    </row>
    <row r="78" spans="6:14" ht="14.25">
      <c r="F78" s="179"/>
      <c r="G78" s="179"/>
      <c r="N78" s="254"/>
    </row>
    <row r="79" spans="6:14" ht="14.25">
      <c r="F79" s="179"/>
      <c r="G79" s="179"/>
      <c r="N79" s="254"/>
    </row>
    <row r="80" spans="6:14" ht="14.25">
      <c r="F80" s="179"/>
      <c r="G80" s="179"/>
      <c r="N80" s="254"/>
    </row>
    <row r="81" spans="6:14" ht="14.25">
      <c r="F81" s="179"/>
      <c r="G81" s="179"/>
      <c r="N81" s="254"/>
    </row>
    <row r="82" spans="6:14" ht="14.25">
      <c r="F82" s="179"/>
      <c r="G82" s="179"/>
      <c r="N82" s="254"/>
    </row>
    <row r="83" spans="6:14" ht="14.25">
      <c r="F83" s="179"/>
      <c r="G83" s="179"/>
      <c r="N83" s="254"/>
    </row>
    <row r="84" spans="6:14" ht="14.25">
      <c r="F84" s="179"/>
      <c r="G84" s="179"/>
      <c r="N84" s="254"/>
    </row>
    <row r="85" spans="6:14" ht="14.25">
      <c r="F85" s="179"/>
      <c r="G85" s="179"/>
      <c r="N85" s="254"/>
    </row>
    <row r="86" spans="6:14" ht="14.25">
      <c r="F86" s="179"/>
      <c r="G86" s="179"/>
      <c r="N86" s="254"/>
    </row>
    <row r="87" spans="6:14" ht="14.25">
      <c r="F87" s="179"/>
      <c r="G87" s="179"/>
      <c r="N87" s="254"/>
    </row>
    <row r="88" spans="6:14" ht="14.25">
      <c r="F88" s="179"/>
      <c r="G88" s="179"/>
      <c r="N88" s="254"/>
    </row>
    <row r="89" spans="6:14" ht="14.25">
      <c r="F89" s="179"/>
      <c r="G89" s="179"/>
      <c r="N89" s="254"/>
    </row>
    <row r="90" spans="6:14" ht="14.25">
      <c r="F90" s="179"/>
      <c r="G90" s="179"/>
      <c r="N90" s="254"/>
    </row>
    <row r="91" spans="6:14">
      <c r="G91" s="179"/>
    </row>
    <row r="92" spans="6:14">
      <c r="G92" s="179"/>
    </row>
    <row r="93" spans="6:14">
      <c r="G93" s="179"/>
    </row>
    <row r="94" spans="6:14">
      <c r="G94" s="179"/>
    </row>
    <row r="95" spans="6:14">
      <c r="G95" s="179"/>
    </row>
    <row r="96" spans="6:14">
      <c r="G96" s="179"/>
    </row>
  </sheetData>
  <mergeCells count="15">
    <mergeCell ref="P4:P5"/>
    <mergeCell ref="B2:P2"/>
    <mergeCell ref="K4:K5"/>
    <mergeCell ref="O4:O5"/>
    <mergeCell ref="H4:H5"/>
    <mergeCell ref="H3:I3"/>
    <mergeCell ref="L4:N4"/>
    <mergeCell ref="B4:B5"/>
    <mergeCell ref="C4:C5"/>
    <mergeCell ref="D4:D5"/>
    <mergeCell ref="G4:G5"/>
    <mergeCell ref="F4:F5"/>
    <mergeCell ref="I4:I5"/>
    <mergeCell ref="J4:J5"/>
    <mergeCell ref="E4:E5"/>
  </mergeCells>
  <phoneticPr fontId="2" type="noConversion"/>
  <pageMargins left="0.78740157480314965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 codeName="Sheet32"/>
  <dimension ref="A1:R96"/>
  <sheetViews>
    <sheetView zoomScaleNormal="100" workbookViewId="0">
      <selection activeCell="L35" sqref="L35"/>
    </sheetView>
  </sheetViews>
  <sheetFormatPr defaultColWidth="9.140625" defaultRowHeight="12.75"/>
  <cols>
    <col min="1" max="1" width="4.42578125" style="161" customWidth="1"/>
    <col min="2" max="2" width="4.7109375" style="9" customWidth="1"/>
    <col min="3" max="3" width="5.140625" style="9" customWidth="1"/>
    <col min="4" max="4" width="5" style="9" customWidth="1"/>
    <col min="5" max="5" width="5" style="161" customWidth="1"/>
    <col min="6" max="6" width="8.7109375" style="18" customWidth="1"/>
    <col min="7" max="7" width="8.7109375" style="166" customWidth="1"/>
    <col min="8" max="8" width="50.7109375" style="9" customWidth="1"/>
    <col min="9" max="10" width="14.7109375" style="51" customWidth="1"/>
    <col min="11" max="11" width="12.5703125" style="51" customWidth="1"/>
    <col min="12" max="13" width="14.7109375" style="51" customWidth="1"/>
    <col min="14" max="14" width="15.7109375" style="51" customWidth="1"/>
    <col min="15" max="16" width="7.7109375" style="214" customWidth="1"/>
    <col min="17" max="16384" width="9.140625" style="9"/>
  </cols>
  <sheetData>
    <row r="1" spans="1:18" ht="13.5" thickBot="1"/>
    <row r="2" spans="1:18" s="79" customFormat="1" ht="20.100000000000001" customHeight="1" thickTop="1" thickBot="1">
      <c r="A2" s="244"/>
      <c r="B2" s="1034" t="s">
        <v>671</v>
      </c>
      <c r="C2" s="1035"/>
      <c r="D2" s="1035"/>
      <c r="E2" s="1035"/>
      <c r="F2" s="1035"/>
      <c r="G2" s="1035"/>
      <c r="H2" s="1035"/>
      <c r="I2" s="1035"/>
      <c r="J2" s="1070"/>
      <c r="K2" s="1070"/>
      <c r="L2" s="1070"/>
      <c r="M2" s="1070"/>
      <c r="N2" s="1070"/>
      <c r="O2" s="1070"/>
      <c r="P2" s="1036"/>
      <c r="R2" s="244"/>
    </row>
    <row r="3" spans="1:18" s="1" customFormat="1" ht="8.1" customHeight="1" thickTop="1" thickBot="1">
      <c r="A3" s="158"/>
      <c r="E3" s="158"/>
      <c r="F3" s="2"/>
      <c r="G3" s="159"/>
      <c r="H3" s="1039"/>
      <c r="I3" s="1039"/>
      <c r="J3" s="139"/>
      <c r="K3" s="721"/>
      <c r="L3" s="74"/>
      <c r="M3" s="74"/>
      <c r="N3" s="74"/>
      <c r="O3" s="208"/>
      <c r="P3" s="208"/>
    </row>
    <row r="4" spans="1:18" s="1" customFormat="1" ht="39" customHeight="1">
      <c r="A4" s="158"/>
      <c r="B4" s="1043" t="s">
        <v>76</v>
      </c>
      <c r="C4" s="1045" t="s">
        <v>77</v>
      </c>
      <c r="D4" s="1047" t="s">
        <v>102</v>
      </c>
      <c r="E4" s="1062" t="s">
        <v>692</v>
      </c>
      <c r="F4" s="1058" t="s">
        <v>466</v>
      </c>
      <c r="G4" s="1048" t="s">
        <v>493</v>
      </c>
      <c r="H4" s="1050" t="s">
        <v>78</v>
      </c>
      <c r="I4" s="1059" t="s">
        <v>901</v>
      </c>
      <c r="J4" s="1068" t="s">
        <v>813</v>
      </c>
      <c r="K4" s="1037" t="s">
        <v>906</v>
      </c>
      <c r="L4" s="1040" t="s">
        <v>905</v>
      </c>
      <c r="M4" s="1041"/>
      <c r="N4" s="1042"/>
      <c r="O4" s="1054" t="s">
        <v>945</v>
      </c>
      <c r="P4" s="1032" t="s">
        <v>946</v>
      </c>
      <c r="R4" s="61"/>
    </row>
    <row r="5" spans="1:18" s="158" customFormat="1" ht="27" customHeight="1">
      <c r="B5" s="1044"/>
      <c r="C5" s="1046"/>
      <c r="D5" s="1046"/>
      <c r="E5" s="1049"/>
      <c r="F5" s="1051"/>
      <c r="G5" s="1049"/>
      <c r="H5" s="1051"/>
      <c r="I5" s="1051"/>
      <c r="J5" s="1051"/>
      <c r="K5" s="1038"/>
      <c r="L5" s="373" t="s">
        <v>526</v>
      </c>
      <c r="M5" s="242" t="s">
        <v>527</v>
      </c>
      <c r="N5" s="764" t="s">
        <v>319</v>
      </c>
      <c r="O5" s="1055"/>
      <c r="P5" s="1033"/>
    </row>
    <row r="6" spans="1:18" s="2" customFormat="1" ht="12.95" customHeight="1">
      <c r="A6" s="159"/>
      <c r="B6" s="328">
        <v>1</v>
      </c>
      <c r="C6" s="195">
        <v>2</v>
      </c>
      <c r="D6" s="195">
        <v>3</v>
      </c>
      <c r="E6" s="195">
        <v>4</v>
      </c>
      <c r="F6" s="195">
        <v>5</v>
      </c>
      <c r="G6" s="195">
        <v>6</v>
      </c>
      <c r="H6" s="195">
        <v>7</v>
      </c>
      <c r="I6" s="195">
        <v>8</v>
      </c>
      <c r="J6" s="195">
        <v>9</v>
      </c>
      <c r="K6" s="188">
        <v>10</v>
      </c>
      <c r="L6" s="328">
        <v>11</v>
      </c>
      <c r="M6" s="195">
        <v>12</v>
      </c>
      <c r="N6" s="810" t="s">
        <v>694</v>
      </c>
      <c r="O6" s="929" t="s">
        <v>814</v>
      </c>
      <c r="P6" s="930" t="s">
        <v>944</v>
      </c>
    </row>
    <row r="7" spans="1:18" s="2" customFormat="1" ht="12.95" customHeight="1">
      <c r="A7" s="159"/>
      <c r="B7" s="6" t="s">
        <v>126</v>
      </c>
      <c r="C7" s="7" t="s">
        <v>127</v>
      </c>
      <c r="D7" s="7" t="s">
        <v>130</v>
      </c>
      <c r="E7" s="415" t="s">
        <v>711</v>
      </c>
      <c r="F7" s="5"/>
      <c r="G7" s="160"/>
      <c r="H7" s="5"/>
      <c r="I7" s="378"/>
      <c r="J7" s="70"/>
      <c r="K7" s="726"/>
      <c r="L7" s="391"/>
      <c r="M7" s="70"/>
      <c r="N7" s="832"/>
      <c r="O7" s="951"/>
      <c r="P7" s="952"/>
    </row>
    <row r="8" spans="1:18" s="1" customFormat="1" ht="12.95" customHeight="1">
      <c r="A8" s="158"/>
      <c r="B8" s="12"/>
      <c r="C8" s="8"/>
      <c r="D8" s="8"/>
      <c r="E8" s="8"/>
      <c r="F8" s="176">
        <v>611000</v>
      </c>
      <c r="G8" s="195"/>
      <c r="H8" s="25" t="s">
        <v>140</v>
      </c>
      <c r="I8" s="236">
        <f t="shared" ref="I8:N8" si="0">SUM(I9:I11)</f>
        <v>691080</v>
      </c>
      <c r="J8" s="236">
        <f t="shared" si="0"/>
        <v>691080</v>
      </c>
      <c r="K8" s="226">
        <f t="shared" si="0"/>
        <v>613120</v>
      </c>
      <c r="L8" s="482">
        <f t="shared" si="0"/>
        <v>677955</v>
      </c>
      <c r="M8" s="236">
        <f t="shared" si="0"/>
        <v>0</v>
      </c>
      <c r="N8" s="812">
        <f t="shared" si="0"/>
        <v>677955</v>
      </c>
      <c r="O8" s="953">
        <f t="shared" ref="O8:O31" si="1">IF(J8=0,"",N8/J8*100)</f>
        <v>98.100798749782953</v>
      </c>
      <c r="P8" s="954">
        <f>IF(K8=0,"",N8/K8*100)</f>
        <v>110.57460203549061</v>
      </c>
    </row>
    <row r="9" spans="1:18" ht="12.95" customHeight="1">
      <c r="B9" s="10"/>
      <c r="C9" s="11"/>
      <c r="D9" s="11"/>
      <c r="E9" s="163"/>
      <c r="F9" s="177">
        <v>611100</v>
      </c>
      <c r="G9" s="196"/>
      <c r="H9" s="428" t="s">
        <v>161</v>
      </c>
      <c r="I9" s="237">
        <f>560580+1500+500</f>
        <v>562580</v>
      </c>
      <c r="J9" s="237">
        <f>560580+1500+500</f>
        <v>562580</v>
      </c>
      <c r="K9" s="224">
        <v>509245</v>
      </c>
      <c r="L9" s="360">
        <v>554916</v>
      </c>
      <c r="M9" s="237">
        <v>0</v>
      </c>
      <c r="N9" s="813">
        <f>SUM(L9:M9)</f>
        <v>554916</v>
      </c>
      <c r="O9" s="955">
        <f t="shared" si="1"/>
        <v>98.637704859753285</v>
      </c>
      <c r="P9" s="956">
        <f t="shared" ref="P9:P53" si="2">IF(K9=0,"",N9/K9*100)</f>
        <v>108.96837475085665</v>
      </c>
      <c r="R9" s="51"/>
    </row>
    <row r="10" spans="1:18" ht="12.95" customHeight="1">
      <c r="B10" s="10"/>
      <c r="C10" s="11"/>
      <c r="D10" s="11"/>
      <c r="E10" s="163"/>
      <c r="F10" s="177">
        <v>611200</v>
      </c>
      <c r="G10" s="196"/>
      <c r="H10" s="24" t="s">
        <v>162</v>
      </c>
      <c r="I10" s="237">
        <f>105150+1200+1150+30*700</f>
        <v>128500</v>
      </c>
      <c r="J10" s="237">
        <f>105150+1200+1150+30*700</f>
        <v>128500</v>
      </c>
      <c r="K10" s="224">
        <v>103875</v>
      </c>
      <c r="L10" s="360">
        <v>123039</v>
      </c>
      <c r="M10" s="237">
        <v>0</v>
      </c>
      <c r="N10" s="813">
        <f t="shared" ref="N10:N11" si="3">SUM(L10:M10)</f>
        <v>123039</v>
      </c>
      <c r="O10" s="955">
        <f t="shared" si="1"/>
        <v>95.75019455252918</v>
      </c>
      <c r="P10" s="956">
        <f t="shared" si="2"/>
        <v>118.44909747292418</v>
      </c>
      <c r="R10" s="51"/>
    </row>
    <row r="11" spans="1:18" ht="12.95" customHeight="1">
      <c r="B11" s="10"/>
      <c r="C11" s="11"/>
      <c r="D11" s="11"/>
      <c r="E11" s="163"/>
      <c r="F11" s="177">
        <v>611200</v>
      </c>
      <c r="G11" s="196"/>
      <c r="H11" s="435" t="s">
        <v>434</v>
      </c>
      <c r="I11" s="235">
        <v>0</v>
      </c>
      <c r="J11" s="235">
        <v>0</v>
      </c>
      <c r="K11" s="225">
        <v>0</v>
      </c>
      <c r="L11" s="357">
        <v>0</v>
      </c>
      <c r="M11" s="235">
        <v>0</v>
      </c>
      <c r="N11" s="813">
        <f t="shared" si="3"/>
        <v>0</v>
      </c>
      <c r="O11" s="955" t="str">
        <f t="shared" si="1"/>
        <v/>
      </c>
      <c r="P11" s="956" t="str">
        <f t="shared" si="2"/>
        <v/>
      </c>
      <c r="R11" s="51"/>
    </row>
    <row r="12" spans="1:18" ht="12.95" customHeight="1">
      <c r="B12" s="10"/>
      <c r="C12" s="11"/>
      <c r="D12" s="11"/>
      <c r="E12" s="163"/>
      <c r="F12" s="177"/>
      <c r="G12" s="196"/>
      <c r="H12" s="24"/>
      <c r="I12" s="236"/>
      <c r="J12" s="236"/>
      <c r="K12" s="226"/>
      <c r="L12" s="482"/>
      <c r="M12" s="236"/>
      <c r="N12" s="812"/>
      <c r="O12" s="955" t="str">
        <f t="shared" si="1"/>
        <v/>
      </c>
      <c r="P12" s="956" t="str">
        <f t="shared" si="2"/>
        <v/>
      </c>
      <c r="R12" s="51"/>
    </row>
    <row r="13" spans="1:18" s="1" customFormat="1" ht="12.95" customHeight="1">
      <c r="A13" s="158"/>
      <c r="B13" s="12"/>
      <c r="C13" s="8"/>
      <c r="D13" s="8"/>
      <c r="E13" s="8"/>
      <c r="F13" s="176">
        <v>612000</v>
      </c>
      <c r="G13" s="195"/>
      <c r="H13" s="25" t="s">
        <v>139</v>
      </c>
      <c r="I13" s="236">
        <f t="shared" ref="I13:N13" si="4">I14</f>
        <v>60810</v>
      </c>
      <c r="J13" s="236">
        <f t="shared" si="4"/>
        <v>60810</v>
      </c>
      <c r="K13" s="226">
        <f t="shared" si="4"/>
        <v>53785</v>
      </c>
      <c r="L13" s="482">
        <f t="shared" si="4"/>
        <v>59978</v>
      </c>
      <c r="M13" s="236">
        <f t="shared" si="4"/>
        <v>0</v>
      </c>
      <c r="N13" s="812">
        <f t="shared" si="4"/>
        <v>59978</v>
      </c>
      <c r="O13" s="953">
        <f t="shared" si="1"/>
        <v>98.631803979608605</v>
      </c>
      <c r="P13" s="954">
        <f t="shared" si="2"/>
        <v>111.51436274054105</v>
      </c>
      <c r="R13" s="51"/>
    </row>
    <row r="14" spans="1:18" ht="12.95" customHeight="1">
      <c r="B14" s="10"/>
      <c r="C14" s="11"/>
      <c r="D14" s="11"/>
      <c r="E14" s="163"/>
      <c r="F14" s="177">
        <v>612100</v>
      </c>
      <c r="G14" s="196"/>
      <c r="H14" s="430" t="s">
        <v>81</v>
      </c>
      <c r="I14" s="237">
        <f>59930+700+180</f>
        <v>60810</v>
      </c>
      <c r="J14" s="237">
        <f>59930+700+180</f>
        <v>60810</v>
      </c>
      <c r="K14" s="224">
        <v>53785</v>
      </c>
      <c r="L14" s="360">
        <v>59978</v>
      </c>
      <c r="M14" s="237">
        <v>0</v>
      </c>
      <c r="N14" s="813">
        <f>SUM(L14:M14)</f>
        <v>59978</v>
      </c>
      <c r="O14" s="955">
        <f t="shared" si="1"/>
        <v>98.631803979608605</v>
      </c>
      <c r="P14" s="956">
        <f t="shared" si="2"/>
        <v>111.51436274054105</v>
      </c>
      <c r="R14" s="51"/>
    </row>
    <row r="15" spans="1:18" ht="12.95" customHeight="1">
      <c r="B15" s="10"/>
      <c r="C15" s="11"/>
      <c r="D15" s="11"/>
      <c r="E15" s="163"/>
      <c r="F15" s="177"/>
      <c r="G15" s="196"/>
      <c r="H15" s="24"/>
      <c r="I15" s="232"/>
      <c r="J15" s="232"/>
      <c r="K15" s="223"/>
      <c r="L15" s="484"/>
      <c r="M15" s="232"/>
      <c r="N15" s="774"/>
      <c r="O15" s="955" t="str">
        <f t="shared" si="1"/>
        <v/>
      </c>
      <c r="P15" s="956" t="str">
        <f t="shared" si="2"/>
        <v/>
      </c>
    </row>
    <row r="16" spans="1:18" s="1" customFormat="1" ht="12.95" customHeight="1">
      <c r="A16" s="158"/>
      <c r="B16" s="12"/>
      <c r="C16" s="8"/>
      <c r="D16" s="8"/>
      <c r="E16" s="8"/>
      <c r="F16" s="176">
        <v>613000</v>
      </c>
      <c r="G16" s="195"/>
      <c r="H16" s="25" t="s">
        <v>141</v>
      </c>
      <c r="I16" s="234">
        <f t="shared" ref="I16:N16" si="5">SUM(I17:I26)</f>
        <v>80120</v>
      </c>
      <c r="J16" s="234">
        <f t="shared" si="5"/>
        <v>80120</v>
      </c>
      <c r="K16" s="221">
        <f t="shared" si="5"/>
        <v>55699</v>
      </c>
      <c r="L16" s="483">
        <f t="shared" si="5"/>
        <v>79585</v>
      </c>
      <c r="M16" s="234">
        <f t="shared" si="5"/>
        <v>0</v>
      </c>
      <c r="N16" s="774">
        <f t="shared" si="5"/>
        <v>79585</v>
      </c>
      <c r="O16" s="953">
        <f t="shared" si="1"/>
        <v>99.332251622566147</v>
      </c>
      <c r="P16" s="954">
        <f t="shared" si="2"/>
        <v>142.88407332268085</v>
      </c>
    </row>
    <row r="17" spans="1:16" ht="12.95" customHeight="1">
      <c r="B17" s="10"/>
      <c r="C17" s="11"/>
      <c r="D17" s="11"/>
      <c r="E17" s="163"/>
      <c r="F17" s="177">
        <v>613100</v>
      </c>
      <c r="G17" s="196"/>
      <c r="H17" s="24" t="s">
        <v>82</v>
      </c>
      <c r="I17" s="237">
        <v>6200</v>
      </c>
      <c r="J17" s="237">
        <v>6050</v>
      </c>
      <c r="K17" s="224">
        <v>2939</v>
      </c>
      <c r="L17" s="359">
        <v>6030</v>
      </c>
      <c r="M17" s="233">
        <v>0</v>
      </c>
      <c r="N17" s="813">
        <f t="shared" ref="N17:N26" si="6">SUM(L17:M17)</f>
        <v>6030</v>
      </c>
      <c r="O17" s="955">
        <f t="shared" si="1"/>
        <v>99.669421487603302</v>
      </c>
      <c r="P17" s="956">
        <f t="shared" si="2"/>
        <v>205.17182715209253</v>
      </c>
    </row>
    <row r="18" spans="1:16" ht="12.95" customHeight="1">
      <c r="B18" s="10"/>
      <c r="C18" s="11"/>
      <c r="D18" s="11"/>
      <c r="E18" s="163"/>
      <c r="F18" s="177">
        <v>613200</v>
      </c>
      <c r="G18" s="196"/>
      <c r="H18" s="24" t="s">
        <v>83</v>
      </c>
      <c r="I18" s="237">
        <v>35000</v>
      </c>
      <c r="J18" s="237">
        <v>35250</v>
      </c>
      <c r="K18" s="224">
        <v>27349</v>
      </c>
      <c r="L18" s="359">
        <v>35066</v>
      </c>
      <c r="M18" s="233">
        <v>0</v>
      </c>
      <c r="N18" s="813">
        <f t="shared" si="6"/>
        <v>35066</v>
      </c>
      <c r="O18" s="955">
        <f t="shared" si="1"/>
        <v>99.478014184397168</v>
      </c>
      <c r="P18" s="956">
        <f t="shared" si="2"/>
        <v>128.21675381183954</v>
      </c>
    </row>
    <row r="19" spans="1:16" ht="12.95" customHeight="1">
      <c r="B19" s="10"/>
      <c r="C19" s="11"/>
      <c r="D19" s="11"/>
      <c r="E19" s="163"/>
      <c r="F19" s="177">
        <v>613300</v>
      </c>
      <c r="G19" s="196"/>
      <c r="H19" s="428" t="s">
        <v>163</v>
      </c>
      <c r="I19" s="237">
        <v>2200</v>
      </c>
      <c r="J19" s="237">
        <v>2020</v>
      </c>
      <c r="K19" s="224">
        <v>2000</v>
      </c>
      <c r="L19" s="359">
        <v>2005</v>
      </c>
      <c r="M19" s="233">
        <v>0</v>
      </c>
      <c r="N19" s="813">
        <f t="shared" si="6"/>
        <v>2005</v>
      </c>
      <c r="O19" s="955">
        <f t="shared" si="1"/>
        <v>99.257425742574256</v>
      </c>
      <c r="P19" s="956">
        <f t="shared" si="2"/>
        <v>100.25</v>
      </c>
    </row>
    <row r="20" spans="1:16" ht="12.95" customHeight="1">
      <c r="B20" s="10"/>
      <c r="C20" s="11"/>
      <c r="D20" s="11"/>
      <c r="E20" s="163"/>
      <c r="F20" s="177">
        <v>613400</v>
      </c>
      <c r="G20" s="196"/>
      <c r="H20" s="24" t="s">
        <v>142</v>
      </c>
      <c r="I20" s="237">
        <v>10000</v>
      </c>
      <c r="J20" s="237">
        <v>9900</v>
      </c>
      <c r="K20" s="224">
        <v>7735</v>
      </c>
      <c r="L20" s="360">
        <v>9768</v>
      </c>
      <c r="M20" s="237">
        <v>0</v>
      </c>
      <c r="N20" s="813">
        <f t="shared" si="6"/>
        <v>9768</v>
      </c>
      <c r="O20" s="955">
        <f t="shared" si="1"/>
        <v>98.666666666666671</v>
      </c>
      <c r="P20" s="956">
        <f t="shared" si="2"/>
        <v>126.2831286360698</v>
      </c>
    </row>
    <row r="21" spans="1:16" ht="12.95" customHeight="1">
      <c r="B21" s="10"/>
      <c r="C21" s="11"/>
      <c r="D21" s="11"/>
      <c r="E21" s="163"/>
      <c r="F21" s="177">
        <v>613500</v>
      </c>
      <c r="G21" s="196"/>
      <c r="H21" s="24" t="s">
        <v>84</v>
      </c>
      <c r="I21" s="237">
        <v>1000</v>
      </c>
      <c r="J21" s="237">
        <v>1000</v>
      </c>
      <c r="K21" s="224">
        <v>722</v>
      </c>
      <c r="L21" s="360">
        <v>995</v>
      </c>
      <c r="M21" s="237">
        <v>0</v>
      </c>
      <c r="N21" s="813">
        <f t="shared" si="6"/>
        <v>995</v>
      </c>
      <c r="O21" s="955">
        <f t="shared" si="1"/>
        <v>99.5</v>
      </c>
      <c r="P21" s="956">
        <f t="shared" si="2"/>
        <v>137.81163434903047</v>
      </c>
    </row>
    <row r="22" spans="1:16" ht="12.95" customHeight="1">
      <c r="B22" s="10"/>
      <c r="C22" s="11"/>
      <c r="D22" s="11"/>
      <c r="E22" s="163"/>
      <c r="F22" s="177">
        <v>613600</v>
      </c>
      <c r="G22" s="196"/>
      <c r="H22" s="428" t="s">
        <v>164</v>
      </c>
      <c r="I22" s="237">
        <v>0</v>
      </c>
      <c r="J22" s="237">
        <v>0</v>
      </c>
      <c r="K22" s="224">
        <v>0</v>
      </c>
      <c r="L22" s="360">
        <v>0</v>
      </c>
      <c r="M22" s="237">
        <v>0</v>
      </c>
      <c r="N22" s="813">
        <f t="shared" si="6"/>
        <v>0</v>
      </c>
      <c r="O22" s="955" t="str">
        <f t="shared" si="1"/>
        <v/>
      </c>
      <c r="P22" s="956" t="str">
        <f t="shared" si="2"/>
        <v/>
      </c>
    </row>
    <row r="23" spans="1:16" ht="12.95" customHeight="1">
      <c r="B23" s="10"/>
      <c r="C23" s="11"/>
      <c r="D23" s="11"/>
      <c r="E23" s="163"/>
      <c r="F23" s="177">
        <v>613700</v>
      </c>
      <c r="G23" s="196"/>
      <c r="H23" s="24" t="s">
        <v>85</v>
      </c>
      <c r="I23" s="237">
        <v>12000</v>
      </c>
      <c r="J23" s="237">
        <v>11830</v>
      </c>
      <c r="K23" s="224">
        <v>7843</v>
      </c>
      <c r="L23" s="360">
        <v>11818</v>
      </c>
      <c r="M23" s="237">
        <v>0</v>
      </c>
      <c r="N23" s="813">
        <f t="shared" si="6"/>
        <v>11818</v>
      </c>
      <c r="O23" s="955">
        <f t="shared" si="1"/>
        <v>99.898562975486044</v>
      </c>
      <c r="P23" s="956">
        <f t="shared" si="2"/>
        <v>150.68213693739639</v>
      </c>
    </row>
    <row r="24" spans="1:16" ht="12.95" customHeight="1">
      <c r="B24" s="10"/>
      <c r="C24" s="11"/>
      <c r="D24" s="11"/>
      <c r="E24" s="163"/>
      <c r="F24" s="177">
        <v>613800</v>
      </c>
      <c r="G24" s="196"/>
      <c r="H24" s="24" t="s">
        <v>143</v>
      </c>
      <c r="I24" s="237">
        <v>720</v>
      </c>
      <c r="J24" s="237">
        <v>720</v>
      </c>
      <c r="K24" s="224">
        <v>0</v>
      </c>
      <c r="L24" s="360">
        <v>580</v>
      </c>
      <c r="M24" s="237">
        <v>0</v>
      </c>
      <c r="N24" s="813">
        <f t="shared" si="6"/>
        <v>580</v>
      </c>
      <c r="O24" s="955">
        <f t="shared" si="1"/>
        <v>80.555555555555557</v>
      </c>
      <c r="P24" s="956" t="str">
        <f t="shared" si="2"/>
        <v/>
      </c>
    </row>
    <row r="25" spans="1:16" ht="12.95" customHeight="1">
      <c r="B25" s="10"/>
      <c r="C25" s="11"/>
      <c r="D25" s="11"/>
      <c r="E25" s="163"/>
      <c r="F25" s="177">
        <v>613900</v>
      </c>
      <c r="G25" s="196"/>
      <c r="H25" s="24" t="s">
        <v>144</v>
      </c>
      <c r="I25" s="237">
        <v>13000</v>
      </c>
      <c r="J25" s="237">
        <v>13350</v>
      </c>
      <c r="K25" s="224">
        <v>7111</v>
      </c>
      <c r="L25" s="360">
        <v>13323</v>
      </c>
      <c r="M25" s="237">
        <v>0</v>
      </c>
      <c r="N25" s="813">
        <f t="shared" si="6"/>
        <v>13323</v>
      </c>
      <c r="O25" s="955">
        <f t="shared" si="1"/>
        <v>99.797752808988761</v>
      </c>
      <c r="P25" s="956">
        <f t="shared" si="2"/>
        <v>187.35761496273381</v>
      </c>
    </row>
    <row r="26" spans="1:16" ht="12.95" customHeight="1">
      <c r="B26" s="10"/>
      <c r="C26" s="11"/>
      <c r="D26" s="11"/>
      <c r="E26" s="163"/>
      <c r="F26" s="177">
        <v>613900</v>
      </c>
      <c r="G26" s="196"/>
      <c r="H26" s="435" t="s">
        <v>435</v>
      </c>
      <c r="I26" s="237">
        <v>0</v>
      </c>
      <c r="J26" s="237">
        <v>0</v>
      </c>
      <c r="K26" s="224">
        <v>0</v>
      </c>
      <c r="L26" s="360">
        <v>0</v>
      </c>
      <c r="M26" s="237">
        <v>0</v>
      </c>
      <c r="N26" s="813">
        <f t="shared" si="6"/>
        <v>0</v>
      </c>
      <c r="O26" s="955" t="str">
        <f t="shared" si="1"/>
        <v/>
      </c>
      <c r="P26" s="956" t="str">
        <f t="shared" si="2"/>
        <v/>
      </c>
    </row>
    <row r="27" spans="1:16" s="1" customFormat="1" ht="12.95" customHeight="1">
      <c r="A27" s="158"/>
      <c r="B27" s="12"/>
      <c r="C27" s="8"/>
      <c r="D27" s="8"/>
      <c r="E27" s="8"/>
      <c r="F27" s="176"/>
      <c r="G27" s="195"/>
      <c r="H27" s="25"/>
      <c r="I27" s="237"/>
      <c r="J27" s="237"/>
      <c r="K27" s="224"/>
      <c r="L27" s="360"/>
      <c r="M27" s="237"/>
      <c r="N27" s="776"/>
      <c r="O27" s="955" t="str">
        <f t="shared" si="1"/>
        <v/>
      </c>
      <c r="P27" s="956" t="str">
        <f t="shared" si="2"/>
        <v/>
      </c>
    </row>
    <row r="28" spans="1:16" s="1" customFormat="1" ht="12.95" customHeight="1">
      <c r="A28" s="158"/>
      <c r="B28" s="12"/>
      <c r="C28" s="8"/>
      <c r="D28" s="8"/>
      <c r="E28" s="8"/>
      <c r="F28" s="176">
        <v>821000</v>
      </c>
      <c r="G28" s="195"/>
      <c r="H28" s="25" t="s">
        <v>88</v>
      </c>
      <c r="I28" s="236">
        <f t="shared" ref="I28:N28" si="7">SUM(I29:I31)</f>
        <v>5000</v>
      </c>
      <c r="J28" s="236">
        <f t="shared" si="7"/>
        <v>5000</v>
      </c>
      <c r="K28" s="226">
        <f t="shared" si="7"/>
        <v>24510</v>
      </c>
      <c r="L28" s="482">
        <f t="shared" si="7"/>
        <v>4994</v>
      </c>
      <c r="M28" s="236">
        <f t="shared" si="7"/>
        <v>0</v>
      </c>
      <c r="N28" s="774">
        <f t="shared" si="7"/>
        <v>4994</v>
      </c>
      <c r="O28" s="953">
        <f t="shared" si="1"/>
        <v>99.88</v>
      </c>
      <c r="P28" s="954">
        <f t="shared" si="2"/>
        <v>20.375356997144024</v>
      </c>
    </row>
    <row r="29" spans="1:16" ht="12.95" customHeight="1">
      <c r="B29" s="10"/>
      <c r="C29" s="11"/>
      <c r="D29" s="11"/>
      <c r="E29" s="163"/>
      <c r="F29" s="177">
        <v>821200</v>
      </c>
      <c r="G29" s="196"/>
      <c r="H29" s="24" t="s">
        <v>89</v>
      </c>
      <c r="I29" s="237">
        <v>0</v>
      </c>
      <c r="J29" s="237">
        <v>0</v>
      </c>
      <c r="K29" s="224">
        <v>0</v>
      </c>
      <c r="L29" s="360">
        <v>0</v>
      </c>
      <c r="M29" s="237">
        <v>0</v>
      </c>
      <c r="N29" s="813">
        <f t="shared" ref="N29:N30" si="8">SUM(L29:M29)</f>
        <v>0</v>
      </c>
      <c r="O29" s="955" t="str">
        <f t="shared" si="1"/>
        <v/>
      </c>
      <c r="P29" s="956" t="str">
        <f t="shared" si="2"/>
        <v/>
      </c>
    </row>
    <row r="30" spans="1:16" ht="12.95" customHeight="1">
      <c r="B30" s="10"/>
      <c r="C30" s="11"/>
      <c r="D30" s="11"/>
      <c r="E30" s="163"/>
      <c r="F30" s="177">
        <v>821300</v>
      </c>
      <c r="G30" s="196"/>
      <c r="H30" s="24" t="s">
        <v>90</v>
      </c>
      <c r="I30" s="237">
        <v>5000</v>
      </c>
      <c r="J30" s="237">
        <v>5000</v>
      </c>
      <c r="K30" s="224">
        <v>24510</v>
      </c>
      <c r="L30" s="360">
        <v>4994</v>
      </c>
      <c r="M30" s="237">
        <v>0</v>
      </c>
      <c r="N30" s="813">
        <f t="shared" si="8"/>
        <v>4994</v>
      </c>
      <c r="O30" s="955">
        <f t="shared" si="1"/>
        <v>99.88</v>
      </c>
      <c r="P30" s="956">
        <f t="shared" si="2"/>
        <v>20.375356997144024</v>
      </c>
    </row>
    <row r="31" spans="1:16" ht="12.95" customHeight="1">
      <c r="B31" s="10"/>
      <c r="C31" s="11"/>
      <c r="D31" s="11"/>
      <c r="E31" s="163"/>
      <c r="F31" s="177"/>
      <c r="G31" s="196"/>
      <c r="H31" s="428"/>
      <c r="I31" s="237"/>
      <c r="J31" s="237"/>
      <c r="K31" s="224"/>
      <c r="L31" s="360"/>
      <c r="M31" s="237"/>
      <c r="N31" s="776"/>
      <c r="O31" s="955" t="str">
        <f t="shared" si="1"/>
        <v/>
      </c>
      <c r="P31" s="956" t="str">
        <f t="shared" si="2"/>
        <v/>
      </c>
    </row>
    <row r="32" spans="1:16" s="1" customFormat="1" ht="12.95" customHeight="1">
      <c r="A32" s="158"/>
      <c r="B32" s="12"/>
      <c r="C32" s="8"/>
      <c r="D32" s="8"/>
      <c r="E32" s="8"/>
      <c r="F32" s="176"/>
      <c r="G32" s="195"/>
      <c r="H32" s="25" t="s">
        <v>91</v>
      </c>
      <c r="I32" s="377" t="s">
        <v>848</v>
      </c>
      <c r="J32" s="377" t="s">
        <v>848</v>
      </c>
      <c r="K32" s="486" t="s">
        <v>821</v>
      </c>
      <c r="L32" s="498">
        <v>31</v>
      </c>
      <c r="M32" s="394"/>
      <c r="N32" s="767">
        <v>31</v>
      </c>
      <c r="O32" s="955"/>
      <c r="P32" s="956"/>
    </row>
    <row r="33" spans="1:16" s="1" customFormat="1" ht="12.95" customHeight="1">
      <c r="A33" s="158"/>
      <c r="B33" s="12"/>
      <c r="C33" s="8"/>
      <c r="D33" s="8"/>
      <c r="E33" s="8"/>
      <c r="F33" s="176"/>
      <c r="G33" s="195"/>
      <c r="H33" s="8" t="s">
        <v>105</v>
      </c>
      <c r="I33" s="367">
        <f t="shared" ref="I33:K33" si="9">I8+I13+I16+I28</f>
        <v>837010</v>
      </c>
      <c r="J33" s="165">
        <f t="shared" si="9"/>
        <v>837010</v>
      </c>
      <c r="K33" s="153">
        <f t="shared" si="9"/>
        <v>747114</v>
      </c>
      <c r="L33" s="370">
        <f>L8+L13+L16+L28</f>
        <v>822512</v>
      </c>
      <c r="M33" s="165">
        <f>M8+M13+M16+M28</f>
        <v>0</v>
      </c>
      <c r="N33" s="774">
        <f>N8+N13+N16+N28</f>
        <v>822512</v>
      </c>
      <c r="O33" s="953">
        <f>IF(J33=0,"",N33/J33*100)</f>
        <v>98.267882104156456</v>
      </c>
      <c r="P33" s="954">
        <f t="shared" si="2"/>
        <v>110.09190029901728</v>
      </c>
    </row>
    <row r="34" spans="1:16" s="1" customFormat="1" ht="12.95" customHeight="1">
      <c r="A34" s="158"/>
      <c r="B34" s="12"/>
      <c r="C34" s="8"/>
      <c r="D34" s="8"/>
      <c r="E34" s="8"/>
      <c r="F34" s="176"/>
      <c r="G34" s="195"/>
      <c r="H34" s="8" t="s">
        <v>92</v>
      </c>
      <c r="I34" s="367">
        <f>I33+'29'!I33+'28'!I33+'27'!I33+'26'!I33+'25'!I33+'24'!I33</f>
        <v>9777790</v>
      </c>
      <c r="J34" s="165">
        <f>J33+'29'!J33+'28'!J33+'27'!J33+'26'!J33+'25'!J33+'24'!J33</f>
        <v>9777790</v>
      </c>
      <c r="K34" s="153">
        <f>K33+'29'!K33+'28'!K33+'27'!K33+'26'!K33+'25'!K33+'24'!K33</f>
        <v>8450319</v>
      </c>
      <c r="L34" s="370">
        <f>L33+'29'!L33+'28'!L33+'27'!L33+'26'!L33+'25'!L33+'24'!L33</f>
        <v>9634961</v>
      </c>
      <c r="M34" s="165">
        <f>M33+'29'!M33+'28'!M33+'27'!M33+'26'!M33+'25'!M33+'24'!M33</f>
        <v>0</v>
      </c>
      <c r="N34" s="774">
        <f>N33+'29'!N33+'28'!N33+'27'!N33+'26'!N33+'25'!N33+'24'!N33</f>
        <v>9634961</v>
      </c>
      <c r="O34" s="953">
        <f>IF(J34=0,"",N34/J34*100)</f>
        <v>98.539250689572995</v>
      </c>
      <c r="P34" s="954">
        <f t="shared" si="2"/>
        <v>114.01890271834709</v>
      </c>
    </row>
    <row r="35" spans="1:16" s="1" customFormat="1" ht="12.95" customHeight="1">
      <c r="A35" s="158"/>
      <c r="B35" s="12"/>
      <c r="C35" s="8"/>
      <c r="D35" s="8"/>
      <c r="E35" s="8"/>
      <c r="F35" s="176"/>
      <c r="G35" s="195"/>
      <c r="H35" s="8" t="s">
        <v>93</v>
      </c>
      <c r="I35" s="15">
        <f>I34+'23'!I34+'20'!I46</f>
        <v>17437700</v>
      </c>
      <c r="J35" s="15">
        <f>J34+'23'!J34+'20'!J46</f>
        <v>17437700</v>
      </c>
      <c r="K35" s="153">
        <f>K34+'23'!K34+'20'!K46</f>
        <v>14615833</v>
      </c>
      <c r="L35" s="370">
        <f>L34+'23'!L34+'20'!L46</f>
        <v>16488996</v>
      </c>
      <c r="M35" s="165">
        <f>M34+'23'!M34+'20'!M46</f>
        <v>568088</v>
      </c>
      <c r="N35" s="774">
        <f>N34+'23'!N34+'20'!N46</f>
        <v>17057084</v>
      </c>
      <c r="O35" s="953">
        <f>IF(J35=0,"",N35/J35*100)</f>
        <v>97.817280948748973</v>
      </c>
      <c r="P35" s="954">
        <f t="shared" si="2"/>
        <v>116.70278389196153</v>
      </c>
    </row>
    <row r="36" spans="1:16" ht="12.95" customHeight="1" thickBot="1">
      <c r="B36" s="16"/>
      <c r="C36" s="17"/>
      <c r="D36" s="17"/>
      <c r="E36" s="17"/>
      <c r="F36" s="178"/>
      <c r="G36" s="197"/>
      <c r="H36" s="17"/>
      <c r="I36" s="31"/>
      <c r="J36" s="31"/>
      <c r="K36" s="725"/>
      <c r="L36" s="371"/>
      <c r="M36" s="31"/>
      <c r="N36" s="814"/>
      <c r="O36" s="957"/>
      <c r="P36" s="958" t="str">
        <f t="shared" si="2"/>
        <v/>
      </c>
    </row>
    <row r="37" spans="1:16" ht="12.95" customHeight="1">
      <c r="F37" s="179"/>
      <c r="G37" s="198"/>
      <c r="N37" s="254"/>
      <c r="P37" s="214" t="str">
        <f t="shared" si="2"/>
        <v/>
      </c>
    </row>
    <row r="38" spans="1:16" ht="12.95" customHeight="1">
      <c r="B38" s="45"/>
      <c r="F38" s="179"/>
      <c r="G38" s="198"/>
      <c r="N38" s="254"/>
      <c r="P38" s="214" t="str">
        <f t="shared" si="2"/>
        <v/>
      </c>
    </row>
    <row r="39" spans="1:16" ht="12.95" customHeight="1">
      <c r="B39" s="45"/>
      <c r="F39" s="179"/>
      <c r="G39" s="198"/>
      <c r="N39" s="254"/>
      <c r="P39" s="214" t="str">
        <f t="shared" si="2"/>
        <v/>
      </c>
    </row>
    <row r="40" spans="1:16" ht="12.95" customHeight="1">
      <c r="B40" s="45"/>
      <c r="F40" s="179"/>
      <c r="G40" s="198"/>
      <c r="N40" s="254"/>
      <c r="P40" s="214" t="str">
        <f t="shared" si="2"/>
        <v/>
      </c>
    </row>
    <row r="41" spans="1:16" ht="12.95" customHeight="1">
      <c r="B41" s="45"/>
      <c r="F41" s="179"/>
      <c r="G41" s="198"/>
      <c r="N41" s="254"/>
      <c r="P41" s="214" t="str">
        <f t="shared" si="2"/>
        <v/>
      </c>
    </row>
    <row r="42" spans="1:16" ht="12.95" customHeight="1">
      <c r="B42" s="45"/>
      <c r="F42" s="179"/>
      <c r="G42" s="198"/>
      <c r="N42" s="254"/>
      <c r="P42" s="214" t="str">
        <f t="shared" si="2"/>
        <v/>
      </c>
    </row>
    <row r="43" spans="1:16" ht="12.95" customHeight="1">
      <c r="B43" s="45"/>
      <c r="F43" s="179"/>
      <c r="G43" s="198"/>
      <c r="N43" s="254"/>
      <c r="P43" s="214" t="str">
        <f t="shared" si="2"/>
        <v/>
      </c>
    </row>
    <row r="44" spans="1:16" ht="12.95" customHeight="1">
      <c r="B44" s="45"/>
      <c r="F44" s="179"/>
      <c r="G44" s="198"/>
      <c r="N44" s="254"/>
      <c r="P44" s="214" t="str">
        <f t="shared" si="2"/>
        <v/>
      </c>
    </row>
    <row r="45" spans="1:16" ht="12.95" customHeight="1">
      <c r="F45" s="179"/>
      <c r="G45" s="198"/>
      <c r="N45" s="254"/>
      <c r="P45" s="214" t="str">
        <f t="shared" si="2"/>
        <v/>
      </c>
    </row>
    <row r="46" spans="1:16" ht="12.95" customHeight="1">
      <c r="F46" s="179"/>
      <c r="G46" s="198"/>
      <c r="N46" s="254"/>
      <c r="P46" s="214" t="str">
        <f t="shared" si="2"/>
        <v/>
      </c>
    </row>
    <row r="47" spans="1:16" ht="12.95" customHeight="1">
      <c r="F47" s="179"/>
      <c r="G47" s="198"/>
      <c r="N47" s="254"/>
      <c r="P47" s="214" t="str">
        <f t="shared" si="2"/>
        <v/>
      </c>
    </row>
    <row r="48" spans="1:16" ht="12.95" customHeight="1">
      <c r="F48" s="179"/>
      <c r="G48" s="198"/>
      <c r="N48" s="254"/>
      <c r="P48" s="214" t="str">
        <f t="shared" si="2"/>
        <v/>
      </c>
    </row>
    <row r="49" spans="6:16" ht="12.95" customHeight="1">
      <c r="F49" s="179"/>
      <c r="G49" s="198"/>
      <c r="N49" s="254"/>
      <c r="P49" s="214" t="str">
        <f t="shared" si="2"/>
        <v/>
      </c>
    </row>
    <row r="50" spans="6:16" ht="12.95" customHeight="1">
      <c r="F50" s="179"/>
      <c r="G50" s="198"/>
      <c r="N50" s="254"/>
      <c r="P50" s="214" t="str">
        <f t="shared" si="2"/>
        <v/>
      </c>
    </row>
    <row r="51" spans="6:16" ht="12.95" customHeight="1">
      <c r="F51" s="179"/>
      <c r="G51" s="198"/>
      <c r="N51" s="254"/>
      <c r="P51" s="214" t="str">
        <f t="shared" si="2"/>
        <v/>
      </c>
    </row>
    <row r="52" spans="6:16" ht="12.95" customHeight="1">
      <c r="F52" s="179"/>
      <c r="G52" s="198"/>
      <c r="N52" s="254"/>
      <c r="P52" s="214" t="str">
        <f t="shared" si="2"/>
        <v/>
      </c>
    </row>
    <row r="53" spans="6:16" ht="12.95" customHeight="1">
      <c r="F53" s="179"/>
      <c r="G53" s="198"/>
      <c r="N53" s="254"/>
      <c r="P53" s="214" t="str">
        <f t="shared" si="2"/>
        <v/>
      </c>
    </row>
    <row r="54" spans="6:16" ht="12.95" customHeight="1">
      <c r="F54" s="179"/>
      <c r="G54" s="198"/>
      <c r="N54" s="254"/>
    </row>
    <row r="55" spans="6:16" ht="12.95" customHeight="1">
      <c r="F55" s="179"/>
      <c r="G55" s="198"/>
      <c r="N55" s="254"/>
    </row>
    <row r="56" spans="6:16" ht="12.95" customHeight="1">
      <c r="F56" s="179"/>
      <c r="G56" s="198"/>
      <c r="N56" s="254"/>
    </row>
    <row r="57" spans="6:16" ht="12.95" customHeight="1">
      <c r="F57" s="179"/>
      <c r="G57" s="198"/>
      <c r="N57" s="254"/>
    </row>
    <row r="58" spans="6:16" ht="12.95" customHeight="1">
      <c r="F58" s="179"/>
      <c r="G58" s="198"/>
      <c r="N58" s="254"/>
    </row>
    <row r="59" spans="6:16" ht="12.95" customHeight="1">
      <c r="F59" s="179"/>
      <c r="G59" s="198"/>
      <c r="N59" s="254"/>
    </row>
    <row r="60" spans="6:16" ht="17.100000000000001" customHeight="1">
      <c r="F60" s="179"/>
      <c r="G60" s="198"/>
      <c r="N60" s="254"/>
    </row>
    <row r="61" spans="6:16" ht="14.25">
      <c r="F61" s="179"/>
      <c r="G61" s="198"/>
      <c r="N61" s="254"/>
    </row>
    <row r="62" spans="6:16" ht="14.25">
      <c r="F62" s="179"/>
      <c r="G62" s="198"/>
      <c r="N62" s="254"/>
    </row>
    <row r="63" spans="6:16" ht="14.25">
      <c r="F63" s="179"/>
      <c r="G63" s="198"/>
      <c r="N63" s="254"/>
    </row>
    <row r="64" spans="6:16" ht="14.25">
      <c r="F64" s="179"/>
      <c r="G64" s="198"/>
      <c r="N64" s="254"/>
    </row>
    <row r="65" spans="6:14" ht="14.25">
      <c r="F65" s="179"/>
      <c r="G65" s="198"/>
      <c r="N65" s="254"/>
    </row>
    <row r="66" spans="6:14" ht="14.25">
      <c r="F66" s="179"/>
      <c r="G66" s="198"/>
      <c r="N66" s="254"/>
    </row>
    <row r="67" spans="6:14" ht="14.25">
      <c r="F67" s="179"/>
      <c r="G67" s="198"/>
      <c r="N67" s="254"/>
    </row>
    <row r="68" spans="6:14" ht="14.25">
      <c r="F68" s="179"/>
      <c r="G68" s="198"/>
      <c r="N68" s="254"/>
    </row>
    <row r="69" spans="6:14" ht="14.25">
      <c r="F69" s="179"/>
      <c r="G69" s="198"/>
      <c r="N69" s="254"/>
    </row>
    <row r="70" spans="6:14" ht="14.25">
      <c r="F70" s="179"/>
      <c r="G70" s="198"/>
      <c r="N70" s="254"/>
    </row>
    <row r="71" spans="6:14" ht="14.25">
      <c r="F71" s="179"/>
      <c r="G71" s="198"/>
      <c r="N71" s="254"/>
    </row>
    <row r="72" spans="6:14" ht="14.25">
      <c r="F72" s="179"/>
      <c r="G72" s="198"/>
      <c r="N72" s="254"/>
    </row>
    <row r="73" spans="6:14" ht="14.25">
      <c r="F73" s="179"/>
      <c r="G73" s="198"/>
      <c r="N73" s="254"/>
    </row>
    <row r="74" spans="6:14" ht="14.25">
      <c r="F74" s="179"/>
      <c r="G74" s="179"/>
      <c r="N74" s="254"/>
    </row>
    <row r="75" spans="6:14" ht="14.25">
      <c r="F75" s="179"/>
      <c r="G75" s="179"/>
      <c r="N75" s="254"/>
    </row>
    <row r="76" spans="6:14" ht="14.25">
      <c r="F76" s="179"/>
      <c r="G76" s="179"/>
      <c r="N76" s="254"/>
    </row>
    <row r="77" spans="6:14" ht="14.25">
      <c r="F77" s="179"/>
      <c r="G77" s="179"/>
      <c r="N77" s="254"/>
    </row>
    <row r="78" spans="6:14" ht="14.25">
      <c r="F78" s="179"/>
      <c r="G78" s="179"/>
      <c r="N78" s="254"/>
    </row>
    <row r="79" spans="6:14" ht="14.25">
      <c r="F79" s="179"/>
      <c r="G79" s="179"/>
      <c r="N79" s="254"/>
    </row>
    <row r="80" spans="6:14" ht="14.25">
      <c r="F80" s="179"/>
      <c r="G80" s="179"/>
      <c r="N80" s="254"/>
    </row>
    <row r="81" spans="6:14" ht="14.25">
      <c r="F81" s="179"/>
      <c r="G81" s="179"/>
      <c r="N81" s="254"/>
    </row>
    <row r="82" spans="6:14" ht="14.25">
      <c r="F82" s="179"/>
      <c r="G82" s="179"/>
      <c r="N82" s="254"/>
    </row>
    <row r="83" spans="6:14" ht="14.25">
      <c r="F83" s="179"/>
      <c r="G83" s="179"/>
      <c r="N83" s="254"/>
    </row>
    <row r="84" spans="6:14" ht="14.25">
      <c r="F84" s="179"/>
      <c r="G84" s="179"/>
      <c r="N84" s="254"/>
    </row>
    <row r="85" spans="6:14" ht="14.25">
      <c r="F85" s="179"/>
      <c r="G85" s="179"/>
      <c r="N85" s="254"/>
    </row>
    <row r="86" spans="6:14" ht="14.25">
      <c r="F86" s="179"/>
      <c r="G86" s="179"/>
      <c r="N86" s="254"/>
    </row>
    <row r="87" spans="6:14" ht="14.25">
      <c r="F87" s="179"/>
      <c r="G87" s="179"/>
      <c r="N87" s="254"/>
    </row>
    <row r="88" spans="6:14" ht="14.25">
      <c r="F88" s="179"/>
      <c r="G88" s="179"/>
      <c r="N88" s="254"/>
    </row>
    <row r="89" spans="6:14" ht="14.25">
      <c r="F89" s="179"/>
      <c r="G89" s="179"/>
      <c r="N89" s="254"/>
    </row>
    <row r="90" spans="6:14" ht="14.25">
      <c r="F90" s="179"/>
      <c r="G90" s="179"/>
      <c r="N90" s="254"/>
    </row>
    <row r="91" spans="6:14">
      <c r="G91" s="179"/>
    </row>
    <row r="92" spans="6:14">
      <c r="G92" s="179"/>
    </row>
    <row r="93" spans="6:14">
      <c r="G93" s="179"/>
    </row>
    <row r="94" spans="6:14">
      <c r="G94" s="179"/>
    </row>
    <row r="95" spans="6:14">
      <c r="G95" s="179"/>
    </row>
    <row r="96" spans="6:14">
      <c r="G96" s="179"/>
    </row>
  </sheetData>
  <mergeCells count="15">
    <mergeCell ref="P4:P5"/>
    <mergeCell ref="B2:P2"/>
    <mergeCell ref="K4:K5"/>
    <mergeCell ref="O4:O5"/>
    <mergeCell ref="H4:H5"/>
    <mergeCell ref="H3:I3"/>
    <mergeCell ref="L4:N4"/>
    <mergeCell ref="B4:B5"/>
    <mergeCell ref="C4:C5"/>
    <mergeCell ref="D4:D5"/>
    <mergeCell ref="G4:G5"/>
    <mergeCell ref="F4:F5"/>
    <mergeCell ref="I4:I5"/>
    <mergeCell ref="J4:J5"/>
    <mergeCell ref="E4:E5"/>
  </mergeCells>
  <phoneticPr fontId="2" type="noConversion"/>
  <pageMargins left="0.78740157480314965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 codeName="Sheet36"/>
  <dimension ref="A1:R96"/>
  <sheetViews>
    <sheetView topLeftCell="A3" zoomScaleNormal="100" workbookViewId="0">
      <selection activeCell="N36" sqref="N36"/>
    </sheetView>
  </sheetViews>
  <sheetFormatPr defaultColWidth="9.140625" defaultRowHeight="12.75"/>
  <cols>
    <col min="1" max="1" width="4.42578125" style="161" customWidth="1"/>
    <col min="2" max="2" width="4.7109375" style="9" customWidth="1"/>
    <col min="3" max="3" width="5.140625" style="9" customWidth="1"/>
    <col min="4" max="4" width="5" style="9" customWidth="1"/>
    <col min="5" max="5" width="5" style="161" customWidth="1"/>
    <col min="6" max="6" width="8.7109375" style="18" customWidth="1"/>
    <col min="7" max="7" width="8.7109375" style="166" customWidth="1"/>
    <col min="8" max="8" width="50.7109375" style="9" customWidth="1"/>
    <col min="9" max="10" width="14.7109375" style="51" customWidth="1"/>
    <col min="11" max="11" width="12.5703125" style="51" customWidth="1"/>
    <col min="12" max="13" width="14.7109375" style="51" customWidth="1"/>
    <col min="14" max="14" width="15.7109375" style="51" customWidth="1"/>
    <col min="15" max="16" width="7.7109375" style="214" customWidth="1"/>
    <col min="17" max="16384" width="9.140625" style="9"/>
  </cols>
  <sheetData>
    <row r="1" spans="1:18" ht="13.5" thickBot="1"/>
    <row r="2" spans="1:18" s="79" customFormat="1" ht="20.100000000000001" customHeight="1" thickTop="1" thickBot="1">
      <c r="A2" s="244"/>
      <c r="B2" s="1034" t="s">
        <v>637</v>
      </c>
      <c r="C2" s="1035"/>
      <c r="D2" s="1035"/>
      <c r="E2" s="1035"/>
      <c r="F2" s="1035"/>
      <c r="G2" s="1035"/>
      <c r="H2" s="1035"/>
      <c r="I2" s="1035"/>
      <c r="J2" s="1057"/>
      <c r="K2" s="1057"/>
      <c r="L2" s="1057"/>
      <c r="M2" s="1057"/>
      <c r="N2" s="1057"/>
      <c r="O2" s="1057"/>
      <c r="P2" s="1036"/>
      <c r="R2" s="244"/>
    </row>
    <row r="3" spans="1:18" s="1" customFormat="1" ht="8.1" customHeight="1" thickTop="1" thickBot="1">
      <c r="A3" s="158"/>
      <c r="E3" s="158"/>
      <c r="F3" s="2"/>
      <c r="G3" s="159"/>
      <c r="H3" s="1039"/>
      <c r="I3" s="1039"/>
      <c r="J3" s="139"/>
      <c r="K3" s="721"/>
      <c r="L3" s="74"/>
      <c r="M3" s="74"/>
      <c r="N3" s="74"/>
      <c r="O3" s="208"/>
      <c r="P3" s="208"/>
    </row>
    <row r="4" spans="1:18" s="1" customFormat="1" ht="39" customHeight="1">
      <c r="A4" s="158"/>
      <c r="B4" s="1043" t="s">
        <v>76</v>
      </c>
      <c r="C4" s="1045" t="s">
        <v>77</v>
      </c>
      <c r="D4" s="1047" t="s">
        <v>102</v>
      </c>
      <c r="E4" s="1062" t="s">
        <v>692</v>
      </c>
      <c r="F4" s="1058" t="s">
        <v>466</v>
      </c>
      <c r="G4" s="1048" t="s">
        <v>493</v>
      </c>
      <c r="H4" s="1050" t="s">
        <v>78</v>
      </c>
      <c r="I4" s="1059" t="s">
        <v>901</v>
      </c>
      <c r="J4" s="1068" t="s">
        <v>813</v>
      </c>
      <c r="K4" s="1037" t="s">
        <v>906</v>
      </c>
      <c r="L4" s="1040" t="s">
        <v>905</v>
      </c>
      <c r="M4" s="1041"/>
      <c r="N4" s="1042"/>
      <c r="O4" s="1054" t="s">
        <v>945</v>
      </c>
      <c r="P4" s="1032" t="s">
        <v>946</v>
      </c>
      <c r="R4" s="61"/>
    </row>
    <row r="5" spans="1:18" s="158" customFormat="1" ht="27" customHeight="1">
      <c r="B5" s="1044"/>
      <c r="C5" s="1046"/>
      <c r="D5" s="1046"/>
      <c r="E5" s="1049"/>
      <c r="F5" s="1051"/>
      <c r="G5" s="1049"/>
      <c r="H5" s="1051"/>
      <c r="I5" s="1051"/>
      <c r="J5" s="1051"/>
      <c r="K5" s="1038"/>
      <c r="L5" s="373" t="s">
        <v>526</v>
      </c>
      <c r="M5" s="242" t="s">
        <v>527</v>
      </c>
      <c r="N5" s="764" t="s">
        <v>319</v>
      </c>
      <c r="O5" s="1055"/>
      <c r="P5" s="1033"/>
    </row>
    <row r="6" spans="1:18" s="2" customFormat="1" ht="12.95" customHeight="1">
      <c r="A6" s="159"/>
      <c r="B6" s="328">
        <v>1</v>
      </c>
      <c r="C6" s="195">
        <v>2</v>
      </c>
      <c r="D6" s="195">
        <v>3</v>
      </c>
      <c r="E6" s="195">
        <v>4</v>
      </c>
      <c r="F6" s="195">
        <v>5</v>
      </c>
      <c r="G6" s="195">
        <v>6</v>
      </c>
      <c r="H6" s="195">
        <v>7</v>
      </c>
      <c r="I6" s="195">
        <v>8</v>
      </c>
      <c r="J6" s="195">
        <v>9</v>
      </c>
      <c r="K6" s="188">
        <v>10</v>
      </c>
      <c r="L6" s="328">
        <v>11</v>
      </c>
      <c r="M6" s="195">
        <v>12</v>
      </c>
      <c r="N6" s="810" t="s">
        <v>694</v>
      </c>
      <c r="O6" s="929" t="s">
        <v>814</v>
      </c>
      <c r="P6" s="930" t="s">
        <v>944</v>
      </c>
    </row>
    <row r="7" spans="1:18" s="2" customFormat="1" ht="12.95" customHeight="1">
      <c r="A7" s="159"/>
      <c r="B7" s="6" t="s">
        <v>131</v>
      </c>
      <c r="C7" s="7" t="s">
        <v>79</v>
      </c>
      <c r="D7" s="7" t="s">
        <v>80</v>
      </c>
      <c r="E7" s="415" t="s">
        <v>701</v>
      </c>
      <c r="F7" s="5"/>
      <c r="G7" s="160"/>
      <c r="H7" s="5"/>
      <c r="I7" s="378"/>
      <c r="J7" s="70"/>
      <c r="K7" s="726"/>
      <c r="L7" s="391"/>
      <c r="M7" s="70"/>
      <c r="N7" s="832"/>
      <c r="O7" s="951"/>
      <c r="P7" s="952"/>
    </row>
    <row r="8" spans="1:18" s="1" customFormat="1" ht="12.95" customHeight="1">
      <c r="A8" s="158"/>
      <c r="B8" s="12"/>
      <c r="C8" s="8"/>
      <c r="D8" s="8"/>
      <c r="E8" s="8"/>
      <c r="F8" s="176">
        <v>611000</v>
      </c>
      <c r="G8" s="195"/>
      <c r="H8" s="25" t="s">
        <v>140</v>
      </c>
      <c r="I8" s="236">
        <f t="shared" ref="I8:N8" si="0">SUM(I9:I11)</f>
        <v>323540</v>
      </c>
      <c r="J8" s="236">
        <f t="shared" si="0"/>
        <v>323540</v>
      </c>
      <c r="K8" s="226">
        <f t="shared" si="0"/>
        <v>263464</v>
      </c>
      <c r="L8" s="482">
        <f t="shared" si="0"/>
        <v>321998</v>
      </c>
      <c r="M8" s="236">
        <f t="shared" si="0"/>
        <v>0</v>
      </c>
      <c r="N8" s="812">
        <f t="shared" si="0"/>
        <v>321998</v>
      </c>
      <c r="O8" s="953">
        <f t="shared" ref="O8:O34" si="1">IF(J8=0,"",N8/J8*100)</f>
        <v>99.523397416084563</v>
      </c>
      <c r="P8" s="954">
        <f>IF(K8=0,"",N8/K8*100)</f>
        <v>122.21707709592202</v>
      </c>
    </row>
    <row r="9" spans="1:18" ht="12.95" customHeight="1">
      <c r="B9" s="10"/>
      <c r="C9" s="11"/>
      <c r="D9" s="11"/>
      <c r="E9" s="163"/>
      <c r="F9" s="177">
        <v>611100</v>
      </c>
      <c r="G9" s="196"/>
      <c r="H9" s="428" t="s">
        <v>161</v>
      </c>
      <c r="I9" s="237">
        <f>248820+500</f>
        <v>249320</v>
      </c>
      <c r="J9" s="237">
        <f>248820+500</f>
        <v>249320</v>
      </c>
      <c r="K9" s="224">
        <v>207179</v>
      </c>
      <c r="L9" s="360">
        <v>248829</v>
      </c>
      <c r="M9" s="237">
        <v>0</v>
      </c>
      <c r="N9" s="813">
        <f>SUM(L9:M9)</f>
        <v>248829</v>
      </c>
      <c r="O9" s="955">
        <f t="shared" si="1"/>
        <v>99.803064334991177</v>
      </c>
      <c r="P9" s="956">
        <f t="shared" ref="P9:P53" si="2">IF(K9=0,"",N9/K9*100)</f>
        <v>120.10338885697875</v>
      </c>
    </row>
    <row r="10" spans="1:18" ht="12.95" customHeight="1">
      <c r="B10" s="10"/>
      <c r="C10" s="11"/>
      <c r="D10" s="11"/>
      <c r="E10" s="163"/>
      <c r="F10" s="177">
        <v>611200</v>
      </c>
      <c r="G10" s="196"/>
      <c r="H10" s="24" t="s">
        <v>162</v>
      </c>
      <c r="I10" s="237">
        <f>64520+600+13*700</f>
        <v>74220</v>
      </c>
      <c r="J10" s="237">
        <f>64520+600+13*700</f>
        <v>74220</v>
      </c>
      <c r="K10" s="224">
        <v>56285</v>
      </c>
      <c r="L10" s="360">
        <v>73169</v>
      </c>
      <c r="M10" s="237">
        <v>0</v>
      </c>
      <c r="N10" s="813">
        <f t="shared" ref="N10:N11" si="3">SUM(L10:M10)</f>
        <v>73169</v>
      </c>
      <c r="O10" s="955">
        <f t="shared" si="1"/>
        <v>98.583939638911346</v>
      </c>
      <c r="P10" s="956">
        <f t="shared" si="2"/>
        <v>129.99733499156082</v>
      </c>
    </row>
    <row r="11" spans="1:18" ht="12.95" customHeight="1">
      <c r="B11" s="10"/>
      <c r="C11" s="11"/>
      <c r="D11" s="11"/>
      <c r="E11" s="163"/>
      <c r="F11" s="177">
        <v>611200</v>
      </c>
      <c r="G11" s="196"/>
      <c r="H11" s="435" t="s">
        <v>434</v>
      </c>
      <c r="I11" s="235">
        <v>0</v>
      </c>
      <c r="J11" s="235">
        <v>0</v>
      </c>
      <c r="K11" s="225">
        <v>0</v>
      </c>
      <c r="L11" s="357">
        <v>0</v>
      </c>
      <c r="M11" s="235">
        <v>0</v>
      </c>
      <c r="N11" s="813">
        <f t="shared" si="3"/>
        <v>0</v>
      </c>
      <c r="O11" s="955" t="str">
        <f t="shared" si="1"/>
        <v/>
      </c>
      <c r="P11" s="956" t="str">
        <f t="shared" si="2"/>
        <v/>
      </c>
      <c r="R11" s="50"/>
    </row>
    <row r="12" spans="1:18" ht="12.95" customHeight="1">
      <c r="B12" s="10"/>
      <c r="C12" s="11"/>
      <c r="D12" s="11"/>
      <c r="E12" s="163"/>
      <c r="F12" s="177"/>
      <c r="G12" s="196"/>
      <c r="H12" s="24"/>
      <c r="I12" s="236"/>
      <c r="J12" s="236"/>
      <c r="K12" s="226"/>
      <c r="L12" s="482"/>
      <c r="M12" s="236"/>
      <c r="N12" s="812"/>
      <c r="O12" s="955" t="str">
        <f t="shared" si="1"/>
        <v/>
      </c>
      <c r="P12" s="956" t="str">
        <f t="shared" si="2"/>
        <v/>
      </c>
    </row>
    <row r="13" spans="1:18" s="1" customFormat="1" ht="12.95" customHeight="1">
      <c r="A13" s="158"/>
      <c r="B13" s="12"/>
      <c r="C13" s="8"/>
      <c r="D13" s="8"/>
      <c r="E13" s="8"/>
      <c r="F13" s="176">
        <v>612000</v>
      </c>
      <c r="G13" s="195"/>
      <c r="H13" s="25" t="s">
        <v>139</v>
      </c>
      <c r="I13" s="236">
        <f t="shared" ref="I13:N13" si="4">I14</f>
        <v>26480</v>
      </c>
      <c r="J13" s="236">
        <f t="shared" si="4"/>
        <v>26480</v>
      </c>
      <c r="K13" s="226">
        <f t="shared" si="4"/>
        <v>21937</v>
      </c>
      <c r="L13" s="482">
        <f t="shared" si="4"/>
        <v>26127</v>
      </c>
      <c r="M13" s="236">
        <f t="shared" si="4"/>
        <v>0</v>
      </c>
      <c r="N13" s="812">
        <f t="shared" si="4"/>
        <v>26127</v>
      </c>
      <c r="O13" s="953">
        <f t="shared" si="1"/>
        <v>98.666918429003019</v>
      </c>
      <c r="P13" s="954">
        <f t="shared" si="2"/>
        <v>119.10015043077904</v>
      </c>
    </row>
    <row r="14" spans="1:18" ht="12.95" customHeight="1">
      <c r="B14" s="10"/>
      <c r="C14" s="11"/>
      <c r="D14" s="11"/>
      <c r="E14" s="163"/>
      <c r="F14" s="177">
        <v>612100</v>
      </c>
      <c r="G14" s="196"/>
      <c r="H14" s="430" t="s">
        <v>81</v>
      </c>
      <c r="I14" s="237">
        <f>26180+300</f>
        <v>26480</v>
      </c>
      <c r="J14" s="237">
        <f>26180+300</f>
        <v>26480</v>
      </c>
      <c r="K14" s="224">
        <v>21937</v>
      </c>
      <c r="L14" s="360">
        <v>26127</v>
      </c>
      <c r="M14" s="237"/>
      <c r="N14" s="813">
        <f>SUM(L14:M14)</f>
        <v>26127</v>
      </c>
      <c r="O14" s="955">
        <f t="shared" si="1"/>
        <v>98.666918429003019</v>
      </c>
      <c r="P14" s="956">
        <f t="shared" si="2"/>
        <v>119.10015043077904</v>
      </c>
    </row>
    <row r="15" spans="1:18" ht="12.95" customHeight="1">
      <c r="B15" s="10"/>
      <c r="C15" s="11"/>
      <c r="D15" s="11"/>
      <c r="E15" s="163"/>
      <c r="F15" s="177"/>
      <c r="G15" s="196"/>
      <c r="H15" s="24"/>
      <c r="I15" s="236"/>
      <c r="J15" s="236"/>
      <c r="K15" s="226"/>
      <c r="L15" s="482"/>
      <c r="M15" s="236"/>
      <c r="N15" s="774"/>
      <c r="O15" s="955" t="str">
        <f t="shared" si="1"/>
        <v/>
      </c>
      <c r="P15" s="956" t="str">
        <f t="shared" si="2"/>
        <v/>
      </c>
    </row>
    <row r="16" spans="1:18" s="1" customFormat="1" ht="12.95" customHeight="1">
      <c r="A16" s="158"/>
      <c r="B16" s="12"/>
      <c r="C16" s="8"/>
      <c r="D16" s="8"/>
      <c r="E16" s="8"/>
      <c r="F16" s="176">
        <v>613000</v>
      </c>
      <c r="G16" s="195"/>
      <c r="H16" s="25" t="s">
        <v>141</v>
      </c>
      <c r="I16" s="227">
        <f t="shared" ref="I16:J16" si="5">SUM(I17:I26)</f>
        <v>53500</v>
      </c>
      <c r="J16" s="227">
        <f t="shared" si="5"/>
        <v>53500</v>
      </c>
      <c r="K16" s="723">
        <f t="shared" ref="K16" si="6">SUM(K17:K26)</f>
        <v>49556</v>
      </c>
      <c r="L16" s="363">
        <f t="shared" ref="L16" si="7">SUM(L17:L26)</f>
        <v>53301</v>
      </c>
      <c r="M16" s="236">
        <f>SUM(M17:M26)</f>
        <v>0</v>
      </c>
      <c r="N16" s="774">
        <f>SUM(N17:N26)</f>
        <v>53301</v>
      </c>
      <c r="O16" s="953">
        <f t="shared" si="1"/>
        <v>99.628037383177571</v>
      </c>
      <c r="P16" s="954">
        <f t="shared" si="2"/>
        <v>107.55710711114699</v>
      </c>
    </row>
    <row r="17" spans="1:17" ht="12.95" customHeight="1">
      <c r="B17" s="10"/>
      <c r="C17" s="11"/>
      <c r="D17" s="11"/>
      <c r="E17" s="163"/>
      <c r="F17" s="177">
        <v>613100</v>
      </c>
      <c r="G17" s="196"/>
      <c r="H17" s="24" t="s">
        <v>82</v>
      </c>
      <c r="I17" s="237">
        <v>2500</v>
      </c>
      <c r="J17" s="237">
        <v>2500</v>
      </c>
      <c r="K17" s="224">
        <v>1404</v>
      </c>
      <c r="L17" s="360">
        <v>2479</v>
      </c>
      <c r="M17" s="237">
        <v>0</v>
      </c>
      <c r="N17" s="813">
        <f t="shared" ref="N17:N26" si="8">SUM(L17:M17)</f>
        <v>2479</v>
      </c>
      <c r="O17" s="955">
        <f t="shared" si="1"/>
        <v>99.16</v>
      </c>
      <c r="P17" s="956">
        <f t="shared" si="2"/>
        <v>176.56695156695156</v>
      </c>
    </row>
    <row r="18" spans="1:17" ht="12.95" customHeight="1">
      <c r="B18" s="10"/>
      <c r="C18" s="11"/>
      <c r="D18" s="11"/>
      <c r="E18" s="163"/>
      <c r="F18" s="177">
        <v>613200</v>
      </c>
      <c r="G18" s="196"/>
      <c r="H18" s="24" t="s">
        <v>83</v>
      </c>
      <c r="I18" s="237">
        <v>0</v>
      </c>
      <c r="J18" s="237">
        <v>0</v>
      </c>
      <c r="K18" s="224">
        <v>0</v>
      </c>
      <c r="L18" s="360">
        <v>0</v>
      </c>
      <c r="M18" s="237">
        <v>0</v>
      </c>
      <c r="N18" s="813">
        <f t="shared" si="8"/>
        <v>0</v>
      </c>
      <c r="O18" s="955" t="str">
        <f t="shared" si="1"/>
        <v/>
      </c>
      <c r="P18" s="956" t="str">
        <f t="shared" si="2"/>
        <v/>
      </c>
    </row>
    <row r="19" spans="1:17" ht="12.95" customHeight="1">
      <c r="B19" s="10"/>
      <c r="C19" s="11"/>
      <c r="D19" s="11"/>
      <c r="E19" s="163"/>
      <c r="F19" s="177">
        <v>613300</v>
      </c>
      <c r="G19" s="196"/>
      <c r="H19" s="428" t="s">
        <v>163</v>
      </c>
      <c r="I19" s="237">
        <v>3000</v>
      </c>
      <c r="J19" s="237">
        <v>3000</v>
      </c>
      <c r="K19" s="224">
        <v>3161</v>
      </c>
      <c r="L19" s="360">
        <v>2897</v>
      </c>
      <c r="M19" s="237">
        <v>0</v>
      </c>
      <c r="N19" s="813">
        <f t="shared" si="8"/>
        <v>2897</v>
      </c>
      <c r="O19" s="955">
        <f t="shared" si="1"/>
        <v>96.566666666666663</v>
      </c>
      <c r="P19" s="956">
        <f t="shared" si="2"/>
        <v>91.648212590952227</v>
      </c>
    </row>
    <row r="20" spans="1:17" ht="12.95" customHeight="1">
      <c r="B20" s="10"/>
      <c r="C20" s="11"/>
      <c r="D20" s="11"/>
      <c r="E20" s="163"/>
      <c r="F20" s="177">
        <v>613400</v>
      </c>
      <c r="G20" s="196"/>
      <c r="H20" s="24" t="s">
        <v>142</v>
      </c>
      <c r="I20" s="237">
        <v>1500</v>
      </c>
      <c r="J20" s="237">
        <v>930</v>
      </c>
      <c r="K20" s="224">
        <v>1980</v>
      </c>
      <c r="L20" s="360">
        <v>929</v>
      </c>
      <c r="M20" s="237">
        <v>0</v>
      </c>
      <c r="N20" s="813">
        <f t="shared" si="8"/>
        <v>929</v>
      </c>
      <c r="O20" s="955">
        <f t="shared" si="1"/>
        <v>99.892473118279568</v>
      </c>
      <c r="P20" s="956">
        <f t="shared" si="2"/>
        <v>46.919191919191924</v>
      </c>
    </row>
    <row r="21" spans="1:17" ht="12.95" customHeight="1">
      <c r="B21" s="10"/>
      <c r="C21" s="11"/>
      <c r="D21" s="11"/>
      <c r="E21" s="163"/>
      <c r="F21" s="177">
        <v>613500</v>
      </c>
      <c r="G21" s="196"/>
      <c r="H21" s="24" t="s">
        <v>84</v>
      </c>
      <c r="I21" s="237">
        <v>0</v>
      </c>
      <c r="J21" s="237">
        <v>0</v>
      </c>
      <c r="K21" s="224">
        <v>0</v>
      </c>
      <c r="L21" s="360">
        <v>0</v>
      </c>
      <c r="M21" s="237">
        <v>0</v>
      </c>
      <c r="N21" s="813">
        <f t="shared" si="8"/>
        <v>0</v>
      </c>
      <c r="O21" s="955" t="str">
        <f t="shared" si="1"/>
        <v/>
      </c>
      <c r="P21" s="956" t="str">
        <f t="shared" si="2"/>
        <v/>
      </c>
    </row>
    <row r="22" spans="1:17" ht="12.95" customHeight="1">
      <c r="B22" s="10"/>
      <c r="C22" s="11"/>
      <c r="D22" s="11"/>
      <c r="E22" s="163"/>
      <c r="F22" s="177">
        <v>613600</v>
      </c>
      <c r="G22" s="196"/>
      <c r="H22" s="428" t="s">
        <v>164</v>
      </c>
      <c r="I22" s="237">
        <v>0</v>
      </c>
      <c r="J22" s="237">
        <v>0</v>
      </c>
      <c r="K22" s="224">
        <v>0</v>
      </c>
      <c r="L22" s="360">
        <v>0</v>
      </c>
      <c r="M22" s="237">
        <v>0</v>
      </c>
      <c r="N22" s="813">
        <f t="shared" si="8"/>
        <v>0</v>
      </c>
      <c r="O22" s="955" t="str">
        <f t="shared" si="1"/>
        <v/>
      </c>
      <c r="P22" s="956" t="str">
        <f t="shared" si="2"/>
        <v/>
      </c>
    </row>
    <row r="23" spans="1:17" ht="12.95" customHeight="1">
      <c r="B23" s="10"/>
      <c r="C23" s="11"/>
      <c r="D23" s="11"/>
      <c r="E23" s="163"/>
      <c r="F23" s="177">
        <v>613700</v>
      </c>
      <c r="G23" s="196"/>
      <c r="H23" s="24" t="s">
        <v>85</v>
      </c>
      <c r="I23" s="237">
        <v>1500</v>
      </c>
      <c r="J23" s="237">
        <v>560</v>
      </c>
      <c r="K23" s="224">
        <v>1012</v>
      </c>
      <c r="L23" s="360">
        <v>558</v>
      </c>
      <c r="M23" s="237">
        <v>0</v>
      </c>
      <c r="N23" s="813">
        <f t="shared" si="8"/>
        <v>558</v>
      </c>
      <c r="O23" s="955">
        <f t="shared" si="1"/>
        <v>99.642857142857139</v>
      </c>
      <c r="P23" s="956">
        <f t="shared" si="2"/>
        <v>55.138339920948617</v>
      </c>
    </row>
    <row r="24" spans="1:17" ht="12.95" customHeight="1">
      <c r="B24" s="10"/>
      <c r="C24" s="11"/>
      <c r="D24" s="11"/>
      <c r="E24" s="163"/>
      <c r="F24" s="177">
        <v>613800</v>
      </c>
      <c r="G24" s="196"/>
      <c r="H24" s="24" t="s">
        <v>143</v>
      </c>
      <c r="I24" s="237">
        <v>0</v>
      </c>
      <c r="J24" s="237">
        <v>0</v>
      </c>
      <c r="K24" s="224">
        <v>0</v>
      </c>
      <c r="L24" s="360">
        <v>0</v>
      </c>
      <c r="M24" s="237">
        <v>0</v>
      </c>
      <c r="N24" s="813">
        <f t="shared" si="8"/>
        <v>0</v>
      </c>
      <c r="O24" s="955" t="str">
        <f t="shared" si="1"/>
        <v/>
      </c>
      <c r="P24" s="956" t="str">
        <f t="shared" si="2"/>
        <v/>
      </c>
    </row>
    <row r="25" spans="1:17" ht="12.95" customHeight="1">
      <c r="B25" s="10"/>
      <c r="C25" s="11"/>
      <c r="D25" s="11"/>
      <c r="E25" s="163"/>
      <c r="F25" s="177">
        <v>613900</v>
      </c>
      <c r="G25" s="196"/>
      <c r="H25" s="24" t="s">
        <v>144</v>
      </c>
      <c r="I25" s="237">
        <v>45000</v>
      </c>
      <c r="J25" s="237">
        <v>46510</v>
      </c>
      <c r="K25" s="224">
        <v>41999</v>
      </c>
      <c r="L25" s="360">
        <v>46438</v>
      </c>
      <c r="M25" s="237">
        <v>0</v>
      </c>
      <c r="N25" s="813">
        <f t="shared" si="8"/>
        <v>46438</v>
      </c>
      <c r="O25" s="955">
        <f t="shared" si="1"/>
        <v>99.845194581810361</v>
      </c>
      <c r="P25" s="956">
        <f t="shared" si="2"/>
        <v>110.56929926903021</v>
      </c>
      <c r="Q25" s="58"/>
    </row>
    <row r="26" spans="1:17" ht="12.95" customHeight="1">
      <c r="B26" s="10"/>
      <c r="C26" s="11"/>
      <c r="D26" s="11"/>
      <c r="E26" s="163"/>
      <c r="F26" s="177">
        <v>613900</v>
      </c>
      <c r="G26" s="196"/>
      <c r="H26" s="435" t="s">
        <v>435</v>
      </c>
      <c r="I26" s="237">
        <v>0</v>
      </c>
      <c r="J26" s="237">
        <v>0</v>
      </c>
      <c r="K26" s="224">
        <v>0</v>
      </c>
      <c r="L26" s="360">
        <v>0</v>
      </c>
      <c r="M26" s="237">
        <v>0</v>
      </c>
      <c r="N26" s="813">
        <f t="shared" si="8"/>
        <v>0</v>
      </c>
      <c r="O26" s="955" t="str">
        <f t="shared" si="1"/>
        <v/>
      </c>
      <c r="P26" s="956" t="str">
        <f t="shared" si="2"/>
        <v/>
      </c>
    </row>
    <row r="27" spans="1:17" ht="12.95" customHeight="1">
      <c r="B27" s="10"/>
      <c r="C27" s="11"/>
      <c r="D27" s="11"/>
      <c r="E27" s="163"/>
      <c r="F27" s="177"/>
      <c r="G27" s="196"/>
      <c r="H27" s="24"/>
      <c r="I27" s="236"/>
      <c r="J27" s="236"/>
      <c r="K27" s="226"/>
      <c r="L27" s="482"/>
      <c r="M27" s="236"/>
      <c r="N27" s="774"/>
      <c r="O27" s="955" t="str">
        <f t="shared" si="1"/>
        <v/>
      </c>
      <c r="P27" s="956" t="str">
        <f t="shared" si="2"/>
        <v/>
      </c>
    </row>
    <row r="28" spans="1:17" s="1" customFormat="1" ht="12.95" customHeight="1">
      <c r="A28" s="158"/>
      <c r="B28" s="12"/>
      <c r="C28" s="8"/>
      <c r="D28" s="8"/>
      <c r="E28" s="8"/>
      <c r="F28" s="176">
        <v>614000</v>
      </c>
      <c r="G28" s="195"/>
      <c r="H28" s="25" t="s">
        <v>165</v>
      </c>
      <c r="I28" s="236">
        <f t="shared" ref="I28:N28" si="9">SUM(I29:I29)</f>
        <v>1860000</v>
      </c>
      <c r="J28" s="236">
        <f t="shared" si="9"/>
        <v>1860000</v>
      </c>
      <c r="K28" s="729">
        <f t="shared" si="9"/>
        <v>1589243</v>
      </c>
      <c r="L28" s="501">
        <f t="shared" si="9"/>
        <v>1849947</v>
      </c>
      <c r="M28" s="236">
        <f t="shared" si="9"/>
        <v>0</v>
      </c>
      <c r="N28" s="774">
        <f t="shared" si="9"/>
        <v>1849947</v>
      </c>
      <c r="O28" s="953">
        <f t="shared" si="1"/>
        <v>99.459516129032252</v>
      </c>
      <c r="P28" s="954">
        <f t="shared" si="2"/>
        <v>116.40428807929311</v>
      </c>
    </row>
    <row r="29" spans="1:17" s="161" customFormat="1" ht="12.95" customHeight="1">
      <c r="B29" s="162"/>
      <c r="C29" s="163"/>
      <c r="D29" s="163"/>
      <c r="E29" s="163"/>
      <c r="F29" s="177">
        <v>614200</v>
      </c>
      <c r="G29" s="196" t="s">
        <v>523</v>
      </c>
      <c r="H29" s="546" t="s">
        <v>792</v>
      </c>
      <c r="I29" s="237">
        <v>1860000</v>
      </c>
      <c r="J29" s="237">
        <v>1860000</v>
      </c>
      <c r="K29" s="224">
        <v>1589243</v>
      </c>
      <c r="L29" s="360">
        <v>1849947</v>
      </c>
      <c r="M29" s="237">
        <v>0</v>
      </c>
      <c r="N29" s="813">
        <f>SUM(L29:M29)</f>
        <v>1849947</v>
      </c>
      <c r="O29" s="955">
        <f t="shared" si="1"/>
        <v>99.459516129032252</v>
      </c>
      <c r="P29" s="956">
        <f t="shared" si="2"/>
        <v>116.40428807929311</v>
      </c>
    </row>
    <row r="30" spans="1:17" ht="12.95" customHeight="1">
      <c r="B30" s="10"/>
      <c r="C30" s="11"/>
      <c r="D30" s="11"/>
      <c r="E30" s="163"/>
      <c r="F30" s="177"/>
      <c r="G30" s="196"/>
      <c r="H30" s="24"/>
      <c r="I30" s="237"/>
      <c r="J30" s="237"/>
      <c r="K30" s="224"/>
      <c r="L30" s="360"/>
      <c r="M30" s="237"/>
      <c r="N30" s="776"/>
      <c r="O30" s="955" t="str">
        <f t="shared" si="1"/>
        <v/>
      </c>
      <c r="P30" s="956" t="str">
        <f t="shared" si="2"/>
        <v/>
      </c>
    </row>
    <row r="31" spans="1:17" s="1" customFormat="1" ht="12.95" customHeight="1">
      <c r="A31" s="158"/>
      <c r="B31" s="12"/>
      <c r="C31" s="8"/>
      <c r="D31" s="8"/>
      <c r="E31" s="8"/>
      <c r="F31" s="176">
        <v>821000</v>
      </c>
      <c r="G31" s="195"/>
      <c r="H31" s="25" t="s">
        <v>88</v>
      </c>
      <c r="I31" s="236">
        <f t="shared" ref="I31:J31" si="10">SUM(I32:I33)</f>
        <v>6200</v>
      </c>
      <c r="J31" s="236">
        <f t="shared" si="10"/>
        <v>6200</v>
      </c>
      <c r="K31" s="226">
        <f t="shared" ref="K31" si="11">SUM(K32:K33)</f>
        <v>3342</v>
      </c>
      <c r="L31" s="482">
        <f t="shared" ref="L31" si="12">SUM(L32:L33)</f>
        <v>6185</v>
      </c>
      <c r="M31" s="236">
        <f>SUM(M32:M33)</f>
        <v>0</v>
      </c>
      <c r="N31" s="774">
        <f>SUM(N32:N33)</f>
        <v>6185</v>
      </c>
      <c r="O31" s="955">
        <f t="shared" si="1"/>
        <v>99.758064516129025</v>
      </c>
      <c r="P31" s="956">
        <f t="shared" si="2"/>
        <v>185.0688210652304</v>
      </c>
    </row>
    <row r="32" spans="1:17" ht="12.95" customHeight="1">
      <c r="B32" s="10"/>
      <c r="C32" s="11"/>
      <c r="D32" s="11"/>
      <c r="E32" s="163"/>
      <c r="F32" s="177">
        <v>821200</v>
      </c>
      <c r="G32" s="196"/>
      <c r="H32" s="24" t="s">
        <v>89</v>
      </c>
      <c r="I32" s="237">
        <v>0</v>
      </c>
      <c r="J32" s="237">
        <v>0</v>
      </c>
      <c r="K32" s="224">
        <v>0</v>
      </c>
      <c r="L32" s="360">
        <v>0</v>
      </c>
      <c r="M32" s="237">
        <v>0</v>
      </c>
      <c r="N32" s="813">
        <f t="shared" ref="N32:N33" si="13">SUM(L32:M32)</f>
        <v>0</v>
      </c>
      <c r="O32" s="955" t="str">
        <f t="shared" si="1"/>
        <v/>
      </c>
      <c r="P32" s="956" t="str">
        <f t="shared" si="2"/>
        <v/>
      </c>
    </row>
    <row r="33" spans="1:16" ht="12.95" customHeight="1">
      <c r="B33" s="10"/>
      <c r="C33" s="11"/>
      <c r="D33" s="11"/>
      <c r="E33" s="163"/>
      <c r="F33" s="177">
        <v>821300</v>
      </c>
      <c r="G33" s="196"/>
      <c r="H33" s="24" t="s">
        <v>90</v>
      </c>
      <c r="I33" s="237">
        <v>6200</v>
      </c>
      <c r="J33" s="237">
        <v>6200</v>
      </c>
      <c r="K33" s="224">
        <v>3342</v>
      </c>
      <c r="L33" s="360">
        <v>6185</v>
      </c>
      <c r="M33" s="237">
        <v>0</v>
      </c>
      <c r="N33" s="813">
        <f t="shared" si="13"/>
        <v>6185</v>
      </c>
      <c r="O33" s="955">
        <f t="shared" si="1"/>
        <v>99.758064516129025</v>
      </c>
      <c r="P33" s="956">
        <f t="shared" si="2"/>
        <v>185.0688210652304</v>
      </c>
    </row>
    <row r="34" spans="1:16" ht="12.95" customHeight="1">
      <c r="B34" s="10"/>
      <c r="C34" s="11"/>
      <c r="D34" s="11"/>
      <c r="E34" s="163"/>
      <c r="F34" s="177"/>
      <c r="G34" s="196"/>
      <c r="H34" s="24"/>
      <c r="I34" s="237"/>
      <c r="J34" s="237"/>
      <c r="K34" s="224"/>
      <c r="L34" s="360"/>
      <c r="M34" s="237"/>
      <c r="N34" s="776"/>
      <c r="O34" s="955" t="str">
        <f t="shared" si="1"/>
        <v/>
      </c>
      <c r="P34" s="956" t="str">
        <f t="shared" si="2"/>
        <v/>
      </c>
    </row>
    <row r="35" spans="1:16" s="1" customFormat="1" ht="12.95" customHeight="1">
      <c r="A35" s="158"/>
      <c r="B35" s="12"/>
      <c r="C35" s="8"/>
      <c r="D35" s="8"/>
      <c r="E35" s="8"/>
      <c r="F35" s="176"/>
      <c r="G35" s="195"/>
      <c r="H35" s="25" t="s">
        <v>91</v>
      </c>
      <c r="I35" s="394" t="s">
        <v>826</v>
      </c>
      <c r="J35" s="394" t="s">
        <v>826</v>
      </c>
      <c r="K35" s="727">
        <v>11</v>
      </c>
      <c r="L35" s="498" t="s">
        <v>826</v>
      </c>
      <c r="M35" s="232"/>
      <c r="N35" s="767" t="s">
        <v>826</v>
      </c>
      <c r="O35" s="955"/>
      <c r="P35" s="956"/>
    </row>
    <row r="36" spans="1:16" s="1" customFormat="1" ht="12.95" customHeight="1">
      <c r="A36" s="158"/>
      <c r="B36" s="12"/>
      <c r="C36" s="8"/>
      <c r="D36" s="8"/>
      <c r="E36" s="8"/>
      <c r="F36" s="176"/>
      <c r="G36" s="195"/>
      <c r="H36" s="8" t="s">
        <v>105</v>
      </c>
      <c r="I36" s="15">
        <f t="shared" ref="I36:N36" si="14">I8+I13+I16+I28+I31</f>
        <v>2269720</v>
      </c>
      <c r="J36" s="15">
        <f t="shared" si="14"/>
        <v>2269720</v>
      </c>
      <c r="K36" s="153">
        <f t="shared" ref="K36" si="15">K8+K13+K16+K28+K31</f>
        <v>1927542</v>
      </c>
      <c r="L36" s="370">
        <f t="shared" si="14"/>
        <v>2257558</v>
      </c>
      <c r="M36" s="165">
        <f t="shared" si="14"/>
        <v>0</v>
      </c>
      <c r="N36" s="774">
        <f t="shared" si="14"/>
        <v>2257558</v>
      </c>
      <c r="O36" s="953">
        <f>IF(J36=0,"",N36/J36*100)</f>
        <v>99.46416298045574</v>
      </c>
      <c r="P36" s="954">
        <f t="shared" si="2"/>
        <v>117.12107959255881</v>
      </c>
    </row>
    <row r="37" spans="1:16" s="1" customFormat="1" ht="12.95" customHeight="1">
      <c r="A37" s="158"/>
      <c r="B37" s="12"/>
      <c r="C37" s="8"/>
      <c r="D37" s="8"/>
      <c r="E37" s="8"/>
      <c r="F37" s="176"/>
      <c r="G37" s="195"/>
      <c r="H37" s="8" t="s">
        <v>92</v>
      </c>
      <c r="I37" s="15">
        <f t="shared" ref="I37:K38" si="16">I36</f>
        <v>2269720</v>
      </c>
      <c r="J37" s="15">
        <f t="shared" si="16"/>
        <v>2269720</v>
      </c>
      <c r="K37" s="153">
        <f t="shared" si="16"/>
        <v>1927542</v>
      </c>
      <c r="L37" s="370">
        <f t="shared" ref="L37:N38" si="17">L36</f>
        <v>2257558</v>
      </c>
      <c r="M37" s="165">
        <f t="shared" si="17"/>
        <v>0</v>
      </c>
      <c r="N37" s="774">
        <f t="shared" si="17"/>
        <v>2257558</v>
      </c>
      <c r="O37" s="953">
        <f>IF(J37=0,"",N37/J37*100)</f>
        <v>99.46416298045574</v>
      </c>
      <c r="P37" s="954">
        <f t="shared" si="2"/>
        <v>117.12107959255881</v>
      </c>
    </row>
    <row r="38" spans="1:16" s="1" customFormat="1" ht="12.95" customHeight="1">
      <c r="A38" s="158"/>
      <c r="B38" s="12"/>
      <c r="C38" s="8"/>
      <c r="D38" s="8"/>
      <c r="E38" s="8"/>
      <c r="F38" s="176"/>
      <c r="G38" s="195"/>
      <c r="H38" s="8" t="s">
        <v>93</v>
      </c>
      <c r="I38" s="15">
        <f t="shared" si="16"/>
        <v>2269720</v>
      </c>
      <c r="J38" s="15">
        <f t="shared" si="16"/>
        <v>2269720</v>
      </c>
      <c r="K38" s="153">
        <f t="shared" si="16"/>
        <v>1927542</v>
      </c>
      <c r="L38" s="370">
        <f t="shared" si="17"/>
        <v>2257558</v>
      </c>
      <c r="M38" s="165">
        <f t="shared" si="17"/>
        <v>0</v>
      </c>
      <c r="N38" s="774">
        <f t="shared" si="17"/>
        <v>2257558</v>
      </c>
      <c r="O38" s="953">
        <f>IF(J38=0,"",N38/J38*100)</f>
        <v>99.46416298045574</v>
      </c>
      <c r="P38" s="954">
        <f t="shared" si="2"/>
        <v>117.12107959255881</v>
      </c>
    </row>
    <row r="39" spans="1:16" ht="12.95" customHeight="1" thickBot="1">
      <c r="B39" s="16"/>
      <c r="C39" s="17"/>
      <c r="D39" s="17"/>
      <c r="E39" s="17"/>
      <c r="F39" s="178"/>
      <c r="G39" s="197"/>
      <c r="H39" s="17"/>
      <c r="I39" s="31"/>
      <c r="J39" s="31"/>
      <c r="K39" s="725"/>
      <c r="L39" s="371"/>
      <c r="M39" s="31"/>
      <c r="N39" s="814"/>
      <c r="O39" s="957"/>
      <c r="P39" s="958" t="str">
        <f t="shared" si="2"/>
        <v/>
      </c>
    </row>
    <row r="40" spans="1:16" ht="12.95" customHeight="1">
      <c r="F40" s="179"/>
      <c r="G40" s="198"/>
      <c r="I40" s="53"/>
      <c r="J40" s="53"/>
      <c r="K40" s="53"/>
      <c r="L40" s="864"/>
      <c r="M40" s="53"/>
      <c r="N40" s="254"/>
      <c r="P40" s="214" t="str">
        <f t="shared" si="2"/>
        <v/>
      </c>
    </row>
    <row r="41" spans="1:16" ht="12.95" customHeight="1">
      <c r="F41" s="179"/>
      <c r="G41" s="198"/>
      <c r="N41" s="254"/>
      <c r="P41" s="214" t="str">
        <f t="shared" si="2"/>
        <v/>
      </c>
    </row>
    <row r="42" spans="1:16" ht="12.95" customHeight="1">
      <c r="F42" s="179"/>
      <c r="G42" s="198"/>
      <c r="N42" s="254"/>
      <c r="P42" s="214" t="str">
        <f t="shared" si="2"/>
        <v/>
      </c>
    </row>
    <row r="43" spans="1:16" ht="12.95" customHeight="1">
      <c r="F43" s="179"/>
      <c r="G43" s="198"/>
      <c r="N43" s="254"/>
      <c r="P43" s="214" t="str">
        <f t="shared" si="2"/>
        <v/>
      </c>
    </row>
    <row r="44" spans="1:16" ht="12.95" customHeight="1">
      <c r="F44" s="179"/>
      <c r="G44" s="198"/>
      <c r="N44" s="254"/>
      <c r="P44" s="214" t="str">
        <f t="shared" si="2"/>
        <v/>
      </c>
    </row>
    <row r="45" spans="1:16" ht="12.95" customHeight="1">
      <c r="F45" s="179"/>
      <c r="G45" s="198"/>
      <c r="N45" s="254"/>
      <c r="P45" s="214" t="str">
        <f t="shared" si="2"/>
        <v/>
      </c>
    </row>
    <row r="46" spans="1:16" ht="12.95" customHeight="1">
      <c r="F46" s="179"/>
      <c r="G46" s="198"/>
      <c r="N46" s="254"/>
      <c r="P46" s="214" t="str">
        <f t="shared" si="2"/>
        <v/>
      </c>
    </row>
    <row r="47" spans="1:16" ht="12.95" customHeight="1">
      <c r="F47" s="179"/>
      <c r="G47" s="198"/>
      <c r="N47" s="254"/>
      <c r="P47" s="214" t="str">
        <f t="shared" si="2"/>
        <v/>
      </c>
    </row>
    <row r="48" spans="1:16" ht="12.95" customHeight="1">
      <c r="F48" s="179"/>
      <c r="G48" s="198"/>
      <c r="N48" s="254"/>
      <c r="P48" s="214" t="str">
        <f t="shared" si="2"/>
        <v/>
      </c>
    </row>
    <row r="49" spans="6:16" ht="12.95" customHeight="1">
      <c r="F49" s="179"/>
      <c r="G49" s="198"/>
      <c r="N49" s="254"/>
      <c r="P49" s="214" t="str">
        <f t="shared" si="2"/>
        <v/>
      </c>
    </row>
    <row r="50" spans="6:16" ht="12.95" customHeight="1">
      <c r="F50" s="179"/>
      <c r="G50" s="198"/>
      <c r="N50" s="254"/>
      <c r="P50" s="214" t="str">
        <f t="shared" si="2"/>
        <v/>
      </c>
    </row>
    <row r="51" spans="6:16" ht="12.95" customHeight="1">
      <c r="F51" s="179"/>
      <c r="G51" s="198"/>
      <c r="N51" s="254"/>
      <c r="P51" s="214" t="str">
        <f t="shared" si="2"/>
        <v/>
      </c>
    </row>
    <row r="52" spans="6:16" ht="12.95" customHeight="1">
      <c r="F52" s="179"/>
      <c r="G52" s="198"/>
      <c r="N52" s="254"/>
      <c r="P52" s="214" t="str">
        <f t="shared" si="2"/>
        <v/>
      </c>
    </row>
    <row r="53" spans="6:16" ht="12.95" customHeight="1">
      <c r="F53" s="179"/>
      <c r="G53" s="198"/>
      <c r="N53" s="254"/>
      <c r="P53" s="214" t="str">
        <f t="shared" si="2"/>
        <v/>
      </c>
    </row>
    <row r="54" spans="6:16" ht="12.95" customHeight="1">
      <c r="F54" s="179"/>
      <c r="G54" s="198"/>
      <c r="N54" s="254"/>
    </row>
    <row r="55" spans="6:16" ht="12.95" customHeight="1">
      <c r="F55" s="179"/>
      <c r="G55" s="198"/>
      <c r="N55" s="254"/>
    </row>
    <row r="56" spans="6:16" ht="12.95" customHeight="1">
      <c r="F56" s="179"/>
      <c r="G56" s="198"/>
      <c r="N56" s="254"/>
    </row>
    <row r="57" spans="6:16" ht="12.95" customHeight="1">
      <c r="F57" s="179"/>
      <c r="G57" s="198"/>
      <c r="N57" s="254"/>
    </row>
    <row r="58" spans="6:16" ht="12.95" customHeight="1">
      <c r="F58" s="179"/>
      <c r="G58" s="198"/>
      <c r="N58" s="254"/>
    </row>
    <row r="59" spans="6:16" ht="12.95" customHeight="1">
      <c r="F59" s="179"/>
      <c r="G59" s="198"/>
      <c r="N59" s="254"/>
    </row>
    <row r="60" spans="6:16" ht="17.100000000000001" customHeight="1">
      <c r="F60" s="179"/>
      <c r="G60" s="198"/>
      <c r="N60" s="254"/>
    </row>
    <row r="61" spans="6:16" ht="14.25">
      <c r="F61" s="179"/>
      <c r="G61" s="198"/>
      <c r="N61" s="254"/>
    </row>
    <row r="62" spans="6:16" ht="14.25">
      <c r="F62" s="179"/>
      <c r="G62" s="198"/>
      <c r="N62" s="254"/>
    </row>
    <row r="63" spans="6:16" ht="14.25">
      <c r="F63" s="179"/>
      <c r="G63" s="198"/>
      <c r="N63" s="254"/>
    </row>
    <row r="64" spans="6:16" ht="14.25">
      <c r="F64" s="179"/>
      <c r="G64" s="198"/>
      <c r="N64" s="254"/>
    </row>
    <row r="65" spans="6:14" ht="14.25">
      <c r="F65" s="179"/>
      <c r="G65" s="198"/>
      <c r="N65" s="254"/>
    </row>
    <row r="66" spans="6:14" ht="14.25">
      <c r="F66" s="179"/>
      <c r="G66" s="198"/>
      <c r="N66" s="254"/>
    </row>
    <row r="67" spans="6:14" ht="14.25">
      <c r="F67" s="179"/>
      <c r="G67" s="198"/>
      <c r="N67" s="254"/>
    </row>
    <row r="68" spans="6:14" ht="14.25">
      <c r="F68" s="179"/>
      <c r="G68" s="198"/>
      <c r="N68" s="254"/>
    </row>
    <row r="69" spans="6:14" ht="14.25">
      <c r="F69" s="179"/>
      <c r="G69" s="198"/>
      <c r="N69" s="254"/>
    </row>
    <row r="70" spans="6:14" ht="14.25">
      <c r="F70" s="179"/>
      <c r="G70" s="198"/>
      <c r="N70" s="254"/>
    </row>
    <row r="71" spans="6:14" ht="14.25">
      <c r="F71" s="179"/>
      <c r="G71" s="198"/>
      <c r="N71" s="254"/>
    </row>
    <row r="72" spans="6:14" ht="14.25">
      <c r="F72" s="179"/>
      <c r="G72" s="198"/>
      <c r="N72" s="254"/>
    </row>
    <row r="73" spans="6:14" ht="14.25">
      <c r="F73" s="179"/>
      <c r="G73" s="198"/>
      <c r="N73" s="254"/>
    </row>
    <row r="74" spans="6:14" ht="14.25">
      <c r="F74" s="179"/>
      <c r="G74" s="179"/>
      <c r="N74" s="254"/>
    </row>
    <row r="75" spans="6:14" ht="14.25">
      <c r="F75" s="179"/>
      <c r="G75" s="179"/>
      <c r="N75" s="254"/>
    </row>
    <row r="76" spans="6:14" ht="14.25">
      <c r="F76" s="179"/>
      <c r="G76" s="179"/>
      <c r="N76" s="254"/>
    </row>
    <row r="77" spans="6:14" ht="14.25">
      <c r="F77" s="179"/>
      <c r="G77" s="179"/>
      <c r="N77" s="254"/>
    </row>
    <row r="78" spans="6:14" ht="14.25">
      <c r="F78" s="179"/>
      <c r="G78" s="179"/>
      <c r="N78" s="254"/>
    </row>
    <row r="79" spans="6:14" ht="14.25">
      <c r="F79" s="179"/>
      <c r="G79" s="179"/>
      <c r="N79" s="254"/>
    </row>
    <row r="80" spans="6:14" ht="14.25">
      <c r="F80" s="179"/>
      <c r="G80" s="179"/>
      <c r="N80" s="254"/>
    </row>
    <row r="81" spans="6:14" ht="14.25">
      <c r="F81" s="179"/>
      <c r="G81" s="179"/>
      <c r="N81" s="254"/>
    </row>
    <row r="82" spans="6:14" ht="14.25">
      <c r="F82" s="179"/>
      <c r="G82" s="179"/>
      <c r="N82" s="254"/>
    </row>
    <row r="83" spans="6:14" ht="14.25">
      <c r="F83" s="179"/>
      <c r="G83" s="179"/>
      <c r="N83" s="254"/>
    </row>
    <row r="84" spans="6:14" ht="14.25">
      <c r="F84" s="179"/>
      <c r="G84" s="179"/>
      <c r="N84" s="254"/>
    </row>
    <row r="85" spans="6:14" ht="14.25">
      <c r="F85" s="179"/>
      <c r="G85" s="179"/>
      <c r="N85" s="254"/>
    </row>
    <row r="86" spans="6:14" ht="14.25">
      <c r="F86" s="179"/>
      <c r="G86" s="179"/>
      <c r="N86" s="254"/>
    </row>
    <row r="87" spans="6:14" ht="14.25">
      <c r="F87" s="179"/>
      <c r="G87" s="179"/>
      <c r="N87" s="254"/>
    </row>
    <row r="88" spans="6:14" ht="14.25">
      <c r="F88" s="179"/>
      <c r="G88" s="179"/>
      <c r="N88" s="254"/>
    </row>
    <row r="89" spans="6:14" ht="14.25">
      <c r="F89" s="179"/>
      <c r="G89" s="179"/>
      <c r="N89" s="254"/>
    </row>
    <row r="90" spans="6:14" ht="14.25">
      <c r="F90" s="179"/>
      <c r="G90" s="179"/>
      <c r="N90" s="254"/>
    </row>
    <row r="91" spans="6:14">
      <c r="G91" s="179"/>
    </row>
    <row r="92" spans="6:14">
      <c r="G92" s="179"/>
    </row>
    <row r="93" spans="6:14">
      <c r="G93" s="179"/>
    </row>
    <row r="94" spans="6:14">
      <c r="G94" s="179"/>
    </row>
    <row r="95" spans="6:14">
      <c r="G95" s="179"/>
    </row>
    <row r="96" spans="6:14">
      <c r="G96" s="179"/>
    </row>
  </sheetData>
  <mergeCells count="15">
    <mergeCell ref="P4:P5"/>
    <mergeCell ref="B2:P2"/>
    <mergeCell ref="K4:K5"/>
    <mergeCell ref="O4:O5"/>
    <mergeCell ref="H4:H5"/>
    <mergeCell ref="H3:I3"/>
    <mergeCell ref="L4:N4"/>
    <mergeCell ref="B4:B5"/>
    <mergeCell ref="C4:C5"/>
    <mergeCell ref="D4:D5"/>
    <mergeCell ref="G4:G5"/>
    <mergeCell ref="F4:F5"/>
    <mergeCell ref="I4:I5"/>
    <mergeCell ref="J4:J5"/>
    <mergeCell ref="E4:E5"/>
  </mergeCells>
  <phoneticPr fontId="2" type="noConversion"/>
  <pageMargins left="0.78740157480314965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sheetPr codeName="Sheet37"/>
  <dimension ref="A1:R96"/>
  <sheetViews>
    <sheetView zoomScaleNormal="100" workbookViewId="0">
      <selection activeCell="O32" sqref="O32"/>
    </sheetView>
  </sheetViews>
  <sheetFormatPr defaultColWidth="9.140625" defaultRowHeight="12.75"/>
  <cols>
    <col min="1" max="1" width="4.42578125" style="161" customWidth="1"/>
    <col min="2" max="2" width="4.7109375" style="9" customWidth="1"/>
    <col min="3" max="3" width="5.140625" style="9" customWidth="1"/>
    <col min="4" max="4" width="5" style="9" customWidth="1"/>
    <col min="5" max="5" width="5" style="161" customWidth="1"/>
    <col min="6" max="6" width="8.7109375" style="18" customWidth="1"/>
    <col min="7" max="7" width="8.7109375" style="166" customWidth="1"/>
    <col min="8" max="8" width="50.7109375" style="9" customWidth="1"/>
    <col min="9" max="10" width="14.7109375" style="9" customWidth="1"/>
    <col min="11" max="11" width="12.5703125" style="161" customWidth="1"/>
    <col min="12" max="13" width="14.7109375" style="161" customWidth="1"/>
    <col min="14" max="14" width="15.7109375" style="9" customWidth="1"/>
    <col min="15" max="16" width="7.7109375" style="214" customWidth="1"/>
    <col min="17" max="16384" width="9.140625" style="9"/>
  </cols>
  <sheetData>
    <row r="1" spans="1:18" ht="13.5" thickBot="1"/>
    <row r="2" spans="1:18" s="244" customFormat="1" ht="20.100000000000001" customHeight="1" thickTop="1" thickBot="1">
      <c r="B2" s="1034" t="s">
        <v>651</v>
      </c>
      <c r="C2" s="1035"/>
      <c r="D2" s="1035"/>
      <c r="E2" s="1035"/>
      <c r="F2" s="1035"/>
      <c r="G2" s="1035"/>
      <c r="H2" s="1035"/>
      <c r="I2" s="1035"/>
      <c r="J2" s="1035"/>
      <c r="K2" s="1035"/>
      <c r="L2" s="1035"/>
      <c r="M2" s="1035"/>
      <c r="N2" s="1035"/>
      <c r="O2" s="1057"/>
      <c r="P2" s="1036"/>
    </row>
    <row r="3" spans="1:18" s="1" customFormat="1" ht="8.1" customHeight="1" thickTop="1" thickBot="1">
      <c r="A3" s="158"/>
      <c r="E3" s="158"/>
      <c r="F3" s="2"/>
      <c r="G3" s="159"/>
      <c r="H3" s="1039"/>
      <c r="I3" s="1039"/>
      <c r="J3" s="139"/>
      <c r="K3" s="721"/>
      <c r="L3" s="74"/>
      <c r="M3" s="74"/>
      <c r="N3" s="74"/>
      <c r="O3" s="208"/>
      <c r="P3" s="208"/>
    </row>
    <row r="4" spans="1:18" s="1" customFormat="1" ht="39" customHeight="1">
      <c r="A4" s="158"/>
      <c r="B4" s="1043" t="s">
        <v>76</v>
      </c>
      <c r="C4" s="1045" t="s">
        <v>77</v>
      </c>
      <c r="D4" s="1047" t="s">
        <v>102</v>
      </c>
      <c r="E4" s="1062" t="s">
        <v>692</v>
      </c>
      <c r="F4" s="1058" t="s">
        <v>466</v>
      </c>
      <c r="G4" s="1048" t="s">
        <v>493</v>
      </c>
      <c r="H4" s="1050" t="s">
        <v>78</v>
      </c>
      <c r="I4" s="1059" t="s">
        <v>901</v>
      </c>
      <c r="J4" s="1068" t="s">
        <v>813</v>
      </c>
      <c r="K4" s="1037" t="s">
        <v>906</v>
      </c>
      <c r="L4" s="1040" t="s">
        <v>905</v>
      </c>
      <c r="M4" s="1041"/>
      <c r="N4" s="1042"/>
      <c r="O4" s="1054" t="s">
        <v>945</v>
      </c>
      <c r="P4" s="1032" t="s">
        <v>946</v>
      </c>
      <c r="R4" s="61"/>
    </row>
    <row r="5" spans="1:18" s="158" customFormat="1" ht="27" customHeight="1">
      <c r="B5" s="1044"/>
      <c r="C5" s="1046"/>
      <c r="D5" s="1046"/>
      <c r="E5" s="1049"/>
      <c r="F5" s="1051"/>
      <c r="G5" s="1049"/>
      <c r="H5" s="1051"/>
      <c r="I5" s="1051"/>
      <c r="J5" s="1051"/>
      <c r="K5" s="1038"/>
      <c r="L5" s="373" t="s">
        <v>526</v>
      </c>
      <c r="M5" s="242" t="s">
        <v>527</v>
      </c>
      <c r="N5" s="764" t="s">
        <v>319</v>
      </c>
      <c r="O5" s="1055"/>
      <c r="P5" s="1033"/>
    </row>
    <row r="6" spans="1:18" s="2" customFormat="1" ht="12.95" customHeight="1">
      <c r="A6" s="159"/>
      <c r="B6" s="328">
        <v>1</v>
      </c>
      <c r="C6" s="195">
        <v>2</v>
      </c>
      <c r="D6" s="195">
        <v>3</v>
      </c>
      <c r="E6" s="195">
        <v>4</v>
      </c>
      <c r="F6" s="195">
        <v>5</v>
      </c>
      <c r="G6" s="195">
        <v>6</v>
      </c>
      <c r="H6" s="195">
        <v>7</v>
      </c>
      <c r="I6" s="195">
        <v>8</v>
      </c>
      <c r="J6" s="195">
        <v>9</v>
      </c>
      <c r="K6" s="188">
        <v>10</v>
      </c>
      <c r="L6" s="328">
        <v>11</v>
      </c>
      <c r="M6" s="195">
        <v>12</v>
      </c>
      <c r="N6" s="810" t="s">
        <v>694</v>
      </c>
      <c r="O6" s="929" t="s">
        <v>814</v>
      </c>
      <c r="P6" s="930" t="s">
        <v>944</v>
      </c>
    </row>
    <row r="7" spans="1:18" s="2" customFormat="1" ht="12.95" customHeight="1">
      <c r="A7" s="159"/>
      <c r="B7" s="6" t="s">
        <v>132</v>
      </c>
      <c r="C7" s="7" t="s">
        <v>79</v>
      </c>
      <c r="D7" s="7" t="s">
        <v>80</v>
      </c>
      <c r="E7" s="415" t="s">
        <v>699</v>
      </c>
      <c r="F7" s="5"/>
      <c r="G7" s="160"/>
      <c r="H7" s="5"/>
      <c r="I7" s="366"/>
      <c r="J7" s="160"/>
      <c r="K7" s="173"/>
      <c r="L7" s="4"/>
      <c r="M7" s="160"/>
      <c r="N7" s="811"/>
      <c r="O7" s="951"/>
      <c r="P7" s="952"/>
    </row>
    <row r="8" spans="1:18" s="1" customFormat="1" ht="12.95" customHeight="1">
      <c r="A8" s="158"/>
      <c r="B8" s="12"/>
      <c r="C8" s="8"/>
      <c r="D8" s="8"/>
      <c r="E8" s="8"/>
      <c r="F8" s="176">
        <v>611000</v>
      </c>
      <c r="G8" s="195"/>
      <c r="H8" s="25" t="s">
        <v>140</v>
      </c>
      <c r="I8" s="236">
        <f t="shared" ref="I8:N8" si="0">SUM(I9:I11)</f>
        <v>107360</v>
      </c>
      <c r="J8" s="236">
        <f t="shared" si="0"/>
        <v>107360</v>
      </c>
      <c r="K8" s="226">
        <f t="shared" si="0"/>
        <v>87780</v>
      </c>
      <c r="L8" s="482">
        <f t="shared" si="0"/>
        <v>107024</v>
      </c>
      <c r="M8" s="236">
        <f t="shared" si="0"/>
        <v>0</v>
      </c>
      <c r="N8" s="812">
        <f t="shared" si="0"/>
        <v>107024</v>
      </c>
      <c r="O8" s="953">
        <f t="shared" ref="O8:O31" si="1">IF(J8=0,"",N8/J8*100)</f>
        <v>99.687034277198222</v>
      </c>
      <c r="P8" s="954">
        <f>IF(K8=0,"",N8/K8*100)</f>
        <v>121.92298929141035</v>
      </c>
    </row>
    <row r="9" spans="1:18" ht="12.95" customHeight="1">
      <c r="B9" s="10"/>
      <c r="C9" s="11"/>
      <c r="D9" s="11"/>
      <c r="E9" s="163"/>
      <c r="F9" s="177">
        <v>611100</v>
      </c>
      <c r="G9" s="196"/>
      <c r="H9" s="428" t="s">
        <v>161</v>
      </c>
      <c r="I9" s="235">
        <f>88910</f>
        <v>88910</v>
      </c>
      <c r="J9" s="235">
        <f>88910</f>
        <v>88910</v>
      </c>
      <c r="K9" s="225">
        <v>76107</v>
      </c>
      <c r="L9" s="357">
        <v>88794</v>
      </c>
      <c r="M9" s="235">
        <v>0</v>
      </c>
      <c r="N9" s="813">
        <f>SUM(L9:M9)</f>
        <v>88794</v>
      </c>
      <c r="O9" s="955">
        <f t="shared" si="1"/>
        <v>99.869530986390728</v>
      </c>
      <c r="P9" s="956">
        <f t="shared" ref="P9:P53" si="2">IF(K9=0,"",N9/K9*100)</f>
        <v>116.66995151562931</v>
      </c>
    </row>
    <row r="10" spans="1:18" ht="12.95" customHeight="1">
      <c r="B10" s="10"/>
      <c r="C10" s="11"/>
      <c r="D10" s="11"/>
      <c r="E10" s="163"/>
      <c r="F10" s="177">
        <v>611200</v>
      </c>
      <c r="G10" s="196"/>
      <c r="H10" s="24" t="s">
        <v>162</v>
      </c>
      <c r="I10" s="235">
        <f>16050+300+3*700</f>
        <v>18450</v>
      </c>
      <c r="J10" s="235">
        <f>16050+300+3*700</f>
        <v>18450</v>
      </c>
      <c r="K10" s="225">
        <v>11673</v>
      </c>
      <c r="L10" s="357">
        <v>18230</v>
      </c>
      <c r="M10" s="235">
        <v>0</v>
      </c>
      <c r="N10" s="813">
        <f t="shared" ref="N10:N11" si="3">SUM(L10:M10)</f>
        <v>18230</v>
      </c>
      <c r="O10" s="955">
        <f t="shared" si="1"/>
        <v>98.807588075880759</v>
      </c>
      <c r="P10" s="956">
        <f t="shared" si="2"/>
        <v>156.1723635740598</v>
      </c>
    </row>
    <row r="11" spans="1:18" ht="12.95" customHeight="1">
      <c r="B11" s="10"/>
      <c r="C11" s="11"/>
      <c r="D11" s="11"/>
      <c r="E11" s="163"/>
      <c r="F11" s="177">
        <v>611200</v>
      </c>
      <c r="G11" s="196"/>
      <c r="H11" s="435" t="s">
        <v>434</v>
      </c>
      <c r="I11" s="235">
        <v>0</v>
      </c>
      <c r="J11" s="235">
        <v>0</v>
      </c>
      <c r="K11" s="225">
        <v>0</v>
      </c>
      <c r="L11" s="357">
        <v>0</v>
      </c>
      <c r="M11" s="235">
        <v>0</v>
      </c>
      <c r="N11" s="813">
        <f t="shared" si="3"/>
        <v>0</v>
      </c>
      <c r="O11" s="955" t="str">
        <f t="shared" si="1"/>
        <v/>
      </c>
      <c r="P11" s="956" t="str">
        <f t="shared" si="2"/>
        <v/>
      </c>
      <c r="R11" s="50"/>
    </row>
    <row r="12" spans="1:18" ht="12.95" customHeight="1">
      <c r="B12" s="10"/>
      <c r="C12" s="11"/>
      <c r="D12" s="11"/>
      <c r="E12" s="163"/>
      <c r="F12" s="177"/>
      <c r="G12" s="196"/>
      <c r="H12" s="24"/>
      <c r="I12" s="235"/>
      <c r="J12" s="235"/>
      <c r="K12" s="225"/>
      <c r="L12" s="357"/>
      <c r="M12" s="235"/>
      <c r="N12" s="813"/>
      <c r="O12" s="955" t="str">
        <f t="shared" si="1"/>
        <v/>
      </c>
      <c r="P12" s="956" t="str">
        <f t="shared" si="2"/>
        <v/>
      </c>
    </row>
    <row r="13" spans="1:18" ht="12.95" customHeight="1">
      <c r="B13" s="12"/>
      <c r="C13" s="8"/>
      <c r="D13" s="8"/>
      <c r="E13" s="8"/>
      <c r="F13" s="176">
        <v>612000</v>
      </c>
      <c r="G13" s="195"/>
      <c r="H13" s="25" t="s">
        <v>139</v>
      </c>
      <c r="I13" s="236">
        <f t="shared" ref="I13:N13" si="4">I14</f>
        <v>8860</v>
      </c>
      <c r="J13" s="236">
        <f t="shared" si="4"/>
        <v>8860</v>
      </c>
      <c r="K13" s="226">
        <f t="shared" si="4"/>
        <v>8170</v>
      </c>
      <c r="L13" s="482">
        <f t="shared" si="4"/>
        <v>8808</v>
      </c>
      <c r="M13" s="236">
        <f t="shared" si="4"/>
        <v>0</v>
      </c>
      <c r="N13" s="812">
        <f t="shared" si="4"/>
        <v>8808</v>
      </c>
      <c r="O13" s="953">
        <f t="shared" si="1"/>
        <v>99.413092550790068</v>
      </c>
      <c r="P13" s="954">
        <f t="shared" si="2"/>
        <v>107.80905752753978</v>
      </c>
    </row>
    <row r="14" spans="1:18" s="1" customFormat="1" ht="12.95" customHeight="1">
      <c r="A14" s="158"/>
      <c r="B14" s="10"/>
      <c r="C14" s="11"/>
      <c r="D14" s="11"/>
      <c r="E14" s="163"/>
      <c r="F14" s="177">
        <v>612100</v>
      </c>
      <c r="G14" s="196"/>
      <c r="H14" s="430" t="s">
        <v>81</v>
      </c>
      <c r="I14" s="235">
        <f>8860</f>
        <v>8860</v>
      </c>
      <c r="J14" s="235">
        <f>8860</f>
        <v>8860</v>
      </c>
      <c r="K14" s="225">
        <v>8170</v>
      </c>
      <c r="L14" s="357">
        <v>8808</v>
      </c>
      <c r="M14" s="235">
        <v>0</v>
      </c>
      <c r="N14" s="813">
        <f>SUM(L14:M14)</f>
        <v>8808</v>
      </c>
      <c r="O14" s="955">
        <f t="shared" si="1"/>
        <v>99.413092550790068</v>
      </c>
      <c r="P14" s="956">
        <f t="shared" si="2"/>
        <v>107.80905752753978</v>
      </c>
    </row>
    <row r="15" spans="1:18" ht="12.95" customHeight="1">
      <c r="B15" s="10"/>
      <c r="C15" s="11"/>
      <c r="D15" s="11"/>
      <c r="E15" s="163"/>
      <c r="F15" s="177"/>
      <c r="G15" s="196"/>
      <c r="H15" s="24"/>
      <c r="I15" s="231"/>
      <c r="J15" s="231"/>
      <c r="K15" s="220"/>
      <c r="L15" s="358"/>
      <c r="M15" s="231"/>
      <c r="N15" s="776"/>
      <c r="O15" s="955" t="str">
        <f t="shared" si="1"/>
        <v/>
      </c>
      <c r="P15" s="956" t="str">
        <f t="shared" si="2"/>
        <v/>
      </c>
    </row>
    <row r="16" spans="1:18" ht="12.95" customHeight="1">
      <c r="B16" s="12"/>
      <c r="C16" s="8"/>
      <c r="D16" s="8"/>
      <c r="E16" s="8"/>
      <c r="F16" s="176">
        <v>613000</v>
      </c>
      <c r="G16" s="195"/>
      <c r="H16" s="25" t="s">
        <v>141</v>
      </c>
      <c r="I16" s="234">
        <f t="shared" ref="I16:N16" si="5">SUM(I17:I26)</f>
        <v>26700</v>
      </c>
      <c r="J16" s="234">
        <f t="shared" si="5"/>
        <v>26700</v>
      </c>
      <c r="K16" s="221">
        <f t="shared" si="5"/>
        <v>21770</v>
      </c>
      <c r="L16" s="483">
        <f t="shared" si="5"/>
        <v>23750</v>
      </c>
      <c r="M16" s="234">
        <f t="shared" si="5"/>
        <v>0</v>
      </c>
      <c r="N16" s="774">
        <f t="shared" si="5"/>
        <v>23750</v>
      </c>
      <c r="O16" s="953">
        <f t="shared" si="1"/>
        <v>88.95131086142321</v>
      </c>
      <c r="P16" s="954">
        <f t="shared" si="2"/>
        <v>109.09508497932936</v>
      </c>
    </row>
    <row r="17" spans="1:16" s="1" customFormat="1" ht="12.95" customHeight="1">
      <c r="A17" s="158"/>
      <c r="B17" s="10"/>
      <c r="C17" s="11"/>
      <c r="D17" s="11"/>
      <c r="E17" s="163"/>
      <c r="F17" s="177">
        <v>613100</v>
      </c>
      <c r="G17" s="196"/>
      <c r="H17" s="24" t="s">
        <v>82</v>
      </c>
      <c r="I17" s="235">
        <v>100</v>
      </c>
      <c r="J17" s="235">
        <v>100</v>
      </c>
      <c r="K17" s="225">
        <v>0</v>
      </c>
      <c r="L17" s="357">
        <v>0</v>
      </c>
      <c r="M17" s="235">
        <v>0</v>
      </c>
      <c r="N17" s="813">
        <f t="shared" ref="N17:N26" si="6">SUM(L17:M17)</f>
        <v>0</v>
      </c>
      <c r="O17" s="955">
        <f t="shared" si="1"/>
        <v>0</v>
      </c>
      <c r="P17" s="956" t="str">
        <f t="shared" si="2"/>
        <v/>
      </c>
    </row>
    <row r="18" spans="1:16" ht="12.95" customHeight="1">
      <c r="B18" s="10"/>
      <c r="C18" s="11"/>
      <c r="D18" s="11"/>
      <c r="E18" s="163"/>
      <c r="F18" s="177">
        <v>613200</v>
      </c>
      <c r="G18" s="196"/>
      <c r="H18" s="24" t="s">
        <v>83</v>
      </c>
      <c r="I18" s="235">
        <v>9000</v>
      </c>
      <c r="J18" s="235">
        <v>9000</v>
      </c>
      <c r="K18" s="225">
        <v>5320</v>
      </c>
      <c r="L18" s="357">
        <v>8118</v>
      </c>
      <c r="M18" s="235">
        <v>0</v>
      </c>
      <c r="N18" s="813">
        <f t="shared" si="6"/>
        <v>8118</v>
      </c>
      <c r="O18" s="955">
        <f t="shared" si="1"/>
        <v>90.2</v>
      </c>
      <c r="P18" s="956">
        <f t="shared" si="2"/>
        <v>152.59398496240601</v>
      </c>
    </row>
    <row r="19" spans="1:16" ht="12.95" customHeight="1">
      <c r="B19" s="10"/>
      <c r="C19" s="11"/>
      <c r="D19" s="11"/>
      <c r="E19" s="163"/>
      <c r="F19" s="177">
        <v>613300</v>
      </c>
      <c r="G19" s="196"/>
      <c r="H19" s="428" t="s">
        <v>163</v>
      </c>
      <c r="I19" s="235">
        <v>2800</v>
      </c>
      <c r="J19" s="235">
        <v>2800</v>
      </c>
      <c r="K19" s="225">
        <v>2581</v>
      </c>
      <c r="L19" s="357">
        <v>2607</v>
      </c>
      <c r="M19" s="235">
        <v>0</v>
      </c>
      <c r="N19" s="813">
        <f t="shared" si="6"/>
        <v>2607</v>
      </c>
      <c r="O19" s="955">
        <f t="shared" si="1"/>
        <v>93.107142857142861</v>
      </c>
      <c r="P19" s="956">
        <f t="shared" si="2"/>
        <v>101.00736148779544</v>
      </c>
    </row>
    <row r="20" spans="1:16" ht="12.95" customHeight="1">
      <c r="B20" s="10"/>
      <c r="C20" s="11"/>
      <c r="D20" s="11"/>
      <c r="E20" s="163"/>
      <c r="F20" s="177">
        <v>613400</v>
      </c>
      <c r="G20" s="196"/>
      <c r="H20" s="24" t="s">
        <v>142</v>
      </c>
      <c r="I20" s="235">
        <v>1000</v>
      </c>
      <c r="J20" s="235">
        <v>1000</v>
      </c>
      <c r="K20" s="225">
        <v>971</v>
      </c>
      <c r="L20" s="357">
        <v>990</v>
      </c>
      <c r="M20" s="235">
        <v>0</v>
      </c>
      <c r="N20" s="813">
        <f t="shared" si="6"/>
        <v>990</v>
      </c>
      <c r="O20" s="955">
        <f t="shared" si="1"/>
        <v>99</v>
      </c>
      <c r="P20" s="956">
        <f t="shared" si="2"/>
        <v>101.956745623069</v>
      </c>
    </row>
    <row r="21" spans="1:16" ht="12.95" customHeight="1">
      <c r="B21" s="10"/>
      <c r="C21" s="11"/>
      <c r="D21" s="11"/>
      <c r="E21" s="163"/>
      <c r="F21" s="177">
        <v>613500</v>
      </c>
      <c r="G21" s="196"/>
      <c r="H21" s="24" t="s">
        <v>84</v>
      </c>
      <c r="I21" s="235">
        <v>0</v>
      </c>
      <c r="J21" s="235">
        <v>0</v>
      </c>
      <c r="K21" s="225">
        <v>0</v>
      </c>
      <c r="L21" s="357">
        <v>0</v>
      </c>
      <c r="M21" s="235">
        <v>0</v>
      </c>
      <c r="N21" s="813">
        <f t="shared" si="6"/>
        <v>0</v>
      </c>
      <c r="O21" s="955" t="str">
        <f t="shared" si="1"/>
        <v/>
      </c>
      <c r="P21" s="956" t="str">
        <f t="shared" si="2"/>
        <v/>
      </c>
    </row>
    <row r="22" spans="1:16" ht="12.95" customHeight="1">
      <c r="B22" s="10"/>
      <c r="C22" s="11"/>
      <c r="D22" s="11"/>
      <c r="E22" s="163"/>
      <c r="F22" s="177">
        <v>613600</v>
      </c>
      <c r="G22" s="196"/>
      <c r="H22" s="428" t="s">
        <v>164</v>
      </c>
      <c r="I22" s="235">
        <v>0</v>
      </c>
      <c r="J22" s="235">
        <v>0</v>
      </c>
      <c r="K22" s="225">
        <v>0</v>
      </c>
      <c r="L22" s="357">
        <v>0</v>
      </c>
      <c r="M22" s="235">
        <v>0</v>
      </c>
      <c r="N22" s="813">
        <f t="shared" si="6"/>
        <v>0</v>
      </c>
      <c r="O22" s="955" t="str">
        <f t="shared" si="1"/>
        <v/>
      </c>
      <c r="P22" s="956" t="str">
        <f t="shared" si="2"/>
        <v/>
      </c>
    </row>
    <row r="23" spans="1:16" ht="12.95" customHeight="1">
      <c r="B23" s="10"/>
      <c r="C23" s="11"/>
      <c r="D23" s="11"/>
      <c r="E23" s="163"/>
      <c r="F23" s="177">
        <v>613700</v>
      </c>
      <c r="G23" s="196"/>
      <c r="H23" s="24" t="s">
        <v>85</v>
      </c>
      <c r="I23" s="235">
        <v>800</v>
      </c>
      <c r="J23" s="235">
        <v>800</v>
      </c>
      <c r="K23" s="225">
        <v>558</v>
      </c>
      <c r="L23" s="357">
        <v>590</v>
      </c>
      <c r="M23" s="235">
        <v>0</v>
      </c>
      <c r="N23" s="813">
        <f t="shared" si="6"/>
        <v>590</v>
      </c>
      <c r="O23" s="955">
        <f t="shared" si="1"/>
        <v>73.75</v>
      </c>
      <c r="P23" s="956">
        <f t="shared" si="2"/>
        <v>105.73476702508961</v>
      </c>
    </row>
    <row r="24" spans="1:16" ht="12.95" customHeight="1">
      <c r="B24" s="10"/>
      <c r="C24" s="11"/>
      <c r="D24" s="11"/>
      <c r="E24" s="163"/>
      <c r="F24" s="177">
        <v>613800</v>
      </c>
      <c r="G24" s="196"/>
      <c r="H24" s="24" t="s">
        <v>143</v>
      </c>
      <c r="I24" s="235">
        <v>0</v>
      </c>
      <c r="J24" s="235">
        <v>0</v>
      </c>
      <c r="K24" s="225">
        <v>0</v>
      </c>
      <c r="L24" s="357">
        <v>0</v>
      </c>
      <c r="M24" s="235">
        <v>0</v>
      </c>
      <c r="N24" s="813">
        <f t="shared" si="6"/>
        <v>0</v>
      </c>
      <c r="O24" s="955" t="str">
        <f t="shared" si="1"/>
        <v/>
      </c>
      <c r="P24" s="956" t="str">
        <f t="shared" si="2"/>
        <v/>
      </c>
    </row>
    <row r="25" spans="1:16" ht="12.95" customHeight="1">
      <c r="B25" s="10"/>
      <c r="C25" s="11"/>
      <c r="D25" s="11"/>
      <c r="E25" s="163"/>
      <c r="F25" s="177">
        <v>613900</v>
      </c>
      <c r="G25" s="196"/>
      <c r="H25" s="24" t="s">
        <v>144</v>
      </c>
      <c r="I25" s="235">
        <v>13000</v>
      </c>
      <c r="J25" s="235">
        <v>13000</v>
      </c>
      <c r="K25" s="225">
        <v>12340</v>
      </c>
      <c r="L25" s="357">
        <v>11445</v>
      </c>
      <c r="M25" s="235">
        <v>0</v>
      </c>
      <c r="N25" s="813">
        <f t="shared" si="6"/>
        <v>11445</v>
      </c>
      <c r="O25" s="955">
        <f t="shared" si="1"/>
        <v>88.038461538461547</v>
      </c>
      <c r="P25" s="956">
        <f t="shared" si="2"/>
        <v>92.747163695299832</v>
      </c>
    </row>
    <row r="26" spans="1:16" ht="12.95" customHeight="1">
      <c r="B26" s="10"/>
      <c r="C26" s="11"/>
      <c r="D26" s="11"/>
      <c r="E26" s="163"/>
      <c r="F26" s="177">
        <v>613900</v>
      </c>
      <c r="G26" s="196"/>
      <c r="H26" s="435" t="s">
        <v>435</v>
      </c>
      <c r="I26" s="235">
        <v>0</v>
      </c>
      <c r="J26" s="235">
        <v>0</v>
      </c>
      <c r="K26" s="225">
        <v>0</v>
      </c>
      <c r="L26" s="357">
        <v>0</v>
      </c>
      <c r="M26" s="235">
        <v>0</v>
      </c>
      <c r="N26" s="813">
        <f t="shared" si="6"/>
        <v>0</v>
      </c>
      <c r="O26" s="955" t="str">
        <f t="shared" si="1"/>
        <v/>
      </c>
      <c r="P26" s="956" t="str">
        <f t="shared" si="2"/>
        <v/>
      </c>
    </row>
    <row r="27" spans="1:16" ht="12.95" customHeight="1">
      <c r="B27" s="12"/>
      <c r="C27" s="8"/>
      <c r="D27" s="8"/>
      <c r="E27" s="8"/>
      <c r="F27" s="176"/>
      <c r="G27" s="195"/>
      <c r="H27" s="25"/>
      <c r="I27" s="236"/>
      <c r="J27" s="236"/>
      <c r="K27" s="226"/>
      <c r="L27" s="482"/>
      <c r="M27" s="236"/>
      <c r="N27" s="774"/>
      <c r="O27" s="955" t="str">
        <f t="shared" si="1"/>
        <v/>
      </c>
      <c r="P27" s="956" t="str">
        <f t="shared" si="2"/>
        <v/>
      </c>
    </row>
    <row r="28" spans="1:16" ht="12.95" customHeight="1">
      <c r="B28" s="12"/>
      <c r="C28" s="8"/>
      <c r="D28" s="8"/>
      <c r="E28" s="8"/>
      <c r="F28" s="176">
        <v>821000</v>
      </c>
      <c r="G28" s="195"/>
      <c r="H28" s="25" t="s">
        <v>88</v>
      </c>
      <c r="I28" s="236">
        <f t="shared" ref="I28:N28" si="7">SUM(I29:I30)</f>
        <v>0</v>
      </c>
      <c r="J28" s="236">
        <f t="shared" si="7"/>
        <v>0</v>
      </c>
      <c r="K28" s="226">
        <f t="shared" si="7"/>
        <v>20949</v>
      </c>
      <c r="L28" s="482">
        <f t="shared" si="7"/>
        <v>0</v>
      </c>
      <c r="M28" s="236">
        <f t="shared" si="7"/>
        <v>0</v>
      </c>
      <c r="N28" s="774">
        <f t="shared" si="7"/>
        <v>0</v>
      </c>
      <c r="O28" s="953" t="str">
        <f t="shared" si="1"/>
        <v/>
      </c>
      <c r="P28" s="954">
        <f t="shared" si="2"/>
        <v>0</v>
      </c>
    </row>
    <row r="29" spans="1:16" s="1" customFormat="1" ht="12.95" customHeight="1">
      <c r="A29" s="158"/>
      <c r="B29" s="10"/>
      <c r="C29" s="11"/>
      <c r="D29" s="11"/>
      <c r="E29" s="163"/>
      <c r="F29" s="177">
        <v>821200</v>
      </c>
      <c r="G29" s="196"/>
      <c r="H29" s="24" t="s">
        <v>89</v>
      </c>
      <c r="I29" s="235">
        <v>0</v>
      </c>
      <c r="J29" s="235">
        <v>0</v>
      </c>
      <c r="K29" s="225">
        <v>20949</v>
      </c>
      <c r="L29" s="357">
        <v>0</v>
      </c>
      <c r="M29" s="235">
        <v>0</v>
      </c>
      <c r="N29" s="813">
        <f t="shared" ref="N29:N30" si="8">SUM(L29:M29)</f>
        <v>0</v>
      </c>
      <c r="O29" s="955" t="str">
        <f t="shared" si="1"/>
        <v/>
      </c>
      <c r="P29" s="956">
        <f t="shared" si="2"/>
        <v>0</v>
      </c>
    </row>
    <row r="30" spans="1:16" ht="12.95" customHeight="1">
      <c r="B30" s="10"/>
      <c r="C30" s="11"/>
      <c r="D30" s="11"/>
      <c r="E30" s="163"/>
      <c r="F30" s="177">
        <v>821300</v>
      </c>
      <c r="G30" s="196"/>
      <c r="H30" s="24" t="s">
        <v>90</v>
      </c>
      <c r="I30" s="235">
        <v>0</v>
      </c>
      <c r="J30" s="235">
        <v>0</v>
      </c>
      <c r="K30" s="225">
        <v>0</v>
      </c>
      <c r="L30" s="357">
        <v>0</v>
      </c>
      <c r="M30" s="235">
        <v>0</v>
      </c>
      <c r="N30" s="813">
        <f t="shared" si="8"/>
        <v>0</v>
      </c>
      <c r="O30" s="955" t="str">
        <f t="shared" si="1"/>
        <v/>
      </c>
      <c r="P30" s="956" t="str">
        <f t="shared" si="2"/>
        <v/>
      </c>
    </row>
    <row r="31" spans="1:16" ht="12.95" customHeight="1">
      <c r="B31" s="10"/>
      <c r="C31" s="11"/>
      <c r="D31" s="11"/>
      <c r="E31" s="163"/>
      <c r="F31" s="177"/>
      <c r="G31" s="196"/>
      <c r="H31" s="24"/>
      <c r="I31" s="235"/>
      <c r="J31" s="235"/>
      <c r="K31" s="225"/>
      <c r="L31" s="357"/>
      <c r="M31" s="235"/>
      <c r="N31" s="776"/>
      <c r="O31" s="955" t="str">
        <f t="shared" si="1"/>
        <v/>
      </c>
      <c r="P31" s="956" t="str">
        <f t="shared" si="2"/>
        <v/>
      </c>
    </row>
    <row r="32" spans="1:16" ht="12.95" customHeight="1">
      <c r="B32" s="12"/>
      <c r="C32" s="8"/>
      <c r="D32" s="8"/>
      <c r="E32" s="8"/>
      <c r="F32" s="176"/>
      <c r="G32" s="195"/>
      <c r="H32" s="25" t="s">
        <v>91</v>
      </c>
      <c r="I32" s="236">
        <v>3</v>
      </c>
      <c r="J32" s="236">
        <v>3</v>
      </c>
      <c r="K32" s="226">
        <v>3</v>
      </c>
      <c r="L32" s="482">
        <v>3</v>
      </c>
      <c r="M32" s="236"/>
      <c r="N32" s="774">
        <v>3</v>
      </c>
      <c r="O32" s="955"/>
      <c r="P32" s="956"/>
    </row>
    <row r="33" spans="1:16" s="1" customFormat="1" ht="12.95" customHeight="1">
      <c r="A33" s="158"/>
      <c r="B33" s="12"/>
      <c r="C33" s="8"/>
      <c r="D33" s="8"/>
      <c r="E33" s="8"/>
      <c r="F33" s="176"/>
      <c r="G33" s="195"/>
      <c r="H33" s="8" t="s">
        <v>105</v>
      </c>
      <c r="I33" s="367">
        <f t="shared" ref="I33:J33" si="9">I8+I13+I16+I28</f>
        <v>142920</v>
      </c>
      <c r="J33" s="165">
        <f t="shared" si="9"/>
        <v>142920</v>
      </c>
      <c r="K33" s="153">
        <f>K8+K13+K16+K28</f>
        <v>138669</v>
      </c>
      <c r="L33" s="370">
        <f>L8+L13+L16+L28</f>
        <v>139582</v>
      </c>
      <c r="M33" s="165">
        <f>M8+M13+M16+M28</f>
        <v>0</v>
      </c>
      <c r="N33" s="774">
        <f>N8+N13+N16+N28</f>
        <v>139582</v>
      </c>
      <c r="O33" s="953">
        <f>IF(J33=0,"",N33/J33*100)</f>
        <v>97.664427651833194</v>
      </c>
      <c r="P33" s="954">
        <f t="shared" si="2"/>
        <v>100.65840238265223</v>
      </c>
    </row>
    <row r="34" spans="1:16" s="1" customFormat="1" ht="12.95" customHeight="1">
      <c r="A34" s="158"/>
      <c r="B34" s="12"/>
      <c r="C34" s="8"/>
      <c r="D34" s="8"/>
      <c r="E34" s="8"/>
      <c r="F34" s="176"/>
      <c r="G34" s="195"/>
      <c r="H34" s="8" t="s">
        <v>92</v>
      </c>
      <c r="I34" s="15">
        <f t="shared" ref="I34:K34" si="10">I33</f>
        <v>142920</v>
      </c>
      <c r="J34" s="15">
        <f t="shared" si="10"/>
        <v>142920</v>
      </c>
      <c r="K34" s="153">
        <f t="shared" si="10"/>
        <v>138669</v>
      </c>
      <c r="L34" s="370">
        <f t="shared" ref="L34:N35" si="11">L33</f>
        <v>139582</v>
      </c>
      <c r="M34" s="165">
        <f t="shared" si="11"/>
        <v>0</v>
      </c>
      <c r="N34" s="774">
        <f t="shared" si="11"/>
        <v>139582</v>
      </c>
      <c r="O34" s="953">
        <f>IF(J34=0,"",N34/J34*100)</f>
        <v>97.664427651833194</v>
      </c>
      <c r="P34" s="954">
        <f t="shared" si="2"/>
        <v>100.65840238265223</v>
      </c>
    </row>
    <row r="35" spans="1:16" s="1" customFormat="1" ht="12.95" customHeight="1">
      <c r="A35" s="158"/>
      <c r="B35" s="12"/>
      <c r="C35" s="8"/>
      <c r="D35" s="8"/>
      <c r="E35" s="8"/>
      <c r="F35" s="176"/>
      <c r="G35" s="195"/>
      <c r="H35" s="8" t="s">
        <v>93</v>
      </c>
      <c r="I35" s="15">
        <f t="shared" ref="I35:K35" si="12">I34</f>
        <v>142920</v>
      </c>
      <c r="J35" s="15">
        <f t="shared" si="12"/>
        <v>142920</v>
      </c>
      <c r="K35" s="153">
        <f t="shared" si="12"/>
        <v>138669</v>
      </c>
      <c r="L35" s="370">
        <f t="shared" si="11"/>
        <v>139582</v>
      </c>
      <c r="M35" s="165">
        <f t="shared" si="11"/>
        <v>0</v>
      </c>
      <c r="N35" s="774">
        <f t="shared" si="11"/>
        <v>139582</v>
      </c>
      <c r="O35" s="953">
        <f>IF(J35=0,"",N35/J35*100)</f>
        <v>97.664427651833194</v>
      </c>
      <c r="P35" s="954">
        <f t="shared" si="2"/>
        <v>100.65840238265223</v>
      </c>
    </row>
    <row r="36" spans="1:16" s="1" customFormat="1" ht="12.95" customHeight="1" thickBot="1">
      <c r="A36" s="158"/>
      <c r="B36" s="16"/>
      <c r="C36" s="17"/>
      <c r="D36" s="17"/>
      <c r="E36" s="17"/>
      <c r="F36" s="178"/>
      <c r="G36" s="197"/>
      <c r="H36" s="17"/>
      <c r="I36" s="31"/>
      <c r="J36" s="31"/>
      <c r="K36" s="725"/>
      <c r="L36" s="371"/>
      <c r="M36" s="31"/>
      <c r="N36" s="814"/>
      <c r="O36" s="957"/>
      <c r="P36" s="958" t="str">
        <f t="shared" si="2"/>
        <v/>
      </c>
    </row>
    <row r="37" spans="1:16" ht="12.95" customHeight="1">
      <c r="F37" s="179"/>
      <c r="G37" s="198"/>
      <c r="L37" s="399"/>
      <c r="N37" s="253"/>
      <c r="P37" s="214" t="str">
        <f t="shared" si="2"/>
        <v/>
      </c>
    </row>
    <row r="38" spans="1:16" ht="12.95" customHeight="1">
      <c r="B38" s="45"/>
      <c r="F38" s="179"/>
      <c r="G38" s="198"/>
      <c r="N38" s="253"/>
      <c r="P38" s="214" t="str">
        <f t="shared" si="2"/>
        <v/>
      </c>
    </row>
    <row r="39" spans="1:16" ht="12.95" customHeight="1">
      <c r="B39" s="45"/>
      <c r="F39" s="179"/>
      <c r="G39" s="198"/>
      <c r="N39" s="253"/>
      <c r="P39" s="214" t="str">
        <f t="shared" si="2"/>
        <v/>
      </c>
    </row>
    <row r="40" spans="1:16" ht="12.95" customHeight="1">
      <c r="B40" s="45"/>
      <c r="F40" s="179"/>
      <c r="G40" s="198"/>
      <c r="N40" s="253"/>
      <c r="P40" s="214" t="str">
        <f t="shared" si="2"/>
        <v/>
      </c>
    </row>
    <row r="41" spans="1:16" ht="12.95" customHeight="1">
      <c r="B41" s="45"/>
      <c r="F41" s="179"/>
      <c r="G41" s="198"/>
      <c r="N41" s="253"/>
      <c r="P41" s="214" t="str">
        <f t="shared" si="2"/>
        <v/>
      </c>
    </row>
    <row r="42" spans="1:16" ht="12.95" customHeight="1">
      <c r="F42" s="179"/>
      <c r="G42" s="198"/>
      <c r="N42" s="253"/>
      <c r="P42" s="214" t="str">
        <f t="shared" si="2"/>
        <v/>
      </c>
    </row>
    <row r="43" spans="1:16" ht="12.95" customHeight="1">
      <c r="F43" s="179"/>
      <c r="G43" s="198"/>
      <c r="N43" s="253"/>
      <c r="P43" s="214" t="str">
        <f t="shared" si="2"/>
        <v/>
      </c>
    </row>
    <row r="44" spans="1:16" ht="12.95" customHeight="1">
      <c r="F44" s="179"/>
      <c r="G44" s="198"/>
      <c r="N44" s="253"/>
      <c r="P44" s="214" t="str">
        <f t="shared" si="2"/>
        <v/>
      </c>
    </row>
    <row r="45" spans="1:16" ht="12.95" customHeight="1">
      <c r="F45" s="179"/>
      <c r="G45" s="198"/>
      <c r="N45" s="253"/>
      <c r="P45" s="214" t="str">
        <f t="shared" si="2"/>
        <v/>
      </c>
    </row>
    <row r="46" spans="1:16" ht="12.95" customHeight="1">
      <c r="F46" s="179"/>
      <c r="G46" s="198"/>
      <c r="N46" s="253"/>
      <c r="P46" s="214" t="str">
        <f t="shared" si="2"/>
        <v/>
      </c>
    </row>
    <row r="47" spans="1:16" ht="12.95" customHeight="1">
      <c r="F47" s="179"/>
      <c r="G47" s="198"/>
      <c r="N47" s="253"/>
      <c r="P47" s="214" t="str">
        <f t="shared" si="2"/>
        <v/>
      </c>
    </row>
    <row r="48" spans="1:16" ht="12.95" customHeight="1">
      <c r="F48" s="179"/>
      <c r="G48" s="198"/>
      <c r="N48" s="253"/>
      <c r="P48" s="214" t="str">
        <f t="shared" si="2"/>
        <v/>
      </c>
    </row>
    <row r="49" spans="6:16" ht="12.95" customHeight="1">
      <c r="F49" s="179"/>
      <c r="G49" s="198"/>
      <c r="N49" s="253"/>
      <c r="P49" s="214" t="str">
        <f t="shared" si="2"/>
        <v/>
      </c>
    </row>
    <row r="50" spans="6:16" ht="12.95" customHeight="1">
      <c r="F50" s="179"/>
      <c r="G50" s="198"/>
      <c r="N50" s="253"/>
      <c r="P50" s="214" t="str">
        <f t="shared" si="2"/>
        <v/>
      </c>
    </row>
    <row r="51" spans="6:16" ht="12.95" customHeight="1">
      <c r="F51" s="179"/>
      <c r="G51" s="198"/>
      <c r="N51" s="253"/>
      <c r="P51" s="214" t="str">
        <f t="shared" si="2"/>
        <v/>
      </c>
    </row>
    <row r="52" spans="6:16" ht="12.95" customHeight="1">
      <c r="F52" s="179"/>
      <c r="G52" s="198"/>
      <c r="N52" s="253"/>
      <c r="P52" s="214" t="str">
        <f t="shared" si="2"/>
        <v/>
      </c>
    </row>
    <row r="53" spans="6:16" ht="12.95" customHeight="1">
      <c r="F53" s="179"/>
      <c r="G53" s="198"/>
      <c r="N53" s="253"/>
      <c r="P53" s="214" t="str">
        <f t="shared" si="2"/>
        <v/>
      </c>
    </row>
    <row r="54" spans="6:16" ht="12.95" customHeight="1">
      <c r="F54" s="179"/>
      <c r="G54" s="198"/>
      <c r="N54" s="253"/>
    </row>
    <row r="55" spans="6:16" ht="12.95" customHeight="1">
      <c r="F55" s="179"/>
      <c r="G55" s="198"/>
      <c r="N55" s="253"/>
    </row>
    <row r="56" spans="6:16" ht="12.95" customHeight="1">
      <c r="F56" s="179"/>
      <c r="G56" s="198"/>
      <c r="N56" s="253"/>
    </row>
    <row r="57" spans="6:16" ht="12.95" customHeight="1">
      <c r="F57" s="179"/>
      <c r="G57" s="198"/>
      <c r="N57" s="253"/>
    </row>
    <row r="58" spans="6:16" ht="12.95" customHeight="1">
      <c r="F58" s="179"/>
      <c r="G58" s="198"/>
      <c r="N58" s="253"/>
    </row>
    <row r="59" spans="6:16" ht="12.95" customHeight="1">
      <c r="F59" s="179"/>
      <c r="G59" s="198"/>
      <c r="N59" s="253"/>
    </row>
    <row r="60" spans="6:16" ht="17.100000000000001" customHeight="1">
      <c r="F60" s="179"/>
      <c r="G60" s="198"/>
      <c r="N60" s="253"/>
    </row>
    <row r="61" spans="6:16" ht="14.25">
      <c r="F61" s="179"/>
      <c r="G61" s="198"/>
      <c r="N61" s="253"/>
    </row>
    <row r="62" spans="6:16" ht="14.25">
      <c r="F62" s="179"/>
      <c r="G62" s="198"/>
      <c r="N62" s="253"/>
    </row>
    <row r="63" spans="6:16" ht="14.25">
      <c r="F63" s="179"/>
      <c r="G63" s="198"/>
      <c r="N63" s="253"/>
    </row>
    <row r="64" spans="6:16" ht="14.25">
      <c r="F64" s="179"/>
      <c r="G64" s="198"/>
      <c r="N64" s="253"/>
    </row>
    <row r="65" spans="6:14" ht="14.25">
      <c r="F65" s="179"/>
      <c r="G65" s="198"/>
      <c r="N65" s="253"/>
    </row>
    <row r="66" spans="6:14" ht="14.25">
      <c r="F66" s="179"/>
      <c r="G66" s="198"/>
      <c r="N66" s="253"/>
    </row>
    <row r="67" spans="6:14" ht="14.25">
      <c r="F67" s="179"/>
      <c r="G67" s="198"/>
      <c r="N67" s="253"/>
    </row>
    <row r="68" spans="6:14" ht="14.25">
      <c r="F68" s="179"/>
      <c r="G68" s="198"/>
      <c r="N68" s="253"/>
    </row>
    <row r="69" spans="6:14" ht="14.25">
      <c r="F69" s="179"/>
      <c r="G69" s="198"/>
      <c r="N69" s="253"/>
    </row>
    <row r="70" spans="6:14" ht="14.25">
      <c r="F70" s="179"/>
      <c r="G70" s="198"/>
      <c r="N70" s="253"/>
    </row>
    <row r="71" spans="6:14" ht="14.25">
      <c r="F71" s="179"/>
      <c r="G71" s="198"/>
      <c r="N71" s="253"/>
    </row>
    <row r="72" spans="6:14" ht="14.25">
      <c r="F72" s="179"/>
      <c r="G72" s="198"/>
      <c r="N72" s="253"/>
    </row>
    <row r="73" spans="6:14" ht="14.25">
      <c r="F73" s="179"/>
      <c r="G73" s="198"/>
      <c r="N73" s="253"/>
    </row>
    <row r="74" spans="6:14" ht="14.25">
      <c r="F74" s="179"/>
      <c r="G74" s="179"/>
      <c r="N74" s="253"/>
    </row>
    <row r="75" spans="6:14" ht="14.25">
      <c r="F75" s="179"/>
      <c r="G75" s="179"/>
      <c r="N75" s="253"/>
    </row>
    <row r="76" spans="6:14" ht="14.25">
      <c r="F76" s="179"/>
      <c r="G76" s="179"/>
      <c r="N76" s="253"/>
    </row>
    <row r="77" spans="6:14" ht="14.25">
      <c r="F77" s="179"/>
      <c r="G77" s="179"/>
      <c r="N77" s="253"/>
    </row>
    <row r="78" spans="6:14" ht="14.25">
      <c r="F78" s="179"/>
      <c r="G78" s="179"/>
      <c r="N78" s="253"/>
    </row>
    <row r="79" spans="6:14" ht="14.25">
      <c r="F79" s="179"/>
      <c r="G79" s="179"/>
      <c r="N79" s="253"/>
    </row>
    <row r="80" spans="6:14" ht="14.25">
      <c r="F80" s="179"/>
      <c r="G80" s="179"/>
      <c r="N80" s="253"/>
    </row>
    <row r="81" spans="6:14" ht="14.25">
      <c r="F81" s="179"/>
      <c r="G81" s="179"/>
      <c r="N81" s="253"/>
    </row>
    <row r="82" spans="6:14" ht="14.25">
      <c r="F82" s="179"/>
      <c r="G82" s="179"/>
      <c r="N82" s="253"/>
    </row>
    <row r="83" spans="6:14" ht="14.25">
      <c r="F83" s="179"/>
      <c r="G83" s="179"/>
      <c r="N83" s="253"/>
    </row>
    <row r="84" spans="6:14" ht="14.25">
      <c r="F84" s="179"/>
      <c r="G84" s="179"/>
      <c r="N84" s="253"/>
    </row>
    <row r="85" spans="6:14" ht="14.25">
      <c r="F85" s="179"/>
      <c r="G85" s="179"/>
      <c r="N85" s="253"/>
    </row>
    <row r="86" spans="6:14" ht="14.25">
      <c r="F86" s="179"/>
      <c r="G86" s="179"/>
      <c r="N86" s="253"/>
    </row>
    <row r="87" spans="6:14" ht="14.25">
      <c r="F87" s="179"/>
      <c r="G87" s="179"/>
      <c r="N87" s="253"/>
    </row>
    <row r="88" spans="6:14" ht="14.25">
      <c r="F88" s="179"/>
      <c r="G88" s="179"/>
      <c r="N88" s="253"/>
    </row>
    <row r="89" spans="6:14" ht="14.25">
      <c r="F89" s="179"/>
      <c r="G89" s="179"/>
      <c r="N89" s="253"/>
    </row>
    <row r="90" spans="6:14" ht="14.25">
      <c r="F90" s="179"/>
      <c r="G90" s="179"/>
      <c r="N90" s="253"/>
    </row>
    <row r="91" spans="6:14">
      <c r="G91" s="179"/>
    </row>
    <row r="92" spans="6:14">
      <c r="G92" s="179"/>
    </row>
    <row r="93" spans="6:14">
      <c r="G93" s="179"/>
    </row>
    <row r="94" spans="6:14">
      <c r="G94" s="179"/>
    </row>
    <row r="95" spans="6:14">
      <c r="G95" s="179"/>
    </row>
    <row r="96" spans="6:14">
      <c r="G96" s="179"/>
    </row>
  </sheetData>
  <mergeCells count="15">
    <mergeCell ref="P4:P5"/>
    <mergeCell ref="B2:P2"/>
    <mergeCell ref="K4:K5"/>
    <mergeCell ref="O4:O5"/>
    <mergeCell ref="H4:H5"/>
    <mergeCell ref="H3:I3"/>
    <mergeCell ref="L4:N4"/>
    <mergeCell ref="B4:B5"/>
    <mergeCell ref="C4:C5"/>
    <mergeCell ref="D4:D5"/>
    <mergeCell ref="G4:G5"/>
    <mergeCell ref="F4:F5"/>
    <mergeCell ref="I4:I5"/>
    <mergeCell ref="J4:J5"/>
    <mergeCell ref="E4:E5"/>
  </mergeCells>
  <phoneticPr fontId="2" type="noConversion"/>
  <pageMargins left="0.78740157480314965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>
  <sheetPr codeName="Sheet38"/>
  <dimension ref="A1:R97"/>
  <sheetViews>
    <sheetView zoomScaleNormal="100" workbookViewId="0">
      <selection activeCell="O37" sqref="O37"/>
    </sheetView>
  </sheetViews>
  <sheetFormatPr defaultColWidth="9.140625" defaultRowHeight="12.75"/>
  <cols>
    <col min="1" max="1" width="4.42578125" style="161" customWidth="1"/>
    <col min="2" max="2" width="4.7109375" style="9" customWidth="1"/>
    <col min="3" max="3" width="5.140625" style="9" customWidth="1"/>
    <col min="4" max="4" width="5" style="9" customWidth="1"/>
    <col min="5" max="5" width="5" style="161" customWidth="1"/>
    <col min="6" max="6" width="8.7109375" style="18" customWidth="1"/>
    <col min="7" max="7" width="8.7109375" style="166" customWidth="1"/>
    <col min="8" max="8" width="50.7109375" style="9" customWidth="1"/>
    <col min="9" max="10" width="14.7109375" style="9" customWidth="1"/>
    <col min="11" max="11" width="12.5703125" style="161" customWidth="1"/>
    <col min="12" max="13" width="14.7109375" style="161" customWidth="1"/>
    <col min="14" max="14" width="15.7109375" style="9" customWidth="1"/>
    <col min="15" max="16" width="7.7109375" style="214" customWidth="1"/>
    <col min="17" max="16384" width="9.140625" style="9"/>
  </cols>
  <sheetData>
    <row r="1" spans="1:18" ht="13.5" thickBot="1"/>
    <row r="2" spans="1:18" s="244" customFormat="1" ht="20.100000000000001" customHeight="1" thickTop="1" thickBot="1">
      <c r="B2" s="1034" t="s">
        <v>638</v>
      </c>
      <c r="C2" s="1035"/>
      <c r="D2" s="1035"/>
      <c r="E2" s="1035"/>
      <c r="F2" s="1035"/>
      <c r="G2" s="1035"/>
      <c r="H2" s="1035"/>
      <c r="I2" s="1035"/>
      <c r="J2" s="1035"/>
      <c r="K2" s="1035"/>
      <c r="L2" s="1035"/>
      <c r="M2" s="1035"/>
      <c r="N2" s="1035"/>
      <c r="O2" s="1057"/>
      <c r="P2" s="1036"/>
    </row>
    <row r="3" spans="1:18" s="1" customFormat="1" ht="8.1" customHeight="1" thickTop="1" thickBot="1">
      <c r="A3" s="158"/>
      <c r="E3" s="158"/>
      <c r="F3" s="2"/>
      <c r="G3" s="159"/>
      <c r="H3" s="1039"/>
      <c r="I3" s="1039"/>
      <c r="J3" s="139"/>
      <c r="K3" s="721"/>
      <c r="L3" s="74"/>
      <c r="M3" s="74"/>
      <c r="N3" s="74"/>
      <c r="O3" s="208"/>
      <c r="P3" s="208"/>
    </row>
    <row r="4" spans="1:18" s="1" customFormat="1" ht="39" customHeight="1">
      <c r="A4" s="158"/>
      <c r="B4" s="1043" t="s">
        <v>76</v>
      </c>
      <c r="C4" s="1045" t="s">
        <v>77</v>
      </c>
      <c r="D4" s="1047" t="s">
        <v>102</v>
      </c>
      <c r="E4" s="1062" t="s">
        <v>692</v>
      </c>
      <c r="F4" s="1058" t="s">
        <v>466</v>
      </c>
      <c r="G4" s="1048" t="s">
        <v>493</v>
      </c>
      <c r="H4" s="1050" t="s">
        <v>78</v>
      </c>
      <c r="I4" s="1059" t="s">
        <v>901</v>
      </c>
      <c r="J4" s="1068" t="s">
        <v>813</v>
      </c>
      <c r="K4" s="1037" t="s">
        <v>906</v>
      </c>
      <c r="L4" s="1040" t="s">
        <v>905</v>
      </c>
      <c r="M4" s="1041"/>
      <c r="N4" s="1042"/>
      <c r="O4" s="1054" t="s">
        <v>945</v>
      </c>
      <c r="P4" s="1032" t="s">
        <v>946</v>
      </c>
      <c r="R4" s="61"/>
    </row>
    <row r="5" spans="1:18" s="158" customFormat="1" ht="27" customHeight="1">
      <c r="B5" s="1044"/>
      <c r="C5" s="1046"/>
      <c r="D5" s="1046"/>
      <c r="E5" s="1049"/>
      <c r="F5" s="1051"/>
      <c r="G5" s="1049"/>
      <c r="H5" s="1051"/>
      <c r="I5" s="1051"/>
      <c r="J5" s="1051"/>
      <c r="K5" s="1038"/>
      <c r="L5" s="373" t="s">
        <v>526</v>
      </c>
      <c r="M5" s="242" t="s">
        <v>527</v>
      </c>
      <c r="N5" s="764" t="s">
        <v>319</v>
      </c>
      <c r="O5" s="1055"/>
      <c r="P5" s="1033"/>
    </row>
    <row r="6" spans="1:18" s="2" customFormat="1" ht="12.95" customHeight="1">
      <c r="A6" s="159"/>
      <c r="B6" s="328">
        <v>1</v>
      </c>
      <c r="C6" s="195">
        <v>2</v>
      </c>
      <c r="D6" s="195">
        <v>3</v>
      </c>
      <c r="E6" s="195">
        <v>4</v>
      </c>
      <c r="F6" s="195">
        <v>5</v>
      </c>
      <c r="G6" s="195">
        <v>6</v>
      </c>
      <c r="H6" s="195">
        <v>7</v>
      </c>
      <c r="I6" s="195">
        <v>8</v>
      </c>
      <c r="J6" s="195">
        <v>9</v>
      </c>
      <c r="K6" s="188">
        <v>10</v>
      </c>
      <c r="L6" s="328">
        <v>11</v>
      </c>
      <c r="M6" s="195">
        <v>12</v>
      </c>
      <c r="N6" s="810" t="s">
        <v>694</v>
      </c>
      <c r="O6" s="929" t="s">
        <v>814</v>
      </c>
      <c r="P6" s="930" t="s">
        <v>944</v>
      </c>
    </row>
    <row r="7" spans="1:18" s="2" customFormat="1" ht="12.95" customHeight="1">
      <c r="A7" s="159"/>
      <c r="B7" s="6" t="s">
        <v>133</v>
      </c>
      <c r="C7" s="7" t="s">
        <v>79</v>
      </c>
      <c r="D7" s="7" t="s">
        <v>80</v>
      </c>
      <c r="E7" s="415" t="s">
        <v>712</v>
      </c>
      <c r="F7" s="5"/>
      <c r="G7" s="160"/>
      <c r="H7" s="5"/>
      <c r="I7" s="366"/>
      <c r="J7" s="160"/>
      <c r="K7" s="173"/>
      <c r="L7" s="4"/>
      <c r="M7" s="160"/>
      <c r="N7" s="811"/>
      <c r="O7" s="951"/>
      <c r="P7" s="952"/>
    </row>
    <row r="8" spans="1:18" s="1" customFormat="1" ht="12.95" customHeight="1">
      <c r="A8" s="158"/>
      <c r="B8" s="12"/>
      <c r="C8" s="8"/>
      <c r="D8" s="8"/>
      <c r="E8" s="8"/>
      <c r="F8" s="176">
        <v>611000</v>
      </c>
      <c r="G8" s="195"/>
      <c r="H8" s="25" t="s">
        <v>140</v>
      </c>
      <c r="I8" s="236">
        <f t="shared" ref="I8:N8" si="0">SUM(I9:I12)</f>
        <v>504000</v>
      </c>
      <c r="J8" s="236">
        <f t="shared" si="0"/>
        <v>509800</v>
      </c>
      <c r="K8" s="226">
        <f t="shared" si="0"/>
        <v>281059</v>
      </c>
      <c r="L8" s="482">
        <f t="shared" si="0"/>
        <v>508905</v>
      </c>
      <c r="M8" s="236">
        <f t="shared" si="0"/>
        <v>0</v>
      </c>
      <c r="N8" s="812">
        <f t="shared" si="0"/>
        <v>508905</v>
      </c>
      <c r="O8" s="953">
        <f t="shared" ref="O8:O36" si="1">IF(J8=0,"",N8/J8*100)</f>
        <v>99.824440957238139</v>
      </c>
      <c r="P8" s="954">
        <f>IF(K8=0,"",N8/K8*100)</f>
        <v>181.06696458750653</v>
      </c>
    </row>
    <row r="9" spans="1:18" ht="12.95" customHeight="1">
      <c r="B9" s="10"/>
      <c r="C9" s="11"/>
      <c r="D9" s="11"/>
      <c r="E9" s="163"/>
      <c r="F9" s="177">
        <v>611100</v>
      </c>
      <c r="G9" s="196"/>
      <c r="H9" s="428" t="s">
        <v>161</v>
      </c>
      <c r="I9" s="235">
        <f>386500+3000</f>
        <v>389500</v>
      </c>
      <c r="J9" s="235">
        <v>395300</v>
      </c>
      <c r="K9" s="225">
        <v>227664</v>
      </c>
      <c r="L9" s="357">
        <v>395298</v>
      </c>
      <c r="M9" s="235">
        <v>0</v>
      </c>
      <c r="N9" s="813">
        <f>SUM(L9:M9)</f>
        <v>395298</v>
      </c>
      <c r="O9" s="955">
        <f t="shared" si="1"/>
        <v>99.999494055147991</v>
      </c>
      <c r="P9" s="956">
        <f t="shared" ref="P9:P53" si="2">IF(K9=0,"",N9/K9*100)</f>
        <v>173.63219481340923</v>
      </c>
    </row>
    <row r="10" spans="1:18" ht="12.95" customHeight="1">
      <c r="B10" s="10"/>
      <c r="C10" s="11"/>
      <c r="D10" s="11"/>
      <c r="E10" s="163"/>
      <c r="F10" s="177">
        <v>611200</v>
      </c>
      <c r="G10" s="196"/>
      <c r="H10" s="24" t="s">
        <v>162</v>
      </c>
      <c r="I10" s="235">
        <f>90800+2000+31*700</f>
        <v>114500</v>
      </c>
      <c r="J10" s="235">
        <f>90800+2000+31*700</f>
        <v>114500</v>
      </c>
      <c r="K10" s="225">
        <v>53395</v>
      </c>
      <c r="L10" s="357">
        <v>113607</v>
      </c>
      <c r="M10" s="235">
        <v>0</v>
      </c>
      <c r="N10" s="813">
        <f t="shared" ref="N10:N11" si="3">SUM(L10:M10)</f>
        <v>113607</v>
      </c>
      <c r="O10" s="955">
        <f t="shared" si="1"/>
        <v>99.220087336244546</v>
      </c>
      <c r="P10" s="956">
        <f t="shared" si="2"/>
        <v>212.76711302556416</v>
      </c>
    </row>
    <row r="11" spans="1:18" ht="12.95" customHeight="1">
      <c r="B11" s="10"/>
      <c r="C11" s="11"/>
      <c r="D11" s="11"/>
      <c r="E11" s="163"/>
      <c r="F11" s="177">
        <v>611200</v>
      </c>
      <c r="G11" s="196"/>
      <c r="H11" s="435" t="s">
        <v>434</v>
      </c>
      <c r="I11" s="235">
        <v>0</v>
      </c>
      <c r="J11" s="235">
        <v>0</v>
      </c>
      <c r="K11" s="225">
        <v>0</v>
      </c>
      <c r="L11" s="357">
        <v>0</v>
      </c>
      <c r="M11" s="235">
        <v>0</v>
      </c>
      <c r="N11" s="813">
        <f t="shared" si="3"/>
        <v>0</v>
      </c>
      <c r="O11" s="955" t="str">
        <f t="shared" si="1"/>
        <v/>
      </c>
      <c r="P11" s="956" t="str">
        <f t="shared" si="2"/>
        <v/>
      </c>
      <c r="R11" s="50"/>
    </row>
    <row r="12" spans="1:18" ht="12.95" customHeight="1">
      <c r="B12" s="10"/>
      <c r="C12" s="11"/>
      <c r="D12" s="11"/>
      <c r="E12" s="163"/>
      <c r="F12" s="177"/>
      <c r="G12" s="196"/>
      <c r="H12" s="428"/>
      <c r="I12" s="235"/>
      <c r="J12" s="235"/>
      <c r="K12" s="225"/>
      <c r="L12" s="357"/>
      <c r="M12" s="235"/>
      <c r="N12" s="813"/>
      <c r="O12" s="955" t="str">
        <f t="shared" si="1"/>
        <v/>
      </c>
      <c r="P12" s="956" t="str">
        <f t="shared" si="2"/>
        <v/>
      </c>
    </row>
    <row r="13" spans="1:18" s="1" customFormat="1" ht="12.95" customHeight="1">
      <c r="A13" s="158"/>
      <c r="B13" s="12"/>
      <c r="C13" s="8"/>
      <c r="D13" s="8"/>
      <c r="E13" s="8"/>
      <c r="F13" s="176">
        <v>612000</v>
      </c>
      <c r="G13" s="195"/>
      <c r="H13" s="25" t="s">
        <v>139</v>
      </c>
      <c r="I13" s="236">
        <f t="shared" ref="I13:N13" si="4">I14</f>
        <v>45630</v>
      </c>
      <c r="J13" s="236">
        <f t="shared" si="4"/>
        <v>45730</v>
      </c>
      <c r="K13" s="226">
        <f t="shared" si="4"/>
        <v>24010</v>
      </c>
      <c r="L13" s="482">
        <f t="shared" si="4"/>
        <v>45728</v>
      </c>
      <c r="M13" s="236">
        <f t="shared" si="4"/>
        <v>0</v>
      </c>
      <c r="N13" s="812">
        <f t="shared" si="4"/>
        <v>45728</v>
      </c>
      <c r="O13" s="953">
        <f t="shared" si="1"/>
        <v>99.99562650338946</v>
      </c>
      <c r="P13" s="954">
        <f t="shared" si="2"/>
        <v>190.4539775093711</v>
      </c>
    </row>
    <row r="14" spans="1:18" ht="12.95" customHeight="1">
      <c r="B14" s="10"/>
      <c r="C14" s="11"/>
      <c r="D14" s="11"/>
      <c r="E14" s="163"/>
      <c r="F14" s="177">
        <v>612100</v>
      </c>
      <c r="G14" s="196"/>
      <c r="H14" s="430" t="s">
        <v>81</v>
      </c>
      <c r="I14" s="235">
        <f>44630+1000</f>
        <v>45630</v>
      </c>
      <c r="J14" s="235">
        <v>45730</v>
      </c>
      <c r="K14" s="225">
        <v>24010</v>
      </c>
      <c r="L14" s="357">
        <v>45728</v>
      </c>
      <c r="M14" s="235">
        <v>0</v>
      </c>
      <c r="N14" s="813">
        <f>SUM(L14:M14)</f>
        <v>45728</v>
      </c>
      <c r="O14" s="955">
        <f t="shared" si="1"/>
        <v>99.99562650338946</v>
      </c>
      <c r="P14" s="956">
        <f t="shared" si="2"/>
        <v>190.4539775093711</v>
      </c>
    </row>
    <row r="15" spans="1:18" ht="12.95" customHeight="1">
      <c r="B15" s="10"/>
      <c r="C15" s="11"/>
      <c r="D15" s="11"/>
      <c r="E15" s="163"/>
      <c r="F15" s="177"/>
      <c r="G15" s="196"/>
      <c r="H15" s="24"/>
      <c r="I15" s="234"/>
      <c r="J15" s="234"/>
      <c r="K15" s="221"/>
      <c r="L15" s="483"/>
      <c r="M15" s="234"/>
      <c r="N15" s="774"/>
      <c r="O15" s="955" t="str">
        <f t="shared" si="1"/>
        <v/>
      </c>
      <c r="P15" s="956" t="str">
        <f t="shared" si="2"/>
        <v/>
      </c>
    </row>
    <row r="16" spans="1:18" s="1" customFormat="1" ht="12.95" customHeight="1">
      <c r="A16" s="158"/>
      <c r="B16" s="12"/>
      <c r="C16" s="8"/>
      <c r="D16" s="8"/>
      <c r="E16" s="8"/>
      <c r="F16" s="176">
        <v>613000</v>
      </c>
      <c r="G16" s="195"/>
      <c r="H16" s="25" t="s">
        <v>141</v>
      </c>
      <c r="I16" s="234">
        <f t="shared" ref="I16:N16" si="5">SUM(I17:I26)</f>
        <v>108500</v>
      </c>
      <c r="J16" s="234">
        <f t="shared" si="5"/>
        <v>108500</v>
      </c>
      <c r="K16" s="221">
        <f t="shared" si="5"/>
        <v>40739</v>
      </c>
      <c r="L16" s="483">
        <f t="shared" si="5"/>
        <v>105523</v>
      </c>
      <c r="M16" s="234">
        <f t="shared" si="5"/>
        <v>3046</v>
      </c>
      <c r="N16" s="774">
        <f t="shared" si="5"/>
        <v>108569</v>
      </c>
      <c r="O16" s="953">
        <f t="shared" si="1"/>
        <v>100.0635944700461</v>
      </c>
      <c r="P16" s="954">
        <f t="shared" si="2"/>
        <v>266.49893222710426</v>
      </c>
    </row>
    <row r="17" spans="1:18" ht="12.95" customHeight="1">
      <c r="B17" s="10"/>
      <c r="C17" s="11"/>
      <c r="D17" s="11"/>
      <c r="E17" s="163"/>
      <c r="F17" s="177">
        <v>613100</v>
      </c>
      <c r="G17" s="196"/>
      <c r="H17" s="24" t="s">
        <v>82</v>
      </c>
      <c r="I17" s="235">
        <v>1500</v>
      </c>
      <c r="J17" s="235">
        <v>1500</v>
      </c>
      <c r="K17" s="225">
        <v>743</v>
      </c>
      <c r="L17" s="357">
        <v>881</v>
      </c>
      <c r="M17" s="231">
        <v>0</v>
      </c>
      <c r="N17" s="813">
        <f t="shared" ref="N17:N26" si="6">SUM(L17:M17)</f>
        <v>881</v>
      </c>
      <c r="O17" s="955">
        <f t="shared" si="1"/>
        <v>58.733333333333334</v>
      </c>
      <c r="P17" s="956">
        <f t="shared" si="2"/>
        <v>118.57335127860027</v>
      </c>
    </row>
    <row r="18" spans="1:18" ht="12.95" customHeight="1">
      <c r="B18" s="10"/>
      <c r="C18" s="11"/>
      <c r="D18" s="11"/>
      <c r="E18" s="163"/>
      <c r="F18" s="177">
        <v>613200</v>
      </c>
      <c r="G18" s="196"/>
      <c r="H18" s="24" t="s">
        <v>83</v>
      </c>
      <c r="I18" s="235">
        <v>18000</v>
      </c>
      <c r="J18" s="235">
        <v>18000</v>
      </c>
      <c r="K18" s="225">
        <v>11596</v>
      </c>
      <c r="L18" s="357">
        <v>18539</v>
      </c>
      <c r="M18" s="235">
        <v>0</v>
      </c>
      <c r="N18" s="813">
        <f t="shared" si="6"/>
        <v>18539</v>
      </c>
      <c r="O18" s="955">
        <f t="shared" si="1"/>
        <v>102.99444444444445</v>
      </c>
      <c r="P18" s="956">
        <f t="shared" si="2"/>
        <v>159.87409451535012</v>
      </c>
    </row>
    <row r="19" spans="1:18" ht="12.95" customHeight="1">
      <c r="B19" s="10"/>
      <c r="C19" s="11"/>
      <c r="D19" s="11"/>
      <c r="E19" s="163"/>
      <c r="F19" s="177">
        <v>613300</v>
      </c>
      <c r="G19" s="196"/>
      <c r="H19" s="428" t="s">
        <v>163</v>
      </c>
      <c r="I19" s="235">
        <v>7000</v>
      </c>
      <c r="J19" s="235">
        <v>7000</v>
      </c>
      <c r="K19" s="225">
        <v>3006</v>
      </c>
      <c r="L19" s="357">
        <v>4951</v>
      </c>
      <c r="M19" s="235">
        <v>0</v>
      </c>
      <c r="N19" s="813">
        <f t="shared" si="6"/>
        <v>4951</v>
      </c>
      <c r="O19" s="955">
        <f t="shared" si="1"/>
        <v>70.728571428571428</v>
      </c>
      <c r="P19" s="956">
        <f t="shared" si="2"/>
        <v>164.70392548236862</v>
      </c>
    </row>
    <row r="20" spans="1:18" ht="12.95" customHeight="1">
      <c r="B20" s="10"/>
      <c r="C20" s="11"/>
      <c r="D20" s="11"/>
      <c r="E20" s="163"/>
      <c r="F20" s="177">
        <v>613400</v>
      </c>
      <c r="G20" s="196"/>
      <c r="H20" s="24" t="s">
        <v>142</v>
      </c>
      <c r="I20" s="235">
        <v>26200</v>
      </c>
      <c r="J20" s="235">
        <v>26200</v>
      </c>
      <c r="K20" s="225">
        <v>1246</v>
      </c>
      <c r="L20" s="357">
        <f>27588-3046</f>
        <v>24542</v>
      </c>
      <c r="M20" s="235">
        <v>3046</v>
      </c>
      <c r="N20" s="813">
        <f t="shared" si="6"/>
        <v>27588</v>
      </c>
      <c r="O20" s="955">
        <f t="shared" si="1"/>
        <v>105.29770992366412</v>
      </c>
      <c r="P20" s="956">
        <f t="shared" si="2"/>
        <v>2214.1252006420546</v>
      </c>
    </row>
    <row r="21" spans="1:18" ht="12.95" customHeight="1">
      <c r="B21" s="10"/>
      <c r="C21" s="11"/>
      <c r="D21" s="11"/>
      <c r="E21" s="163"/>
      <c r="F21" s="177">
        <v>613500</v>
      </c>
      <c r="G21" s="196"/>
      <c r="H21" s="24" t="s">
        <v>84</v>
      </c>
      <c r="I21" s="235">
        <v>6500</v>
      </c>
      <c r="J21" s="235">
        <v>6500</v>
      </c>
      <c r="K21" s="225">
        <v>464</v>
      </c>
      <c r="L21" s="357">
        <v>4376</v>
      </c>
      <c r="M21" s="235">
        <v>0</v>
      </c>
      <c r="N21" s="813">
        <f t="shared" si="6"/>
        <v>4376</v>
      </c>
      <c r="O21" s="955">
        <f t="shared" si="1"/>
        <v>67.323076923076925</v>
      </c>
      <c r="P21" s="956">
        <f t="shared" si="2"/>
        <v>943.10344827586209</v>
      </c>
    </row>
    <row r="22" spans="1:18" ht="12.95" customHeight="1">
      <c r="B22" s="10"/>
      <c r="C22" s="11"/>
      <c r="D22" s="11"/>
      <c r="E22" s="163"/>
      <c r="F22" s="177">
        <v>613600</v>
      </c>
      <c r="G22" s="196"/>
      <c r="H22" s="428" t="s">
        <v>164</v>
      </c>
      <c r="I22" s="235">
        <v>0</v>
      </c>
      <c r="J22" s="235">
        <v>0</v>
      </c>
      <c r="K22" s="225">
        <v>0</v>
      </c>
      <c r="L22" s="357">
        <v>0</v>
      </c>
      <c r="M22" s="235">
        <v>0</v>
      </c>
      <c r="N22" s="813">
        <f t="shared" si="6"/>
        <v>0</v>
      </c>
      <c r="O22" s="955" t="str">
        <f t="shared" si="1"/>
        <v/>
      </c>
      <c r="P22" s="956" t="str">
        <f t="shared" si="2"/>
        <v/>
      </c>
    </row>
    <row r="23" spans="1:18" ht="12.95" customHeight="1">
      <c r="B23" s="10"/>
      <c r="C23" s="11"/>
      <c r="D23" s="11"/>
      <c r="E23" s="163"/>
      <c r="F23" s="177">
        <v>613700</v>
      </c>
      <c r="G23" s="196"/>
      <c r="H23" s="24" t="s">
        <v>85</v>
      </c>
      <c r="I23" s="235">
        <v>6100</v>
      </c>
      <c r="J23" s="235">
        <v>6100</v>
      </c>
      <c r="K23" s="225">
        <v>1189</v>
      </c>
      <c r="L23" s="357">
        <v>8952</v>
      </c>
      <c r="M23" s="235">
        <v>0</v>
      </c>
      <c r="N23" s="813">
        <f t="shared" si="6"/>
        <v>8952</v>
      </c>
      <c r="O23" s="955">
        <f t="shared" si="1"/>
        <v>146.75409836065575</v>
      </c>
      <c r="P23" s="956">
        <f t="shared" si="2"/>
        <v>752.90159798149705</v>
      </c>
    </row>
    <row r="24" spans="1:18" ht="12.95" customHeight="1">
      <c r="B24" s="10"/>
      <c r="C24" s="11"/>
      <c r="D24" s="11"/>
      <c r="E24" s="163"/>
      <c r="F24" s="177">
        <v>613800</v>
      </c>
      <c r="G24" s="196"/>
      <c r="H24" s="24" t="s">
        <v>143</v>
      </c>
      <c r="I24" s="235">
        <v>500</v>
      </c>
      <c r="J24" s="235">
        <v>500</v>
      </c>
      <c r="K24" s="225">
        <v>0</v>
      </c>
      <c r="L24" s="357">
        <v>167</v>
      </c>
      <c r="M24" s="235">
        <v>0</v>
      </c>
      <c r="N24" s="813">
        <f t="shared" si="6"/>
        <v>167</v>
      </c>
      <c r="O24" s="955">
        <f t="shared" si="1"/>
        <v>33.4</v>
      </c>
      <c r="P24" s="956" t="str">
        <f t="shared" si="2"/>
        <v/>
      </c>
    </row>
    <row r="25" spans="1:18" ht="12.95" customHeight="1">
      <c r="B25" s="10"/>
      <c r="C25" s="11"/>
      <c r="D25" s="11"/>
      <c r="E25" s="163"/>
      <c r="F25" s="177">
        <v>613900</v>
      </c>
      <c r="G25" s="196"/>
      <c r="H25" s="24" t="s">
        <v>144</v>
      </c>
      <c r="I25" s="235">
        <v>42700</v>
      </c>
      <c r="J25" s="235">
        <v>42700</v>
      </c>
      <c r="K25" s="225">
        <v>22495</v>
      </c>
      <c r="L25" s="357">
        <v>43115</v>
      </c>
      <c r="M25" s="235">
        <v>0</v>
      </c>
      <c r="N25" s="813">
        <f t="shared" si="6"/>
        <v>43115</v>
      </c>
      <c r="O25" s="955">
        <f t="shared" si="1"/>
        <v>100.97189695550351</v>
      </c>
      <c r="P25" s="956">
        <f t="shared" si="2"/>
        <v>191.66481440320072</v>
      </c>
      <c r="Q25" s="45"/>
    </row>
    <row r="26" spans="1:18" ht="12.95" customHeight="1">
      <c r="B26" s="10"/>
      <c r="C26" s="11"/>
      <c r="D26" s="11"/>
      <c r="E26" s="163"/>
      <c r="F26" s="177">
        <v>613900</v>
      </c>
      <c r="G26" s="196"/>
      <c r="H26" s="435" t="s">
        <v>435</v>
      </c>
      <c r="I26" s="235">
        <v>0</v>
      </c>
      <c r="J26" s="235">
        <v>0</v>
      </c>
      <c r="K26" s="225">
        <v>0</v>
      </c>
      <c r="L26" s="357">
        <v>0</v>
      </c>
      <c r="M26" s="235">
        <v>0</v>
      </c>
      <c r="N26" s="813">
        <f t="shared" si="6"/>
        <v>0</v>
      </c>
      <c r="O26" s="955" t="str">
        <f t="shared" si="1"/>
        <v/>
      </c>
      <c r="P26" s="956" t="str">
        <f t="shared" si="2"/>
        <v/>
      </c>
    </row>
    <row r="27" spans="1:18" ht="12.95" customHeight="1">
      <c r="B27" s="10"/>
      <c r="C27" s="11"/>
      <c r="D27" s="11"/>
      <c r="E27" s="163"/>
      <c r="F27" s="177"/>
      <c r="G27" s="196"/>
      <c r="H27" s="24"/>
      <c r="I27" s="236"/>
      <c r="J27" s="236"/>
      <c r="K27" s="226"/>
      <c r="L27" s="482"/>
      <c r="M27" s="236"/>
      <c r="N27" s="774"/>
      <c r="O27" s="955" t="str">
        <f t="shared" si="1"/>
        <v/>
      </c>
      <c r="P27" s="956" t="str">
        <f t="shared" si="2"/>
        <v/>
      </c>
    </row>
    <row r="28" spans="1:18" s="1" customFormat="1" ht="12.95" customHeight="1">
      <c r="A28" s="158"/>
      <c r="B28" s="12"/>
      <c r="C28" s="8"/>
      <c r="D28" s="8"/>
      <c r="E28" s="8"/>
      <c r="F28" s="176">
        <v>614000</v>
      </c>
      <c r="G28" s="195"/>
      <c r="H28" s="25" t="s">
        <v>165</v>
      </c>
      <c r="I28" s="236">
        <f t="shared" ref="I28:J28" si="7">I29+I30</f>
        <v>110000</v>
      </c>
      <c r="J28" s="236">
        <f t="shared" si="7"/>
        <v>110000</v>
      </c>
      <c r="K28" s="226">
        <f t="shared" ref="K28" si="8">K29+K30</f>
        <v>27302</v>
      </c>
      <c r="L28" s="482">
        <f t="shared" ref="L28:M28" si="9">L29+L30</f>
        <v>0</v>
      </c>
      <c r="M28" s="236">
        <f t="shared" si="9"/>
        <v>69192</v>
      </c>
      <c r="N28" s="774">
        <f t="shared" ref="N28" si="10">N29+N30</f>
        <v>69192</v>
      </c>
      <c r="O28" s="953">
        <f t="shared" si="1"/>
        <v>62.901818181818179</v>
      </c>
      <c r="P28" s="954">
        <f t="shared" si="2"/>
        <v>253.43198300490806</v>
      </c>
    </row>
    <row r="29" spans="1:18" ht="12.95" customHeight="1">
      <c r="B29" s="10"/>
      <c r="C29" s="11"/>
      <c r="D29" s="11"/>
      <c r="E29" s="163"/>
      <c r="F29" s="177">
        <v>614200</v>
      </c>
      <c r="G29" s="196" t="s">
        <v>524</v>
      </c>
      <c r="H29" s="428" t="s">
        <v>106</v>
      </c>
      <c r="I29" s="235">
        <v>110000</v>
      </c>
      <c r="J29" s="235">
        <v>110000</v>
      </c>
      <c r="K29" s="225">
        <v>27302</v>
      </c>
      <c r="L29" s="357">
        <v>0</v>
      </c>
      <c r="M29" s="235">
        <v>69192</v>
      </c>
      <c r="N29" s="813">
        <f t="shared" ref="N29:N30" si="11">SUM(L29:M29)</f>
        <v>69192</v>
      </c>
      <c r="O29" s="955">
        <f t="shared" si="1"/>
        <v>62.901818181818179</v>
      </c>
      <c r="P29" s="956">
        <f t="shared" si="2"/>
        <v>253.43198300490806</v>
      </c>
    </row>
    <row r="30" spans="1:18" s="60" customFormat="1" ht="12.75" customHeight="1">
      <c r="B30" s="547"/>
      <c r="C30" s="14"/>
      <c r="D30" s="14"/>
      <c r="E30" s="14"/>
      <c r="F30" s="180">
        <v>614300</v>
      </c>
      <c r="G30" s="199" t="s">
        <v>525</v>
      </c>
      <c r="H30" s="542" t="s">
        <v>597</v>
      </c>
      <c r="I30" s="235">
        <v>0</v>
      </c>
      <c r="J30" s="235">
        <v>0</v>
      </c>
      <c r="K30" s="225">
        <v>0</v>
      </c>
      <c r="L30" s="357">
        <v>0</v>
      </c>
      <c r="M30" s="235">
        <v>0</v>
      </c>
      <c r="N30" s="813">
        <f t="shared" si="11"/>
        <v>0</v>
      </c>
      <c r="O30" s="955" t="str">
        <f t="shared" si="1"/>
        <v/>
      </c>
      <c r="P30" s="956" t="str">
        <f t="shared" si="2"/>
        <v/>
      </c>
      <c r="R30" s="404"/>
    </row>
    <row r="31" spans="1:18" ht="12.95" customHeight="1">
      <c r="B31" s="10"/>
      <c r="C31" s="11"/>
      <c r="D31" s="11"/>
      <c r="E31" s="163"/>
      <c r="F31" s="176"/>
      <c r="G31" s="195"/>
      <c r="H31" s="25"/>
      <c r="I31" s="235"/>
      <c r="J31" s="235"/>
      <c r="K31" s="225"/>
      <c r="L31" s="357"/>
      <c r="M31" s="235"/>
      <c r="N31" s="776"/>
      <c r="O31" s="955" t="str">
        <f t="shared" si="1"/>
        <v/>
      </c>
      <c r="P31" s="956" t="str">
        <f t="shared" si="2"/>
        <v/>
      </c>
    </row>
    <row r="32" spans="1:18" ht="12.95" customHeight="1">
      <c r="B32" s="12"/>
      <c r="C32" s="8"/>
      <c r="D32" s="8"/>
      <c r="E32" s="8"/>
      <c r="F32" s="176">
        <v>821000</v>
      </c>
      <c r="G32" s="195"/>
      <c r="H32" s="25" t="s">
        <v>88</v>
      </c>
      <c r="I32" s="236">
        <f t="shared" ref="I32:N32" si="12">SUM(I33:I36)</f>
        <v>185480</v>
      </c>
      <c r="J32" s="236">
        <f t="shared" si="12"/>
        <v>185480</v>
      </c>
      <c r="K32" s="226">
        <f t="shared" si="12"/>
        <v>4635</v>
      </c>
      <c r="L32" s="482">
        <f t="shared" si="12"/>
        <v>0</v>
      </c>
      <c r="M32" s="236">
        <f t="shared" si="12"/>
        <v>77528</v>
      </c>
      <c r="N32" s="774">
        <f t="shared" si="12"/>
        <v>77528</v>
      </c>
      <c r="O32" s="953">
        <f t="shared" si="1"/>
        <v>41.798576665947813</v>
      </c>
      <c r="P32" s="954">
        <f t="shared" si="2"/>
        <v>1672.6645091693638</v>
      </c>
    </row>
    <row r="33" spans="1:18" ht="12.95" customHeight="1">
      <c r="B33" s="10"/>
      <c r="C33" s="11"/>
      <c r="D33" s="11"/>
      <c r="E33" s="163"/>
      <c r="F33" s="177">
        <v>821200</v>
      </c>
      <c r="G33" s="196"/>
      <c r="H33" s="24" t="s">
        <v>89</v>
      </c>
      <c r="I33" s="237">
        <v>175460</v>
      </c>
      <c r="J33" s="237">
        <v>175460</v>
      </c>
      <c r="K33" s="224">
        <v>0</v>
      </c>
      <c r="L33" s="360">
        <v>0</v>
      </c>
      <c r="M33" s="237">
        <v>70766</v>
      </c>
      <c r="N33" s="813">
        <f t="shared" ref="N33:N34" si="13">SUM(L33:M33)</f>
        <v>70766</v>
      </c>
      <c r="O33" s="955">
        <f t="shared" si="1"/>
        <v>40.331699532657019</v>
      </c>
      <c r="P33" s="956" t="str">
        <f t="shared" si="2"/>
        <v/>
      </c>
    </row>
    <row r="34" spans="1:18" s="1" customFormat="1" ht="12.95" customHeight="1">
      <c r="A34" s="158"/>
      <c r="B34" s="10"/>
      <c r="C34" s="11"/>
      <c r="D34" s="11"/>
      <c r="E34" s="163"/>
      <c r="F34" s="177">
        <v>821300</v>
      </c>
      <c r="G34" s="196"/>
      <c r="H34" s="429" t="s">
        <v>90</v>
      </c>
      <c r="I34" s="235">
        <v>10020</v>
      </c>
      <c r="J34" s="235">
        <v>10020</v>
      </c>
      <c r="K34" s="225">
        <v>4635</v>
      </c>
      <c r="L34" s="357"/>
      <c r="M34" s="235">
        <v>6762</v>
      </c>
      <c r="N34" s="813">
        <f t="shared" si="13"/>
        <v>6762</v>
      </c>
      <c r="O34" s="955">
        <f t="shared" si="1"/>
        <v>67.485029940119759</v>
      </c>
      <c r="P34" s="956">
        <f t="shared" si="2"/>
        <v>145.88996763754045</v>
      </c>
      <c r="R34" s="158" t="s">
        <v>890</v>
      </c>
    </row>
    <row r="35" spans="1:18" s="158" customFormat="1" ht="12.95" customHeight="1">
      <c r="B35" s="162"/>
      <c r="C35" s="163"/>
      <c r="D35" s="163"/>
      <c r="E35" s="163"/>
      <c r="F35" s="177">
        <v>821300</v>
      </c>
      <c r="G35" s="196" t="s">
        <v>812</v>
      </c>
      <c r="H35" s="429" t="s">
        <v>799</v>
      </c>
      <c r="I35" s="235">
        <v>0</v>
      </c>
      <c r="J35" s="235">
        <v>0</v>
      </c>
      <c r="K35" s="225">
        <v>0</v>
      </c>
      <c r="L35" s="357">
        <v>0</v>
      </c>
      <c r="M35" s="235">
        <v>0</v>
      </c>
      <c r="N35" s="813">
        <f t="shared" ref="N35" si="14">SUM(L35:M35)</f>
        <v>0</v>
      </c>
      <c r="O35" s="955" t="str">
        <f t="shared" ref="O35" si="15">IF(J35=0,"",N35/J35*100)</f>
        <v/>
      </c>
      <c r="P35" s="956" t="str">
        <f t="shared" si="2"/>
        <v/>
      </c>
    </row>
    <row r="36" spans="1:18" ht="12.95" customHeight="1">
      <c r="B36" s="10"/>
      <c r="C36" s="11"/>
      <c r="D36" s="11"/>
      <c r="E36" s="163"/>
      <c r="F36" s="177"/>
      <c r="G36" s="196"/>
      <c r="H36" s="428"/>
      <c r="I36" s="235"/>
      <c r="J36" s="235"/>
      <c r="K36" s="225"/>
      <c r="L36" s="357"/>
      <c r="M36" s="235"/>
      <c r="N36" s="776"/>
      <c r="O36" s="955" t="str">
        <f t="shared" si="1"/>
        <v/>
      </c>
      <c r="P36" s="956" t="str">
        <f t="shared" si="2"/>
        <v/>
      </c>
    </row>
    <row r="37" spans="1:18" ht="12.95" customHeight="1">
      <c r="B37" s="12"/>
      <c r="C37" s="8"/>
      <c r="D37" s="8"/>
      <c r="E37" s="8"/>
      <c r="F37" s="176"/>
      <c r="G37" s="195"/>
      <c r="H37" s="25" t="s">
        <v>91</v>
      </c>
      <c r="I37" s="394">
        <v>31</v>
      </c>
      <c r="J37" s="394">
        <v>31</v>
      </c>
      <c r="K37" s="727">
        <v>12</v>
      </c>
      <c r="L37" s="485">
        <v>31</v>
      </c>
      <c r="M37" s="232"/>
      <c r="N37" s="767">
        <v>31</v>
      </c>
      <c r="O37" s="955"/>
      <c r="P37" s="956"/>
    </row>
    <row r="38" spans="1:18" ht="12.95" customHeight="1">
      <c r="B38" s="12"/>
      <c r="C38" s="8"/>
      <c r="D38" s="8"/>
      <c r="E38" s="8"/>
      <c r="F38" s="176"/>
      <c r="G38" s="195"/>
      <c r="H38" s="8" t="s">
        <v>105</v>
      </c>
      <c r="I38" s="367">
        <f t="shared" ref="I38:N38" si="16">I8+I13+I16+I28+I32</f>
        <v>953610</v>
      </c>
      <c r="J38" s="165">
        <f t="shared" si="16"/>
        <v>959510</v>
      </c>
      <c r="K38" s="153">
        <f t="shared" si="16"/>
        <v>377745</v>
      </c>
      <c r="L38" s="370">
        <f t="shared" si="16"/>
        <v>660156</v>
      </c>
      <c r="M38" s="165">
        <f t="shared" si="16"/>
        <v>149766</v>
      </c>
      <c r="N38" s="774">
        <f t="shared" si="16"/>
        <v>809922</v>
      </c>
      <c r="O38" s="953">
        <f>IF(J38=0,"",N38/J38*100)</f>
        <v>84.409959250033879</v>
      </c>
      <c r="P38" s="954">
        <f t="shared" si="2"/>
        <v>214.40972084342613</v>
      </c>
    </row>
    <row r="39" spans="1:18" s="1" customFormat="1" ht="12.95" customHeight="1">
      <c r="A39" s="158"/>
      <c r="B39" s="12"/>
      <c r="C39" s="8"/>
      <c r="D39" s="8"/>
      <c r="E39" s="8"/>
      <c r="F39" s="176"/>
      <c r="G39" s="195"/>
      <c r="H39" s="8" t="s">
        <v>92</v>
      </c>
      <c r="I39" s="367">
        <f t="shared" ref="I39:K40" si="17">I38</f>
        <v>953610</v>
      </c>
      <c r="J39" s="165">
        <f t="shared" si="17"/>
        <v>959510</v>
      </c>
      <c r="K39" s="153">
        <f t="shared" si="17"/>
        <v>377745</v>
      </c>
      <c r="L39" s="370">
        <f t="shared" ref="L39:N40" si="18">L38</f>
        <v>660156</v>
      </c>
      <c r="M39" s="165">
        <f t="shared" si="18"/>
        <v>149766</v>
      </c>
      <c r="N39" s="774">
        <f t="shared" si="18"/>
        <v>809922</v>
      </c>
      <c r="O39" s="953">
        <f>IF(J39=0,"",N39/J39*100)</f>
        <v>84.409959250033879</v>
      </c>
      <c r="P39" s="954">
        <f t="shared" si="2"/>
        <v>214.40972084342613</v>
      </c>
    </row>
    <row r="40" spans="1:18" s="1" customFormat="1" ht="12.95" customHeight="1">
      <c r="A40" s="158"/>
      <c r="B40" s="12"/>
      <c r="C40" s="8"/>
      <c r="D40" s="8"/>
      <c r="E40" s="8"/>
      <c r="F40" s="176"/>
      <c r="G40" s="195"/>
      <c r="H40" s="8" t="s">
        <v>93</v>
      </c>
      <c r="I40" s="15">
        <f t="shared" si="17"/>
        <v>953610</v>
      </c>
      <c r="J40" s="15">
        <f t="shared" si="17"/>
        <v>959510</v>
      </c>
      <c r="K40" s="153">
        <f t="shared" si="17"/>
        <v>377745</v>
      </c>
      <c r="L40" s="370">
        <f t="shared" si="18"/>
        <v>660156</v>
      </c>
      <c r="M40" s="165">
        <f t="shared" si="18"/>
        <v>149766</v>
      </c>
      <c r="N40" s="774">
        <f t="shared" si="18"/>
        <v>809922</v>
      </c>
      <c r="O40" s="953">
        <f>IF(J40=0,"",N40/J40*100)</f>
        <v>84.409959250033879</v>
      </c>
      <c r="P40" s="954">
        <f t="shared" si="2"/>
        <v>214.40972084342613</v>
      </c>
    </row>
    <row r="41" spans="1:18" s="1" customFormat="1" ht="12.95" customHeight="1" thickBot="1">
      <c r="A41" s="158"/>
      <c r="B41" s="16"/>
      <c r="C41" s="17"/>
      <c r="D41" s="17"/>
      <c r="E41" s="17"/>
      <c r="F41" s="178"/>
      <c r="G41" s="197"/>
      <c r="H41" s="17"/>
      <c r="I41" s="72"/>
      <c r="J41" s="72"/>
      <c r="K41" s="728"/>
      <c r="L41" s="397"/>
      <c r="M41" s="72"/>
      <c r="N41" s="838"/>
      <c r="O41" s="973"/>
      <c r="P41" s="974" t="str">
        <f t="shared" si="2"/>
        <v/>
      </c>
    </row>
    <row r="42" spans="1:18" s="1" customFormat="1" ht="12.95" customHeight="1">
      <c r="A42" s="158"/>
      <c r="B42" s="9"/>
      <c r="C42" s="9"/>
      <c r="D42" s="9"/>
      <c r="E42" s="161"/>
      <c r="F42" s="179"/>
      <c r="G42" s="198"/>
      <c r="H42" s="9"/>
      <c r="I42" s="49"/>
      <c r="J42" s="49"/>
      <c r="K42" s="49"/>
      <c r="L42" s="49"/>
      <c r="M42" s="49"/>
      <c r="N42" s="256"/>
      <c r="O42" s="215"/>
      <c r="P42" s="215" t="str">
        <f t="shared" si="2"/>
        <v/>
      </c>
    </row>
    <row r="43" spans="1:18" ht="12.95" customHeight="1">
      <c r="B43" s="45"/>
      <c r="F43" s="179"/>
      <c r="G43" s="198"/>
      <c r="N43" s="548"/>
      <c r="P43" s="214" t="str">
        <f t="shared" si="2"/>
        <v/>
      </c>
    </row>
    <row r="44" spans="1:18" ht="12.95" customHeight="1">
      <c r="B44" s="45"/>
      <c r="F44" s="179"/>
      <c r="G44" s="198"/>
      <c r="N44" s="253"/>
      <c r="P44" s="214" t="str">
        <f t="shared" si="2"/>
        <v/>
      </c>
    </row>
    <row r="45" spans="1:18" ht="12.95" customHeight="1">
      <c r="B45" s="45"/>
      <c r="F45" s="179"/>
      <c r="G45" s="198"/>
      <c r="N45" s="253"/>
      <c r="P45" s="214" t="str">
        <f t="shared" si="2"/>
        <v/>
      </c>
    </row>
    <row r="46" spans="1:18" ht="12.95" customHeight="1">
      <c r="B46" s="45"/>
      <c r="F46" s="179"/>
      <c r="G46" s="198"/>
      <c r="N46" s="253"/>
      <c r="P46" s="214" t="str">
        <f t="shared" si="2"/>
        <v/>
      </c>
    </row>
    <row r="47" spans="1:18" ht="12.95" customHeight="1">
      <c r="B47" s="45"/>
      <c r="F47" s="179"/>
      <c r="G47" s="198"/>
      <c r="N47" s="253"/>
      <c r="P47" s="214" t="str">
        <f t="shared" si="2"/>
        <v/>
      </c>
    </row>
    <row r="48" spans="1:18" ht="12.95" customHeight="1">
      <c r="B48" s="45"/>
      <c r="F48" s="179"/>
      <c r="G48" s="198"/>
      <c r="N48" s="253"/>
      <c r="P48" s="214" t="str">
        <f t="shared" si="2"/>
        <v/>
      </c>
    </row>
    <row r="49" spans="2:16" ht="12.95" customHeight="1">
      <c r="B49" s="45"/>
      <c r="F49" s="179"/>
      <c r="G49" s="198"/>
      <c r="N49" s="253"/>
      <c r="P49" s="214" t="str">
        <f t="shared" si="2"/>
        <v/>
      </c>
    </row>
    <row r="50" spans="2:16" ht="12.95" customHeight="1">
      <c r="B50" s="45"/>
      <c r="F50" s="179"/>
      <c r="G50" s="198"/>
      <c r="N50" s="253"/>
      <c r="P50" s="214" t="str">
        <f t="shared" si="2"/>
        <v/>
      </c>
    </row>
    <row r="51" spans="2:16" ht="12.95" customHeight="1">
      <c r="B51" s="45"/>
      <c r="F51" s="179"/>
      <c r="G51" s="198"/>
      <c r="N51" s="253"/>
      <c r="P51" s="214" t="str">
        <f t="shared" si="2"/>
        <v/>
      </c>
    </row>
    <row r="52" spans="2:16" ht="12.95" customHeight="1">
      <c r="B52" s="45"/>
      <c r="F52" s="179"/>
      <c r="G52" s="198"/>
      <c r="N52" s="253"/>
      <c r="P52" s="214" t="str">
        <f t="shared" si="2"/>
        <v/>
      </c>
    </row>
    <row r="53" spans="2:16" ht="12.95" customHeight="1">
      <c r="F53" s="179"/>
      <c r="G53" s="198"/>
      <c r="N53" s="253"/>
      <c r="P53" s="214" t="str">
        <f t="shared" si="2"/>
        <v/>
      </c>
    </row>
    <row r="54" spans="2:16" ht="12.95" customHeight="1">
      <c r="F54" s="179"/>
      <c r="G54" s="198"/>
      <c r="N54" s="253"/>
    </row>
    <row r="55" spans="2:16" ht="12.95" customHeight="1">
      <c r="F55" s="179"/>
      <c r="G55" s="198"/>
      <c r="N55" s="253"/>
    </row>
    <row r="56" spans="2:16" ht="12.95" customHeight="1">
      <c r="F56" s="179"/>
      <c r="G56" s="198"/>
      <c r="N56" s="253"/>
    </row>
    <row r="57" spans="2:16" ht="12.95" customHeight="1">
      <c r="F57" s="179"/>
      <c r="G57" s="198"/>
      <c r="N57" s="253"/>
    </row>
    <row r="58" spans="2:16" ht="12.95" customHeight="1">
      <c r="F58" s="179"/>
      <c r="G58" s="198"/>
      <c r="N58" s="253"/>
    </row>
    <row r="59" spans="2:16" ht="12.95" customHeight="1">
      <c r="F59" s="179"/>
      <c r="G59" s="198"/>
      <c r="N59" s="253"/>
    </row>
    <row r="60" spans="2:16" ht="12.95" customHeight="1">
      <c r="F60" s="179"/>
      <c r="G60" s="198"/>
      <c r="N60" s="253"/>
    </row>
    <row r="61" spans="2:16" ht="17.100000000000001" customHeight="1">
      <c r="F61" s="179"/>
      <c r="G61" s="198"/>
      <c r="N61" s="253"/>
    </row>
    <row r="62" spans="2:16" ht="17.100000000000001" customHeight="1">
      <c r="F62" s="179"/>
      <c r="G62" s="198"/>
      <c r="N62" s="253"/>
    </row>
    <row r="63" spans="2:16" ht="14.25">
      <c r="F63" s="179"/>
      <c r="G63" s="198"/>
      <c r="N63" s="253"/>
    </row>
    <row r="64" spans="2:16" ht="14.25">
      <c r="F64" s="179"/>
      <c r="G64" s="198"/>
      <c r="N64" s="253"/>
    </row>
    <row r="65" spans="6:14" ht="14.25">
      <c r="F65" s="179"/>
      <c r="G65" s="198"/>
      <c r="N65" s="253"/>
    </row>
    <row r="66" spans="6:14" ht="14.25">
      <c r="F66" s="179"/>
      <c r="G66" s="198"/>
      <c r="N66" s="253"/>
    </row>
    <row r="67" spans="6:14" ht="14.25">
      <c r="F67" s="179"/>
      <c r="G67" s="198"/>
      <c r="N67" s="253"/>
    </row>
    <row r="68" spans="6:14" ht="14.25">
      <c r="F68" s="179"/>
      <c r="G68" s="198"/>
      <c r="N68" s="253"/>
    </row>
    <row r="69" spans="6:14" ht="14.25">
      <c r="F69" s="179"/>
      <c r="G69" s="198"/>
      <c r="N69" s="253"/>
    </row>
    <row r="70" spans="6:14" ht="14.25">
      <c r="F70" s="179"/>
      <c r="G70" s="198"/>
      <c r="N70" s="253"/>
    </row>
    <row r="71" spans="6:14" ht="14.25">
      <c r="F71" s="179"/>
      <c r="G71" s="198"/>
      <c r="N71" s="253"/>
    </row>
    <row r="72" spans="6:14" ht="14.25">
      <c r="F72" s="179"/>
      <c r="G72" s="198"/>
      <c r="N72" s="253"/>
    </row>
    <row r="73" spans="6:14" ht="14.25">
      <c r="F73" s="179"/>
      <c r="G73" s="198"/>
      <c r="N73" s="253"/>
    </row>
    <row r="74" spans="6:14" ht="14.25">
      <c r="F74" s="179"/>
      <c r="G74" s="198"/>
      <c r="N74" s="253"/>
    </row>
    <row r="75" spans="6:14" ht="14.25">
      <c r="F75" s="179"/>
      <c r="G75" s="179"/>
      <c r="N75" s="253"/>
    </row>
    <row r="76" spans="6:14" ht="14.25">
      <c r="F76" s="179"/>
      <c r="G76" s="179"/>
      <c r="N76" s="253"/>
    </row>
    <row r="77" spans="6:14" ht="14.25">
      <c r="F77" s="179"/>
      <c r="G77" s="179"/>
      <c r="N77" s="253"/>
    </row>
    <row r="78" spans="6:14" ht="14.25">
      <c r="F78" s="179"/>
      <c r="G78" s="179"/>
      <c r="N78" s="253"/>
    </row>
    <row r="79" spans="6:14" ht="14.25">
      <c r="F79" s="179"/>
      <c r="G79" s="179"/>
      <c r="N79" s="253"/>
    </row>
    <row r="80" spans="6:14" ht="14.25">
      <c r="F80" s="179"/>
      <c r="G80" s="179"/>
      <c r="N80" s="253"/>
    </row>
    <row r="81" spans="6:14" ht="14.25">
      <c r="F81" s="179"/>
      <c r="G81" s="179"/>
      <c r="N81" s="253"/>
    </row>
    <row r="82" spans="6:14" ht="14.25">
      <c r="F82" s="179"/>
      <c r="G82" s="179"/>
      <c r="N82" s="253"/>
    </row>
    <row r="83" spans="6:14" ht="14.25">
      <c r="F83" s="179"/>
      <c r="G83" s="179"/>
      <c r="N83" s="253"/>
    </row>
    <row r="84" spans="6:14" ht="14.25">
      <c r="F84" s="179"/>
      <c r="G84" s="179"/>
      <c r="N84" s="253"/>
    </row>
    <row r="85" spans="6:14" ht="14.25">
      <c r="F85" s="179"/>
      <c r="G85" s="179"/>
      <c r="N85" s="253"/>
    </row>
    <row r="86" spans="6:14" ht="14.25">
      <c r="F86" s="179"/>
      <c r="G86" s="179"/>
      <c r="N86" s="253"/>
    </row>
    <row r="87" spans="6:14" ht="14.25">
      <c r="F87" s="179"/>
      <c r="G87" s="179"/>
      <c r="N87" s="253"/>
    </row>
    <row r="88" spans="6:14" ht="14.25">
      <c r="F88" s="179"/>
      <c r="G88" s="179"/>
      <c r="N88" s="253"/>
    </row>
    <row r="89" spans="6:14" ht="14.25">
      <c r="F89" s="179"/>
      <c r="G89" s="179"/>
      <c r="N89" s="253"/>
    </row>
    <row r="90" spans="6:14" ht="14.25">
      <c r="F90" s="179"/>
      <c r="G90" s="179"/>
      <c r="N90" s="253"/>
    </row>
    <row r="91" spans="6:14" ht="14.25">
      <c r="F91" s="179"/>
      <c r="G91" s="179"/>
      <c r="N91" s="253"/>
    </row>
    <row r="92" spans="6:14">
      <c r="G92" s="179"/>
    </row>
    <row r="93" spans="6:14">
      <c r="G93" s="179"/>
    </row>
    <row r="94" spans="6:14">
      <c r="G94" s="179"/>
    </row>
    <row r="95" spans="6:14">
      <c r="G95" s="179"/>
    </row>
    <row r="96" spans="6:14">
      <c r="G96" s="179"/>
    </row>
    <row r="97" spans="7:7">
      <c r="G97" s="179"/>
    </row>
  </sheetData>
  <mergeCells count="15">
    <mergeCell ref="P4:P5"/>
    <mergeCell ref="B2:P2"/>
    <mergeCell ref="K4:K5"/>
    <mergeCell ref="O4:O5"/>
    <mergeCell ref="H4:H5"/>
    <mergeCell ref="H3:I3"/>
    <mergeCell ref="L4:N4"/>
    <mergeCell ref="B4:B5"/>
    <mergeCell ref="C4:C5"/>
    <mergeCell ref="D4:D5"/>
    <mergeCell ref="G4:G5"/>
    <mergeCell ref="F4:F5"/>
    <mergeCell ref="I4:I5"/>
    <mergeCell ref="J4:J5"/>
    <mergeCell ref="E4:E5"/>
  </mergeCells>
  <phoneticPr fontId="2" type="noConversion"/>
  <pageMargins left="0.78740157480314965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sheetPr codeName="Sheet39"/>
  <dimension ref="A1:R96"/>
  <sheetViews>
    <sheetView zoomScaleNormal="100" workbookViewId="0">
      <selection activeCell="N33" sqref="N33"/>
    </sheetView>
  </sheetViews>
  <sheetFormatPr defaultColWidth="9.140625" defaultRowHeight="12.75"/>
  <cols>
    <col min="1" max="1" width="4.42578125" style="161" customWidth="1"/>
    <col min="2" max="2" width="4.7109375" style="9" customWidth="1"/>
    <col min="3" max="3" width="5.140625" style="9" customWidth="1"/>
    <col min="4" max="4" width="5" style="9" customWidth="1"/>
    <col min="5" max="5" width="5" style="161" customWidth="1"/>
    <col min="6" max="6" width="8.7109375" style="18" customWidth="1"/>
    <col min="7" max="7" width="8.7109375" style="166" customWidth="1"/>
    <col min="8" max="8" width="50.7109375" style="9" customWidth="1"/>
    <col min="9" max="10" width="14.7109375" style="51" customWidth="1"/>
    <col min="11" max="11" width="12.5703125" style="51" customWidth="1"/>
    <col min="12" max="13" width="14.7109375" style="51" customWidth="1"/>
    <col min="14" max="14" width="15.7109375" style="51" customWidth="1"/>
    <col min="15" max="16" width="7.7109375" style="214" customWidth="1"/>
    <col min="17" max="16384" width="9.140625" style="9"/>
  </cols>
  <sheetData>
    <row r="1" spans="1:18" ht="13.5" thickBot="1"/>
    <row r="2" spans="1:18" s="244" customFormat="1" ht="20.100000000000001" customHeight="1" thickTop="1" thickBot="1">
      <c r="B2" s="1034" t="s">
        <v>134</v>
      </c>
      <c r="C2" s="1035"/>
      <c r="D2" s="1035"/>
      <c r="E2" s="1035"/>
      <c r="F2" s="1035"/>
      <c r="G2" s="1035"/>
      <c r="H2" s="1035"/>
      <c r="I2" s="1035"/>
      <c r="J2" s="1057"/>
      <c r="K2" s="1057"/>
      <c r="L2" s="1057"/>
      <c r="M2" s="1057"/>
      <c r="N2" s="1057"/>
      <c r="O2" s="1057"/>
      <c r="P2" s="1036"/>
    </row>
    <row r="3" spans="1:18" s="1" customFormat="1" ht="8.1" customHeight="1" thickTop="1" thickBot="1">
      <c r="A3" s="158"/>
      <c r="E3" s="158"/>
      <c r="F3" s="2"/>
      <c r="G3" s="159"/>
      <c r="H3" s="1039"/>
      <c r="I3" s="1039"/>
      <c r="J3" s="139"/>
      <c r="K3" s="721"/>
      <c r="L3" s="74"/>
      <c r="M3" s="74"/>
      <c r="N3" s="74"/>
      <c r="O3" s="208"/>
      <c r="P3" s="208"/>
    </row>
    <row r="4" spans="1:18" s="1" customFormat="1" ht="39" customHeight="1">
      <c r="A4" s="158"/>
      <c r="B4" s="1043" t="s">
        <v>76</v>
      </c>
      <c r="C4" s="1045" t="s">
        <v>77</v>
      </c>
      <c r="D4" s="1047" t="s">
        <v>102</v>
      </c>
      <c r="E4" s="1062" t="s">
        <v>692</v>
      </c>
      <c r="F4" s="1058" t="s">
        <v>466</v>
      </c>
      <c r="G4" s="1048" t="s">
        <v>493</v>
      </c>
      <c r="H4" s="1050" t="s">
        <v>78</v>
      </c>
      <c r="I4" s="1059" t="s">
        <v>901</v>
      </c>
      <c r="J4" s="1068" t="s">
        <v>813</v>
      </c>
      <c r="K4" s="1037" t="s">
        <v>906</v>
      </c>
      <c r="L4" s="1040" t="s">
        <v>905</v>
      </c>
      <c r="M4" s="1041"/>
      <c r="N4" s="1042"/>
      <c r="O4" s="1054" t="s">
        <v>945</v>
      </c>
      <c r="P4" s="1032" t="s">
        <v>946</v>
      </c>
      <c r="R4" s="61"/>
    </row>
    <row r="5" spans="1:18" s="158" customFormat="1" ht="27" customHeight="1">
      <c r="B5" s="1044"/>
      <c r="C5" s="1046"/>
      <c r="D5" s="1046"/>
      <c r="E5" s="1049"/>
      <c r="F5" s="1051"/>
      <c r="G5" s="1049"/>
      <c r="H5" s="1051"/>
      <c r="I5" s="1051"/>
      <c r="J5" s="1051"/>
      <c r="K5" s="1038"/>
      <c r="L5" s="373" t="s">
        <v>526</v>
      </c>
      <c r="M5" s="242" t="s">
        <v>527</v>
      </c>
      <c r="N5" s="764" t="s">
        <v>319</v>
      </c>
      <c r="O5" s="1055"/>
      <c r="P5" s="1033"/>
    </row>
    <row r="6" spans="1:18" s="2" customFormat="1" ht="12.95" customHeight="1">
      <c r="A6" s="159"/>
      <c r="B6" s="328">
        <v>1</v>
      </c>
      <c r="C6" s="195">
        <v>2</v>
      </c>
      <c r="D6" s="195">
        <v>3</v>
      </c>
      <c r="E6" s="195">
        <v>4</v>
      </c>
      <c r="F6" s="195">
        <v>5</v>
      </c>
      <c r="G6" s="195">
        <v>6</v>
      </c>
      <c r="H6" s="195">
        <v>7</v>
      </c>
      <c r="I6" s="195">
        <v>8</v>
      </c>
      <c r="J6" s="195">
        <v>9</v>
      </c>
      <c r="K6" s="188">
        <v>10</v>
      </c>
      <c r="L6" s="328">
        <v>11</v>
      </c>
      <c r="M6" s="195">
        <v>12</v>
      </c>
      <c r="N6" s="810" t="s">
        <v>694</v>
      </c>
      <c r="O6" s="929" t="s">
        <v>814</v>
      </c>
      <c r="P6" s="930" t="s">
        <v>944</v>
      </c>
    </row>
    <row r="7" spans="1:18" s="2" customFormat="1" ht="12.95" customHeight="1">
      <c r="A7" s="159"/>
      <c r="B7" s="6" t="s">
        <v>135</v>
      </c>
      <c r="C7" s="7" t="s">
        <v>79</v>
      </c>
      <c r="D7" s="7" t="s">
        <v>80</v>
      </c>
      <c r="E7" s="415" t="s">
        <v>698</v>
      </c>
      <c r="F7" s="5"/>
      <c r="G7" s="160"/>
      <c r="H7" s="5"/>
      <c r="I7" s="378"/>
      <c r="J7" s="70"/>
      <c r="K7" s="726"/>
      <c r="L7" s="391"/>
      <c r="M7" s="70"/>
      <c r="N7" s="832"/>
      <c r="O7" s="951"/>
      <c r="P7" s="952"/>
    </row>
    <row r="8" spans="1:18" s="1" customFormat="1" ht="12.95" customHeight="1">
      <c r="A8" s="158"/>
      <c r="B8" s="12"/>
      <c r="C8" s="8"/>
      <c r="D8" s="8"/>
      <c r="E8" s="8"/>
      <c r="F8" s="176">
        <v>611000</v>
      </c>
      <c r="G8" s="195"/>
      <c r="H8" s="25" t="s">
        <v>140</v>
      </c>
      <c r="I8" s="236">
        <f t="shared" ref="I8:N8" si="0">SUM(I9:I11)</f>
        <v>639580</v>
      </c>
      <c r="J8" s="236">
        <f t="shared" si="0"/>
        <v>639580</v>
      </c>
      <c r="K8" s="226">
        <f t="shared" si="0"/>
        <v>567353</v>
      </c>
      <c r="L8" s="482">
        <f t="shared" si="0"/>
        <v>636346</v>
      </c>
      <c r="M8" s="236">
        <f t="shared" si="0"/>
        <v>0</v>
      </c>
      <c r="N8" s="812">
        <f t="shared" si="0"/>
        <v>636346</v>
      </c>
      <c r="O8" s="953">
        <f t="shared" ref="O8:O31" si="1">IF(J8=0,"",N8/J8*100)</f>
        <v>99.49435567090903</v>
      </c>
      <c r="P8" s="954">
        <f>IF(K8=0,"",N8/K8*100)</f>
        <v>112.160506774442</v>
      </c>
    </row>
    <row r="9" spans="1:18" ht="12.95" customHeight="1">
      <c r="B9" s="10"/>
      <c r="C9" s="11"/>
      <c r="D9" s="11"/>
      <c r="E9" s="163"/>
      <c r="F9" s="177">
        <v>611100</v>
      </c>
      <c r="G9" s="196"/>
      <c r="H9" s="428" t="s">
        <v>161</v>
      </c>
      <c r="I9" s="237">
        <f>548200+1000</f>
        <v>549200</v>
      </c>
      <c r="J9" s="237">
        <f>548200+1000</f>
        <v>549200</v>
      </c>
      <c r="K9" s="224">
        <v>503221</v>
      </c>
      <c r="L9" s="360">
        <v>548196</v>
      </c>
      <c r="M9" s="237">
        <v>0</v>
      </c>
      <c r="N9" s="813">
        <f>SUM(L9:M9)</f>
        <v>548196</v>
      </c>
      <c r="O9" s="955">
        <f t="shared" si="1"/>
        <v>99.817188638018933</v>
      </c>
      <c r="P9" s="956">
        <f t="shared" ref="P9:P53" si="2">IF(K9=0,"",N9/K9*100)</f>
        <v>108.93742510745777</v>
      </c>
    </row>
    <row r="10" spans="1:18" ht="12.95" customHeight="1">
      <c r="B10" s="10"/>
      <c r="C10" s="11"/>
      <c r="D10" s="11"/>
      <c r="E10" s="163"/>
      <c r="F10" s="177">
        <v>611200</v>
      </c>
      <c r="G10" s="196"/>
      <c r="H10" s="24" t="s">
        <v>162</v>
      </c>
      <c r="I10" s="237">
        <f>77480+1000+17*700</f>
        <v>90380</v>
      </c>
      <c r="J10" s="237">
        <f>77480+1000+17*700</f>
        <v>90380</v>
      </c>
      <c r="K10" s="224">
        <v>64132</v>
      </c>
      <c r="L10" s="360">
        <v>88150</v>
      </c>
      <c r="M10" s="237">
        <v>0</v>
      </c>
      <c r="N10" s="813">
        <f t="shared" ref="N10:N11" si="3">SUM(L10:M10)</f>
        <v>88150</v>
      </c>
      <c r="O10" s="955">
        <f t="shared" si="1"/>
        <v>97.53263996459394</v>
      </c>
      <c r="P10" s="956">
        <f t="shared" si="2"/>
        <v>137.45088255473087</v>
      </c>
    </row>
    <row r="11" spans="1:18" ht="12.95" customHeight="1">
      <c r="B11" s="10"/>
      <c r="C11" s="11"/>
      <c r="D11" s="11"/>
      <c r="E11" s="163"/>
      <c r="F11" s="177">
        <v>611200</v>
      </c>
      <c r="G11" s="196"/>
      <c r="H11" s="435" t="s">
        <v>434</v>
      </c>
      <c r="I11" s="235">
        <v>0</v>
      </c>
      <c r="J11" s="235">
        <v>0</v>
      </c>
      <c r="K11" s="225">
        <v>0</v>
      </c>
      <c r="L11" s="357">
        <v>0</v>
      </c>
      <c r="M11" s="235">
        <v>0</v>
      </c>
      <c r="N11" s="813">
        <f t="shared" si="3"/>
        <v>0</v>
      </c>
      <c r="O11" s="955" t="str">
        <f t="shared" si="1"/>
        <v/>
      </c>
      <c r="P11" s="956" t="str">
        <f t="shared" si="2"/>
        <v/>
      </c>
      <c r="R11" s="50"/>
    </row>
    <row r="12" spans="1:18" ht="12.95" customHeight="1">
      <c r="B12" s="10"/>
      <c r="C12" s="11"/>
      <c r="D12" s="11"/>
      <c r="E12" s="163"/>
      <c r="F12" s="177"/>
      <c r="G12" s="196"/>
      <c r="H12" s="24"/>
      <c r="I12" s="236"/>
      <c r="J12" s="236"/>
      <c r="K12" s="226"/>
      <c r="L12" s="482"/>
      <c r="M12" s="236"/>
      <c r="N12" s="812"/>
      <c r="O12" s="955" t="str">
        <f t="shared" si="1"/>
        <v/>
      </c>
      <c r="P12" s="956" t="str">
        <f t="shared" si="2"/>
        <v/>
      </c>
    </row>
    <row r="13" spans="1:18" s="1" customFormat="1" ht="12.95" customHeight="1">
      <c r="A13" s="158"/>
      <c r="B13" s="12"/>
      <c r="C13" s="8"/>
      <c r="D13" s="8"/>
      <c r="E13" s="8"/>
      <c r="F13" s="176">
        <v>612000</v>
      </c>
      <c r="G13" s="195"/>
      <c r="H13" s="25" t="s">
        <v>139</v>
      </c>
      <c r="I13" s="236">
        <f t="shared" ref="I13:N13" si="4">I14</f>
        <v>58180</v>
      </c>
      <c r="J13" s="236">
        <f t="shared" si="4"/>
        <v>58180</v>
      </c>
      <c r="K13" s="226">
        <f t="shared" si="4"/>
        <v>52549</v>
      </c>
      <c r="L13" s="482">
        <f t="shared" si="4"/>
        <v>57561</v>
      </c>
      <c r="M13" s="236">
        <f t="shared" si="4"/>
        <v>0</v>
      </c>
      <c r="N13" s="812">
        <f t="shared" si="4"/>
        <v>57561</v>
      </c>
      <c r="O13" s="953">
        <f t="shared" si="1"/>
        <v>98.936060501890694</v>
      </c>
      <c r="P13" s="954">
        <f t="shared" si="2"/>
        <v>109.53776475289729</v>
      </c>
    </row>
    <row r="14" spans="1:18" ht="12.95" customHeight="1">
      <c r="B14" s="10"/>
      <c r="C14" s="11"/>
      <c r="D14" s="11"/>
      <c r="E14" s="163"/>
      <c r="F14" s="177">
        <v>612100</v>
      </c>
      <c r="G14" s="196"/>
      <c r="H14" s="430" t="s">
        <v>81</v>
      </c>
      <c r="I14" s="237">
        <f>57680+500</f>
        <v>58180</v>
      </c>
      <c r="J14" s="237">
        <f>57680+500</f>
        <v>58180</v>
      </c>
      <c r="K14" s="224">
        <v>52549</v>
      </c>
      <c r="L14" s="360">
        <v>57561</v>
      </c>
      <c r="M14" s="237">
        <v>0</v>
      </c>
      <c r="N14" s="813">
        <f>SUM(L14:M14)</f>
        <v>57561</v>
      </c>
      <c r="O14" s="955">
        <f t="shared" si="1"/>
        <v>98.936060501890694</v>
      </c>
      <c r="P14" s="956">
        <f t="shared" si="2"/>
        <v>109.53776475289729</v>
      </c>
    </row>
    <row r="15" spans="1:18" ht="12.95" customHeight="1">
      <c r="B15" s="10"/>
      <c r="C15" s="11"/>
      <c r="D15" s="11"/>
      <c r="E15" s="163"/>
      <c r="F15" s="177"/>
      <c r="G15" s="196"/>
      <c r="H15" s="24"/>
      <c r="I15" s="232"/>
      <c r="J15" s="232"/>
      <c r="K15" s="223"/>
      <c r="L15" s="484"/>
      <c r="M15" s="232"/>
      <c r="N15" s="774"/>
      <c r="O15" s="955" t="str">
        <f t="shared" si="1"/>
        <v/>
      </c>
      <c r="P15" s="956" t="str">
        <f t="shared" si="2"/>
        <v/>
      </c>
    </row>
    <row r="16" spans="1:18" s="1" customFormat="1" ht="12.95" customHeight="1">
      <c r="A16" s="158"/>
      <c r="B16" s="12"/>
      <c r="C16" s="8"/>
      <c r="D16" s="8"/>
      <c r="E16" s="8"/>
      <c r="F16" s="176">
        <v>613000</v>
      </c>
      <c r="G16" s="195"/>
      <c r="H16" s="25" t="s">
        <v>141</v>
      </c>
      <c r="I16" s="236">
        <f t="shared" ref="I16:N16" si="5">SUM(I17:I26)</f>
        <v>122000</v>
      </c>
      <c r="J16" s="236">
        <f t="shared" si="5"/>
        <v>122000</v>
      </c>
      <c r="K16" s="226">
        <f t="shared" si="5"/>
        <v>87174</v>
      </c>
      <c r="L16" s="483">
        <f t="shared" si="5"/>
        <v>115080</v>
      </c>
      <c r="M16" s="234">
        <f t="shared" si="5"/>
        <v>0</v>
      </c>
      <c r="N16" s="774">
        <f t="shared" si="5"/>
        <v>115080</v>
      </c>
      <c r="O16" s="953">
        <f t="shared" si="1"/>
        <v>94.327868852459019</v>
      </c>
      <c r="P16" s="954">
        <f t="shared" si="2"/>
        <v>132.01183839218115</v>
      </c>
    </row>
    <row r="17" spans="1:17" ht="12.95" customHeight="1">
      <c r="B17" s="10"/>
      <c r="C17" s="11"/>
      <c r="D17" s="11"/>
      <c r="E17" s="163"/>
      <c r="F17" s="177">
        <v>613100</v>
      </c>
      <c r="G17" s="196"/>
      <c r="H17" s="24" t="s">
        <v>82</v>
      </c>
      <c r="I17" s="237">
        <v>4000</v>
      </c>
      <c r="J17" s="237">
        <v>4000</v>
      </c>
      <c r="K17" s="224">
        <v>1692</v>
      </c>
      <c r="L17" s="359">
        <v>2754</v>
      </c>
      <c r="M17" s="233">
        <v>0</v>
      </c>
      <c r="N17" s="813">
        <f t="shared" ref="N17:N26" si="6">SUM(L17:M17)</f>
        <v>2754</v>
      </c>
      <c r="O17" s="955">
        <f t="shared" si="1"/>
        <v>68.849999999999994</v>
      </c>
      <c r="P17" s="956">
        <f t="shared" si="2"/>
        <v>162.7659574468085</v>
      </c>
    </row>
    <row r="18" spans="1:17" ht="12.95" customHeight="1">
      <c r="B18" s="10"/>
      <c r="C18" s="11"/>
      <c r="D18" s="11"/>
      <c r="E18" s="163"/>
      <c r="F18" s="177">
        <v>613200</v>
      </c>
      <c r="G18" s="196"/>
      <c r="H18" s="24" t="s">
        <v>83</v>
      </c>
      <c r="I18" s="237">
        <v>35000</v>
      </c>
      <c r="J18" s="237">
        <v>35000</v>
      </c>
      <c r="K18" s="224">
        <v>22697</v>
      </c>
      <c r="L18" s="359">
        <v>34453</v>
      </c>
      <c r="M18" s="233">
        <v>0</v>
      </c>
      <c r="N18" s="813">
        <f t="shared" si="6"/>
        <v>34453</v>
      </c>
      <c r="O18" s="955">
        <f t="shared" si="1"/>
        <v>98.437142857142859</v>
      </c>
      <c r="P18" s="956">
        <f t="shared" si="2"/>
        <v>151.79539146142662</v>
      </c>
    </row>
    <row r="19" spans="1:17" ht="12.95" customHeight="1">
      <c r="B19" s="10"/>
      <c r="C19" s="11"/>
      <c r="D19" s="11"/>
      <c r="E19" s="163"/>
      <c r="F19" s="177">
        <v>613300</v>
      </c>
      <c r="G19" s="196"/>
      <c r="H19" s="428" t="s">
        <v>163</v>
      </c>
      <c r="I19" s="237">
        <v>13000</v>
      </c>
      <c r="J19" s="237">
        <v>13000</v>
      </c>
      <c r="K19" s="224">
        <v>12020</v>
      </c>
      <c r="L19" s="359">
        <v>11981</v>
      </c>
      <c r="M19" s="233">
        <v>0</v>
      </c>
      <c r="N19" s="813">
        <f t="shared" si="6"/>
        <v>11981</v>
      </c>
      <c r="O19" s="955">
        <f t="shared" si="1"/>
        <v>92.161538461538456</v>
      </c>
      <c r="P19" s="956">
        <f t="shared" si="2"/>
        <v>99.67554076539102</v>
      </c>
    </row>
    <row r="20" spans="1:17" ht="12.95" customHeight="1">
      <c r="B20" s="10"/>
      <c r="C20" s="11"/>
      <c r="D20" s="11"/>
      <c r="E20" s="163"/>
      <c r="F20" s="177">
        <v>613400</v>
      </c>
      <c r="G20" s="196"/>
      <c r="H20" s="24" t="s">
        <v>142</v>
      </c>
      <c r="I20" s="237">
        <v>9000</v>
      </c>
      <c r="J20" s="237">
        <v>9000</v>
      </c>
      <c r="K20" s="224">
        <v>6430</v>
      </c>
      <c r="L20" s="359">
        <v>8470</v>
      </c>
      <c r="M20" s="233">
        <v>0</v>
      </c>
      <c r="N20" s="813">
        <f t="shared" si="6"/>
        <v>8470</v>
      </c>
      <c r="O20" s="955">
        <f t="shared" si="1"/>
        <v>94.111111111111114</v>
      </c>
      <c r="P20" s="956">
        <f t="shared" si="2"/>
        <v>131.72628304821151</v>
      </c>
    </row>
    <row r="21" spans="1:17" ht="12.95" customHeight="1">
      <c r="B21" s="10"/>
      <c r="C21" s="11"/>
      <c r="D21" s="11"/>
      <c r="E21" s="163"/>
      <c r="F21" s="177">
        <v>613500</v>
      </c>
      <c r="G21" s="196"/>
      <c r="H21" s="24" t="s">
        <v>84</v>
      </c>
      <c r="I21" s="237">
        <v>5000</v>
      </c>
      <c r="J21" s="237">
        <v>5000</v>
      </c>
      <c r="K21" s="224">
        <v>3216</v>
      </c>
      <c r="L21" s="359">
        <v>4727</v>
      </c>
      <c r="M21" s="237">
        <v>0</v>
      </c>
      <c r="N21" s="813">
        <f t="shared" si="6"/>
        <v>4727</v>
      </c>
      <c r="O21" s="955">
        <f t="shared" si="1"/>
        <v>94.54</v>
      </c>
      <c r="P21" s="956">
        <f t="shared" si="2"/>
        <v>146.98383084577114</v>
      </c>
      <c r="Q21" s="45"/>
    </row>
    <row r="22" spans="1:17" ht="12.95" customHeight="1">
      <c r="B22" s="10"/>
      <c r="C22" s="11"/>
      <c r="D22" s="11"/>
      <c r="E22" s="163"/>
      <c r="F22" s="177">
        <v>613600</v>
      </c>
      <c r="G22" s="196"/>
      <c r="H22" s="428" t="s">
        <v>164</v>
      </c>
      <c r="I22" s="237"/>
      <c r="J22" s="237"/>
      <c r="K22" s="224">
        <v>0</v>
      </c>
      <c r="L22" s="359"/>
      <c r="M22" s="233">
        <v>0</v>
      </c>
      <c r="N22" s="813">
        <f t="shared" si="6"/>
        <v>0</v>
      </c>
      <c r="O22" s="955" t="str">
        <f t="shared" si="1"/>
        <v/>
      </c>
      <c r="P22" s="956" t="str">
        <f t="shared" si="2"/>
        <v/>
      </c>
    </row>
    <row r="23" spans="1:17" ht="12.95" customHeight="1">
      <c r="B23" s="10"/>
      <c r="C23" s="11"/>
      <c r="D23" s="11"/>
      <c r="E23" s="163"/>
      <c r="F23" s="177">
        <v>613700</v>
      </c>
      <c r="G23" s="196"/>
      <c r="H23" s="24" t="s">
        <v>85</v>
      </c>
      <c r="I23" s="237">
        <v>9000</v>
      </c>
      <c r="J23" s="237">
        <v>9000</v>
      </c>
      <c r="K23" s="224">
        <v>13021</v>
      </c>
      <c r="L23" s="359">
        <v>9000</v>
      </c>
      <c r="M23" s="237">
        <v>0</v>
      </c>
      <c r="N23" s="813">
        <f t="shared" si="6"/>
        <v>9000</v>
      </c>
      <c r="O23" s="955">
        <f t="shared" si="1"/>
        <v>100</v>
      </c>
      <c r="P23" s="956">
        <f t="shared" si="2"/>
        <v>69.119115275324475</v>
      </c>
    </row>
    <row r="24" spans="1:17" ht="12.95" customHeight="1">
      <c r="B24" s="10"/>
      <c r="C24" s="11"/>
      <c r="D24" s="11"/>
      <c r="E24" s="163"/>
      <c r="F24" s="177">
        <v>613800</v>
      </c>
      <c r="G24" s="196"/>
      <c r="H24" s="24" t="s">
        <v>143</v>
      </c>
      <c r="I24" s="237">
        <v>2000</v>
      </c>
      <c r="J24" s="237">
        <v>2000</v>
      </c>
      <c r="K24" s="224">
        <v>1454</v>
      </c>
      <c r="L24" s="359">
        <v>1511</v>
      </c>
      <c r="M24" s="237">
        <v>0</v>
      </c>
      <c r="N24" s="813">
        <f t="shared" si="6"/>
        <v>1511</v>
      </c>
      <c r="O24" s="955">
        <f t="shared" si="1"/>
        <v>75.55</v>
      </c>
      <c r="P24" s="956">
        <f t="shared" si="2"/>
        <v>103.92022008253095</v>
      </c>
    </row>
    <row r="25" spans="1:17" ht="12.95" customHeight="1">
      <c r="B25" s="10"/>
      <c r="C25" s="11"/>
      <c r="D25" s="11"/>
      <c r="E25" s="163"/>
      <c r="F25" s="177">
        <v>613900</v>
      </c>
      <c r="G25" s="196"/>
      <c r="H25" s="24" t="s">
        <v>144</v>
      </c>
      <c r="I25" s="237">
        <v>45000</v>
      </c>
      <c r="J25" s="237">
        <v>45000</v>
      </c>
      <c r="K25" s="224">
        <v>26644</v>
      </c>
      <c r="L25" s="359">
        <v>42184</v>
      </c>
      <c r="M25" s="237">
        <v>0</v>
      </c>
      <c r="N25" s="813">
        <f t="shared" si="6"/>
        <v>42184</v>
      </c>
      <c r="O25" s="955">
        <f t="shared" si="1"/>
        <v>93.742222222222225</v>
      </c>
      <c r="P25" s="956">
        <f t="shared" si="2"/>
        <v>158.32457588950609</v>
      </c>
    </row>
    <row r="26" spans="1:17" ht="12.95" customHeight="1">
      <c r="B26" s="10"/>
      <c r="C26" s="11"/>
      <c r="D26" s="11"/>
      <c r="E26" s="163"/>
      <c r="F26" s="177">
        <v>613900</v>
      </c>
      <c r="G26" s="196"/>
      <c r="H26" s="435" t="s">
        <v>435</v>
      </c>
      <c r="I26" s="237">
        <v>0</v>
      </c>
      <c r="J26" s="237">
        <v>0</v>
      </c>
      <c r="K26" s="224">
        <v>0</v>
      </c>
      <c r="L26" s="360">
        <v>0</v>
      </c>
      <c r="M26" s="237">
        <v>0</v>
      </c>
      <c r="N26" s="813">
        <f t="shared" si="6"/>
        <v>0</v>
      </c>
      <c r="O26" s="955" t="str">
        <f t="shared" si="1"/>
        <v/>
      </c>
      <c r="P26" s="956" t="str">
        <f t="shared" si="2"/>
        <v/>
      </c>
    </row>
    <row r="27" spans="1:17" s="1" customFormat="1" ht="12.95" customHeight="1">
      <c r="A27" s="158"/>
      <c r="B27" s="12"/>
      <c r="C27" s="8"/>
      <c r="D27" s="8"/>
      <c r="E27" s="8"/>
      <c r="F27" s="176"/>
      <c r="G27" s="195"/>
      <c r="H27" s="25"/>
      <c r="I27" s="237"/>
      <c r="J27" s="237"/>
      <c r="K27" s="224"/>
      <c r="L27" s="360"/>
      <c r="M27" s="237"/>
      <c r="N27" s="776"/>
      <c r="O27" s="955" t="str">
        <f t="shared" si="1"/>
        <v/>
      </c>
      <c r="P27" s="956" t="str">
        <f t="shared" si="2"/>
        <v/>
      </c>
    </row>
    <row r="28" spans="1:17" s="1" customFormat="1" ht="12.95" customHeight="1">
      <c r="A28" s="158"/>
      <c r="B28" s="12"/>
      <c r="C28" s="8"/>
      <c r="D28" s="8"/>
      <c r="E28" s="8"/>
      <c r="F28" s="176">
        <v>821000</v>
      </c>
      <c r="G28" s="195"/>
      <c r="H28" s="25" t="s">
        <v>88</v>
      </c>
      <c r="I28" s="236">
        <f t="shared" ref="I28:N28" si="7">SUM(I29:I30)</f>
        <v>109450</v>
      </c>
      <c r="J28" s="236">
        <f t="shared" si="7"/>
        <v>109450</v>
      </c>
      <c r="K28" s="226">
        <f t="shared" si="7"/>
        <v>12980</v>
      </c>
      <c r="L28" s="482">
        <f t="shared" si="7"/>
        <v>11841</v>
      </c>
      <c r="M28" s="236">
        <f t="shared" si="7"/>
        <v>0</v>
      </c>
      <c r="N28" s="774">
        <f t="shared" si="7"/>
        <v>11841</v>
      </c>
      <c r="O28" s="953">
        <f t="shared" si="1"/>
        <v>10.818638647784375</v>
      </c>
      <c r="P28" s="954">
        <f t="shared" si="2"/>
        <v>91.224961479198768</v>
      </c>
    </row>
    <row r="29" spans="1:17" ht="12.95" customHeight="1">
      <c r="B29" s="10"/>
      <c r="C29" s="11"/>
      <c r="D29" s="11"/>
      <c r="E29" s="163"/>
      <c r="F29" s="177">
        <v>821200</v>
      </c>
      <c r="G29" s="196"/>
      <c r="H29" s="24" t="s">
        <v>89</v>
      </c>
      <c r="I29" s="237">
        <v>104450</v>
      </c>
      <c r="J29" s="237">
        <v>104450</v>
      </c>
      <c r="K29" s="224">
        <v>0</v>
      </c>
      <c r="L29" s="360">
        <v>6941</v>
      </c>
      <c r="M29" s="237">
        <v>0</v>
      </c>
      <c r="N29" s="813">
        <f t="shared" ref="N29:N30" si="8">SUM(L29:M29)</f>
        <v>6941</v>
      </c>
      <c r="O29" s="955">
        <f t="shared" si="1"/>
        <v>6.645284825275251</v>
      </c>
      <c r="P29" s="956" t="str">
        <f t="shared" si="2"/>
        <v/>
      </c>
    </row>
    <row r="30" spans="1:17" ht="12.95" customHeight="1">
      <c r="B30" s="10"/>
      <c r="C30" s="11"/>
      <c r="D30" s="11"/>
      <c r="E30" s="163"/>
      <c r="F30" s="177">
        <v>821300</v>
      </c>
      <c r="G30" s="196"/>
      <c r="H30" s="24" t="s">
        <v>90</v>
      </c>
      <c r="I30" s="237">
        <v>5000</v>
      </c>
      <c r="J30" s="237">
        <v>5000</v>
      </c>
      <c r="K30" s="224">
        <v>12980</v>
      </c>
      <c r="L30" s="360">
        <v>4900</v>
      </c>
      <c r="M30" s="237">
        <v>0</v>
      </c>
      <c r="N30" s="813">
        <f t="shared" si="8"/>
        <v>4900</v>
      </c>
      <c r="O30" s="955">
        <f t="shared" si="1"/>
        <v>98</v>
      </c>
      <c r="P30" s="956">
        <f t="shared" si="2"/>
        <v>37.750385208012325</v>
      </c>
    </row>
    <row r="31" spans="1:17" ht="12.95" customHeight="1">
      <c r="B31" s="10"/>
      <c r="C31" s="11"/>
      <c r="D31" s="11"/>
      <c r="E31" s="163"/>
      <c r="F31" s="177"/>
      <c r="G31" s="196"/>
      <c r="H31" s="24"/>
      <c r="I31" s="233"/>
      <c r="J31" s="233"/>
      <c r="K31" s="222"/>
      <c r="L31" s="359"/>
      <c r="M31" s="233"/>
      <c r="N31" s="776"/>
      <c r="O31" s="955" t="str">
        <f t="shared" si="1"/>
        <v/>
      </c>
      <c r="P31" s="956" t="str">
        <f t="shared" si="2"/>
        <v/>
      </c>
    </row>
    <row r="32" spans="1:17" s="1" customFormat="1" ht="12.95" customHeight="1">
      <c r="A32" s="158"/>
      <c r="B32" s="12"/>
      <c r="C32" s="8"/>
      <c r="D32" s="8"/>
      <c r="E32" s="8"/>
      <c r="F32" s="176"/>
      <c r="G32" s="195"/>
      <c r="H32" s="25" t="s">
        <v>91</v>
      </c>
      <c r="I32" s="232">
        <v>17</v>
      </c>
      <c r="J32" s="232">
        <v>17</v>
      </c>
      <c r="K32" s="223">
        <v>16</v>
      </c>
      <c r="L32" s="482">
        <v>17</v>
      </c>
      <c r="M32" s="232"/>
      <c r="N32" s="774">
        <v>17</v>
      </c>
      <c r="O32" s="955"/>
      <c r="P32" s="956"/>
    </row>
    <row r="33" spans="1:16" s="1" customFormat="1" ht="12.95" customHeight="1">
      <c r="A33" s="158"/>
      <c r="B33" s="12"/>
      <c r="C33" s="8"/>
      <c r="D33" s="8"/>
      <c r="E33" s="8"/>
      <c r="F33" s="176"/>
      <c r="G33" s="195"/>
      <c r="H33" s="8" t="s">
        <v>105</v>
      </c>
      <c r="I33" s="367">
        <f t="shared" ref="I33:K33" si="9">I8+I13+I16+I28</f>
        <v>929210</v>
      </c>
      <c r="J33" s="165">
        <f t="shared" si="9"/>
        <v>929210</v>
      </c>
      <c r="K33" s="153">
        <f t="shared" si="9"/>
        <v>720056</v>
      </c>
      <c r="L33" s="370">
        <f>L8+L13+L16+L28</f>
        <v>820828</v>
      </c>
      <c r="M33" s="165">
        <f>M8+M13+M16+M28</f>
        <v>0</v>
      </c>
      <c r="N33" s="774">
        <f>N8+N13+N16+N28</f>
        <v>820828</v>
      </c>
      <c r="O33" s="953">
        <f>IF(J33=0,"",N33/J33*100)</f>
        <v>88.336113472734894</v>
      </c>
      <c r="P33" s="954">
        <f t="shared" si="2"/>
        <v>113.99502260935262</v>
      </c>
    </row>
    <row r="34" spans="1:16" s="1" customFormat="1" ht="12.95" customHeight="1">
      <c r="A34" s="158"/>
      <c r="B34" s="12"/>
      <c r="C34" s="8"/>
      <c r="D34" s="8"/>
      <c r="E34" s="8"/>
      <c r="F34" s="176"/>
      <c r="G34" s="195"/>
      <c r="H34" s="8" t="s">
        <v>92</v>
      </c>
      <c r="I34" s="367">
        <f t="shared" ref="I34:K34" si="10">I33</f>
        <v>929210</v>
      </c>
      <c r="J34" s="165">
        <f t="shared" si="10"/>
        <v>929210</v>
      </c>
      <c r="K34" s="153">
        <f t="shared" si="10"/>
        <v>720056</v>
      </c>
      <c r="L34" s="370">
        <f t="shared" ref="L34:N35" si="11">L33</f>
        <v>820828</v>
      </c>
      <c r="M34" s="165">
        <f t="shared" si="11"/>
        <v>0</v>
      </c>
      <c r="N34" s="774">
        <f t="shared" si="11"/>
        <v>820828</v>
      </c>
      <c r="O34" s="953">
        <f>IF(J34=0,"",N34/J34*100)</f>
        <v>88.336113472734894</v>
      </c>
      <c r="P34" s="954">
        <f t="shared" si="2"/>
        <v>113.99502260935262</v>
      </c>
    </row>
    <row r="35" spans="1:16" s="1" customFormat="1" ht="12.95" customHeight="1">
      <c r="A35" s="158"/>
      <c r="B35" s="12"/>
      <c r="C35" s="8"/>
      <c r="D35" s="8"/>
      <c r="E35" s="8"/>
      <c r="F35" s="176"/>
      <c r="G35" s="195"/>
      <c r="H35" s="8" t="s">
        <v>93</v>
      </c>
      <c r="I35" s="15">
        <f t="shared" ref="I35:K35" si="12">I34</f>
        <v>929210</v>
      </c>
      <c r="J35" s="15">
        <f t="shared" si="12"/>
        <v>929210</v>
      </c>
      <c r="K35" s="153">
        <f t="shared" si="12"/>
        <v>720056</v>
      </c>
      <c r="L35" s="370">
        <f t="shared" si="11"/>
        <v>820828</v>
      </c>
      <c r="M35" s="165">
        <f t="shared" si="11"/>
        <v>0</v>
      </c>
      <c r="N35" s="774">
        <f t="shared" si="11"/>
        <v>820828</v>
      </c>
      <c r="O35" s="953">
        <f>IF(J35=0,"",N35/J35*100)</f>
        <v>88.336113472734894</v>
      </c>
      <c r="P35" s="954">
        <f t="shared" si="2"/>
        <v>113.99502260935262</v>
      </c>
    </row>
    <row r="36" spans="1:16" ht="12.95" customHeight="1" thickBot="1">
      <c r="B36" s="16"/>
      <c r="C36" s="17"/>
      <c r="D36" s="17"/>
      <c r="E36" s="17"/>
      <c r="F36" s="178"/>
      <c r="G36" s="197"/>
      <c r="H36" s="17"/>
      <c r="I36" s="31"/>
      <c r="J36" s="31"/>
      <c r="K36" s="725"/>
      <c r="L36" s="371"/>
      <c r="M36" s="31"/>
      <c r="N36" s="814"/>
      <c r="O36" s="957"/>
      <c r="P36" s="958" t="str">
        <f t="shared" si="2"/>
        <v/>
      </c>
    </row>
    <row r="37" spans="1:16" ht="12.95" customHeight="1">
      <c r="F37" s="179"/>
      <c r="G37" s="198"/>
      <c r="N37" s="254"/>
      <c r="P37" s="214" t="str">
        <f t="shared" si="2"/>
        <v/>
      </c>
    </row>
    <row r="38" spans="1:16" ht="12.95" customHeight="1">
      <c r="F38" s="179"/>
      <c r="G38" s="198"/>
      <c r="N38" s="254"/>
      <c r="P38" s="214" t="str">
        <f t="shared" si="2"/>
        <v/>
      </c>
    </row>
    <row r="39" spans="1:16" ht="12.95" customHeight="1">
      <c r="B39" s="45"/>
      <c r="F39" s="179"/>
      <c r="G39" s="198"/>
      <c r="N39" s="254"/>
      <c r="P39" s="214" t="str">
        <f t="shared" si="2"/>
        <v/>
      </c>
    </row>
    <row r="40" spans="1:16" ht="12.95" customHeight="1">
      <c r="B40" s="45"/>
      <c r="F40" s="179"/>
      <c r="G40" s="198"/>
      <c r="N40" s="254"/>
      <c r="P40" s="214" t="str">
        <f t="shared" si="2"/>
        <v/>
      </c>
    </row>
    <row r="41" spans="1:16" ht="12.95" customHeight="1">
      <c r="B41" s="45"/>
      <c r="F41" s="179"/>
      <c r="G41" s="198"/>
      <c r="N41" s="254"/>
      <c r="P41" s="214" t="str">
        <f t="shared" si="2"/>
        <v/>
      </c>
    </row>
    <row r="42" spans="1:16" ht="12.95" customHeight="1">
      <c r="B42" s="45"/>
      <c r="F42" s="179"/>
      <c r="G42" s="198"/>
      <c r="N42" s="254"/>
      <c r="P42" s="214" t="str">
        <f t="shared" si="2"/>
        <v/>
      </c>
    </row>
    <row r="43" spans="1:16" ht="12.95" customHeight="1">
      <c r="B43" s="45"/>
      <c r="F43" s="179"/>
      <c r="G43" s="198"/>
      <c r="N43" s="254"/>
      <c r="P43" s="214" t="str">
        <f t="shared" si="2"/>
        <v/>
      </c>
    </row>
    <row r="44" spans="1:16" ht="12.95" customHeight="1">
      <c r="F44" s="179"/>
      <c r="G44" s="198"/>
      <c r="N44" s="254"/>
      <c r="P44" s="214" t="str">
        <f t="shared" si="2"/>
        <v/>
      </c>
    </row>
    <row r="45" spans="1:16" ht="12.95" customHeight="1">
      <c r="F45" s="179"/>
      <c r="G45" s="198"/>
      <c r="N45" s="254"/>
      <c r="P45" s="214" t="str">
        <f t="shared" si="2"/>
        <v/>
      </c>
    </row>
    <row r="46" spans="1:16" ht="12.95" customHeight="1">
      <c r="F46" s="179"/>
      <c r="G46" s="198"/>
      <c r="N46" s="254"/>
      <c r="P46" s="214" t="str">
        <f t="shared" si="2"/>
        <v/>
      </c>
    </row>
    <row r="47" spans="1:16" ht="12.95" customHeight="1">
      <c r="F47" s="179"/>
      <c r="G47" s="198"/>
      <c r="N47" s="254"/>
      <c r="P47" s="214" t="str">
        <f t="shared" si="2"/>
        <v/>
      </c>
    </row>
    <row r="48" spans="1:16" ht="12.95" customHeight="1">
      <c r="F48" s="179"/>
      <c r="G48" s="198"/>
      <c r="N48" s="254"/>
      <c r="P48" s="214" t="str">
        <f t="shared" si="2"/>
        <v/>
      </c>
    </row>
    <row r="49" spans="6:16" ht="12.95" customHeight="1">
      <c r="F49" s="179"/>
      <c r="G49" s="198"/>
      <c r="N49" s="254"/>
      <c r="P49" s="214" t="str">
        <f t="shared" si="2"/>
        <v/>
      </c>
    </row>
    <row r="50" spans="6:16" ht="12.95" customHeight="1">
      <c r="F50" s="179"/>
      <c r="G50" s="198"/>
      <c r="N50" s="254"/>
      <c r="P50" s="214" t="str">
        <f t="shared" si="2"/>
        <v/>
      </c>
    </row>
    <row r="51" spans="6:16" ht="12.95" customHeight="1">
      <c r="F51" s="179"/>
      <c r="G51" s="198"/>
      <c r="N51" s="254"/>
      <c r="P51" s="214" t="str">
        <f t="shared" si="2"/>
        <v/>
      </c>
    </row>
    <row r="52" spans="6:16" ht="12.95" customHeight="1">
      <c r="F52" s="179"/>
      <c r="G52" s="198"/>
      <c r="N52" s="254"/>
      <c r="P52" s="214" t="str">
        <f t="shared" si="2"/>
        <v/>
      </c>
    </row>
    <row r="53" spans="6:16" ht="12.95" customHeight="1">
      <c r="F53" s="179"/>
      <c r="G53" s="198"/>
      <c r="N53" s="254"/>
      <c r="P53" s="214" t="str">
        <f t="shared" si="2"/>
        <v/>
      </c>
    </row>
    <row r="54" spans="6:16" ht="12.95" customHeight="1">
      <c r="F54" s="179"/>
      <c r="G54" s="198"/>
      <c r="N54" s="254"/>
    </row>
    <row r="55" spans="6:16" ht="12.95" customHeight="1">
      <c r="F55" s="179"/>
      <c r="G55" s="198"/>
      <c r="N55" s="254"/>
    </row>
    <row r="56" spans="6:16" ht="12.95" customHeight="1">
      <c r="F56" s="179"/>
      <c r="G56" s="198"/>
      <c r="N56" s="254"/>
    </row>
    <row r="57" spans="6:16" ht="12.95" customHeight="1">
      <c r="F57" s="179"/>
      <c r="G57" s="198"/>
      <c r="N57" s="254"/>
    </row>
    <row r="58" spans="6:16" ht="12.95" customHeight="1">
      <c r="F58" s="179"/>
      <c r="G58" s="198"/>
      <c r="N58" s="254"/>
    </row>
    <row r="59" spans="6:16" ht="12.95" customHeight="1">
      <c r="F59" s="179"/>
      <c r="G59" s="198"/>
      <c r="N59" s="254"/>
    </row>
    <row r="60" spans="6:16" ht="17.100000000000001" customHeight="1">
      <c r="F60" s="179"/>
      <c r="G60" s="198"/>
      <c r="N60" s="254"/>
    </row>
    <row r="61" spans="6:16" ht="14.25">
      <c r="F61" s="179"/>
      <c r="G61" s="198"/>
      <c r="N61" s="254"/>
    </row>
    <row r="62" spans="6:16" ht="14.25">
      <c r="F62" s="179"/>
      <c r="G62" s="198"/>
      <c r="N62" s="254"/>
    </row>
    <row r="63" spans="6:16" ht="14.25">
      <c r="F63" s="179"/>
      <c r="G63" s="198"/>
      <c r="N63" s="254"/>
    </row>
    <row r="64" spans="6:16" ht="14.25">
      <c r="F64" s="179"/>
      <c r="G64" s="198"/>
      <c r="N64" s="254"/>
    </row>
    <row r="65" spans="6:14" ht="14.25">
      <c r="F65" s="179"/>
      <c r="G65" s="198"/>
      <c r="N65" s="254"/>
    </row>
    <row r="66" spans="6:14" ht="14.25">
      <c r="F66" s="179"/>
      <c r="G66" s="198"/>
      <c r="N66" s="254"/>
    </row>
    <row r="67" spans="6:14" ht="14.25">
      <c r="F67" s="179"/>
      <c r="G67" s="198"/>
      <c r="N67" s="254"/>
    </row>
    <row r="68" spans="6:14" ht="14.25">
      <c r="F68" s="179"/>
      <c r="G68" s="198"/>
      <c r="N68" s="254"/>
    </row>
    <row r="69" spans="6:14" ht="14.25">
      <c r="F69" s="179"/>
      <c r="G69" s="198"/>
      <c r="N69" s="254"/>
    </row>
    <row r="70" spans="6:14" ht="14.25">
      <c r="F70" s="179"/>
      <c r="G70" s="198"/>
      <c r="N70" s="254"/>
    </row>
    <row r="71" spans="6:14" ht="14.25">
      <c r="F71" s="179"/>
      <c r="G71" s="198"/>
      <c r="N71" s="254"/>
    </row>
    <row r="72" spans="6:14" ht="14.25">
      <c r="F72" s="179"/>
      <c r="G72" s="198"/>
      <c r="N72" s="254"/>
    </row>
    <row r="73" spans="6:14" ht="14.25">
      <c r="F73" s="179"/>
      <c r="G73" s="198"/>
      <c r="N73" s="254"/>
    </row>
    <row r="74" spans="6:14" ht="14.25">
      <c r="F74" s="179"/>
      <c r="G74" s="179"/>
      <c r="N74" s="254"/>
    </row>
    <row r="75" spans="6:14" ht="14.25">
      <c r="F75" s="179"/>
      <c r="G75" s="179"/>
      <c r="N75" s="254"/>
    </row>
    <row r="76" spans="6:14" ht="14.25">
      <c r="F76" s="179"/>
      <c r="G76" s="179"/>
      <c r="N76" s="254"/>
    </row>
    <row r="77" spans="6:14" ht="14.25">
      <c r="F77" s="179"/>
      <c r="G77" s="179"/>
      <c r="N77" s="254"/>
    </row>
    <row r="78" spans="6:14" ht="14.25">
      <c r="F78" s="179"/>
      <c r="G78" s="179"/>
      <c r="N78" s="254"/>
    </row>
    <row r="79" spans="6:14" ht="14.25">
      <c r="F79" s="179"/>
      <c r="G79" s="179"/>
      <c r="N79" s="254"/>
    </row>
    <row r="80" spans="6:14" ht="14.25">
      <c r="F80" s="179"/>
      <c r="G80" s="179"/>
      <c r="N80" s="254"/>
    </row>
    <row r="81" spans="6:14" ht="14.25">
      <c r="F81" s="179"/>
      <c r="G81" s="179"/>
      <c r="N81" s="254"/>
    </row>
    <row r="82" spans="6:14" ht="14.25">
      <c r="F82" s="179"/>
      <c r="G82" s="179"/>
      <c r="N82" s="254"/>
    </row>
    <row r="83" spans="6:14" ht="14.25">
      <c r="F83" s="179"/>
      <c r="G83" s="179"/>
      <c r="N83" s="254"/>
    </row>
    <row r="84" spans="6:14" ht="14.25">
      <c r="F84" s="179"/>
      <c r="G84" s="179"/>
      <c r="N84" s="254"/>
    </row>
    <row r="85" spans="6:14" ht="14.25">
      <c r="F85" s="179"/>
      <c r="G85" s="179"/>
      <c r="N85" s="254"/>
    </row>
    <row r="86" spans="6:14" ht="14.25">
      <c r="F86" s="179"/>
      <c r="G86" s="179"/>
      <c r="N86" s="254"/>
    </row>
    <row r="87" spans="6:14" ht="14.25">
      <c r="F87" s="179"/>
      <c r="G87" s="179"/>
      <c r="N87" s="254"/>
    </row>
    <row r="88" spans="6:14" ht="14.25">
      <c r="F88" s="179"/>
      <c r="G88" s="179"/>
      <c r="N88" s="254"/>
    </row>
    <row r="89" spans="6:14" ht="14.25">
      <c r="F89" s="179"/>
      <c r="G89" s="179"/>
      <c r="N89" s="254"/>
    </row>
    <row r="90" spans="6:14" ht="14.25">
      <c r="F90" s="179"/>
      <c r="G90" s="179"/>
      <c r="N90" s="254"/>
    </row>
    <row r="91" spans="6:14">
      <c r="G91" s="179"/>
    </row>
    <row r="92" spans="6:14">
      <c r="G92" s="179"/>
    </row>
    <row r="93" spans="6:14">
      <c r="G93" s="179"/>
    </row>
    <row r="94" spans="6:14">
      <c r="G94" s="179"/>
    </row>
    <row r="95" spans="6:14">
      <c r="G95" s="179"/>
    </row>
    <row r="96" spans="6:14">
      <c r="G96" s="179"/>
    </row>
  </sheetData>
  <mergeCells count="15">
    <mergeCell ref="P4:P5"/>
    <mergeCell ref="B2:P2"/>
    <mergeCell ref="K4:K5"/>
    <mergeCell ref="O4:O5"/>
    <mergeCell ref="H4:H5"/>
    <mergeCell ref="H3:I3"/>
    <mergeCell ref="L4:N4"/>
    <mergeCell ref="B4:B5"/>
    <mergeCell ref="C4:C5"/>
    <mergeCell ref="D4:D5"/>
    <mergeCell ref="G4:G5"/>
    <mergeCell ref="F4:F5"/>
    <mergeCell ref="I4:I5"/>
    <mergeCell ref="J4:J5"/>
    <mergeCell ref="E4:E5"/>
  </mergeCells>
  <phoneticPr fontId="2" type="noConversion"/>
  <pageMargins left="0.78740157480314965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sheetPr codeName="Sheet40"/>
  <dimension ref="A1:R96"/>
  <sheetViews>
    <sheetView zoomScaleNormal="100" workbookViewId="0">
      <selection activeCell="N33" sqref="N33"/>
    </sheetView>
  </sheetViews>
  <sheetFormatPr defaultColWidth="9.140625" defaultRowHeight="12.75"/>
  <cols>
    <col min="1" max="1" width="4.42578125" style="161" customWidth="1"/>
    <col min="2" max="2" width="4.7109375" style="9" customWidth="1"/>
    <col min="3" max="3" width="5.140625" style="9" customWidth="1"/>
    <col min="4" max="4" width="5" style="9" customWidth="1"/>
    <col min="5" max="5" width="5" style="161" customWidth="1"/>
    <col min="6" max="6" width="8.7109375" style="18" customWidth="1"/>
    <col min="7" max="7" width="8.7109375" style="166" customWidth="1"/>
    <col min="8" max="8" width="50.7109375" style="9" customWidth="1"/>
    <col min="9" max="10" width="14.7109375" style="9" customWidth="1"/>
    <col min="11" max="11" width="12.5703125" style="161" customWidth="1"/>
    <col min="12" max="13" width="14.7109375" style="161" customWidth="1"/>
    <col min="14" max="14" width="15.7109375" style="9" customWidth="1"/>
    <col min="15" max="16" width="7.7109375" style="214" customWidth="1"/>
    <col min="17" max="16384" width="9.140625" style="9"/>
  </cols>
  <sheetData>
    <row r="1" spans="1:18" ht="13.5" thickBot="1"/>
    <row r="2" spans="1:18" s="244" customFormat="1" ht="20.100000000000001" customHeight="1" thickTop="1" thickBot="1">
      <c r="B2" s="1034" t="s">
        <v>175</v>
      </c>
      <c r="C2" s="1035"/>
      <c r="D2" s="1035"/>
      <c r="E2" s="1035"/>
      <c r="F2" s="1035"/>
      <c r="G2" s="1035"/>
      <c r="H2" s="1035"/>
      <c r="I2" s="1035"/>
      <c r="J2" s="1035"/>
      <c r="K2" s="1035"/>
      <c r="L2" s="1035"/>
      <c r="M2" s="1035"/>
      <c r="N2" s="1035"/>
      <c r="O2" s="1057"/>
      <c r="P2" s="1036"/>
    </row>
    <row r="3" spans="1:18" s="1" customFormat="1" ht="8.1" customHeight="1" thickTop="1" thickBot="1">
      <c r="A3" s="158"/>
      <c r="E3" s="158"/>
      <c r="F3" s="2"/>
      <c r="G3" s="159"/>
      <c r="H3" s="1039"/>
      <c r="I3" s="1039"/>
      <c r="J3" s="139"/>
      <c r="K3" s="721"/>
      <c r="L3" s="74"/>
      <c r="M3" s="74"/>
      <c r="N3" s="74"/>
      <c r="O3" s="208"/>
      <c r="P3" s="208"/>
    </row>
    <row r="4" spans="1:18" s="1" customFormat="1" ht="39" customHeight="1">
      <c r="A4" s="158"/>
      <c r="B4" s="1043" t="s">
        <v>76</v>
      </c>
      <c r="C4" s="1045" t="s">
        <v>77</v>
      </c>
      <c r="D4" s="1047" t="s">
        <v>102</v>
      </c>
      <c r="E4" s="1062" t="s">
        <v>692</v>
      </c>
      <c r="F4" s="1058" t="s">
        <v>466</v>
      </c>
      <c r="G4" s="1048" t="s">
        <v>493</v>
      </c>
      <c r="H4" s="1050" t="s">
        <v>78</v>
      </c>
      <c r="I4" s="1059" t="s">
        <v>901</v>
      </c>
      <c r="J4" s="1068" t="s">
        <v>813</v>
      </c>
      <c r="K4" s="1037" t="s">
        <v>906</v>
      </c>
      <c r="L4" s="1040" t="s">
        <v>905</v>
      </c>
      <c r="M4" s="1041"/>
      <c r="N4" s="1042"/>
      <c r="O4" s="1054" t="s">
        <v>945</v>
      </c>
      <c r="P4" s="1032" t="s">
        <v>946</v>
      </c>
      <c r="R4" s="61"/>
    </row>
    <row r="5" spans="1:18" s="158" customFormat="1" ht="27" customHeight="1">
      <c r="B5" s="1044"/>
      <c r="C5" s="1046"/>
      <c r="D5" s="1046"/>
      <c r="E5" s="1049"/>
      <c r="F5" s="1051"/>
      <c r="G5" s="1049"/>
      <c r="H5" s="1051"/>
      <c r="I5" s="1051"/>
      <c r="J5" s="1051"/>
      <c r="K5" s="1038"/>
      <c r="L5" s="373" t="s">
        <v>526</v>
      </c>
      <c r="M5" s="242" t="s">
        <v>527</v>
      </c>
      <c r="N5" s="764" t="s">
        <v>319</v>
      </c>
      <c r="O5" s="1055"/>
      <c r="P5" s="1033"/>
    </row>
    <row r="6" spans="1:18" s="2" customFormat="1" ht="12.95" customHeight="1">
      <c r="A6" s="159"/>
      <c r="B6" s="328">
        <v>1</v>
      </c>
      <c r="C6" s="195">
        <v>2</v>
      </c>
      <c r="D6" s="195">
        <v>3</v>
      </c>
      <c r="E6" s="195">
        <v>4</v>
      </c>
      <c r="F6" s="195">
        <v>5</v>
      </c>
      <c r="G6" s="195">
        <v>6</v>
      </c>
      <c r="H6" s="195">
        <v>7</v>
      </c>
      <c r="I6" s="195">
        <v>8</v>
      </c>
      <c r="J6" s="195">
        <v>9</v>
      </c>
      <c r="K6" s="188">
        <v>10</v>
      </c>
      <c r="L6" s="328">
        <v>11</v>
      </c>
      <c r="M6" s="195">
        <v>12</v>
      </c>
      <c r="N6" s="810" t="s">
        <v>694</v>
      </c>
      <c r="O6" s="929" t="s">
        <v>814</v>
      </c>
      <c r="P6" s="930" t="s">
        <v>944</v>
      </c>
    </row>
    <row r="7" spans="1:18" s="2" customFormat="1" ht="12.95" customHeight="1">
      <c r="A7" s="159"/>
      <c r="B7" s="6" t="s">
        <v>136</v>
      </c>
      <c r="C7" s="7" t="s">
        <v>79</v>
      </c>
      <c r="D7" s="7" t="s">
        <v>80</v>
      </c>
      <c r="E7" s="415" t="s">
        <v>698</v>
      </c>
      <c r="F7" s="5"/>
      <c r="G7" s="160"/>
      <c r="H7" s="5"/>
      <c r="I7" s="366"/>
      <c r="J7" s="160"/>
      <c r="K7" s="173"/>
      <c r="L7" s="4"/>
      <c r="M7" s="160"/>
      <c r="N7" s="811"/>
      <c r="O7" s="951"/>
      <c r="P7" s="952"/>
    </row>
    <row r="8" spans="1:18" s="1" customFormat="1" ht="12.95" customHeight="1">
      <c r="A8" s="158"/>
      <c r="B8" s="12"/>
      <c r="C8" s="8"/>
      <c r="D8" s="8"/>
      <c r="E8" s="8"/>
      <c r="F8" s="176">
        <v>611000</v>
      </c>
      <c r="G8" s="195"/>
      <c r="H8" s="25" t="s">
        <v>140</v>
      </c>
      <c r="I8" s="236">
        <f t="shared" ref="I8:N8" si="0">SUM(I9:I11)</f>
        <v>83790</v>
      </c>
      <c r="J8" s="236">
        <f t="shared" si="0"/>
        <v>83790</v>
      </c>
      <c r="K8" s="226">
        <f t="shared" si="0"/>
        <v>59604</v>
      </c>
      <c r="L8" s="482">
        <f t="shared" si="0"/>
        <v>83229</v>
      </c>
      <c r="M8" s="236">
        <f t="shared" si="0"/>
        <v>0</v>
      </c>
      <c r="N8" s="812">
        <f t="shared" si="0"/>
        <v>83229</v>
      </c>
      <c r="O8" s="953">
        <f t="shared" ref="O8:O31" si="1">IF(J8=0,"",N8/J8*100)</f>
        <v>99.33046902971715</v>
      </c>
      <c r="P8" s="954">
        <f>IF(K8=0,"",N8/K8*100)</f>
        <v>139.63660157036441</v>
      </c>
    </row>
    <row r="9" spans="1:18" ht="12.95" customHeight="1">
      <c r="B9" s="10"/>
      <c r="C9" s="11"/>
      <c r="D9" s="11"/>
      <c r="E9" s="163"/>
      <c r="F9" s="177">
        <v>611100</v>
      </c>
      <c r="G9" s="196"/>
      <c r="H9" s="428" t="s">
        <v>161</v>
      </c>
      <c r="I9" s="235">
        <f>68990+300+250</f>
        <v>69540</v>
      </c>
      <c r="J9" s="235">
        <f>68990+300+250</f>
        <v>69540</v>
      </c>
      <c r="K9" s="225">
        <v>51695</v>
      </c>
      <c r="L9" s="357">
        <v>69176</v>
      </c>
      <c r="M9" s="235">
        <v>0</v>
      </c>
      <c r="N9" s="813">
        <f>SUM(L9:M9)</f>
        <v>69176</v>
      </c>
      <c r="O9" s="955">
        <f t="shared" si="1"/>
        <v>99.476560253091748</v>
      </c>
      <c r="P9" s="956">
        <f t="shared" ref="P9:P53" si="2">IF(K9=0,"",N9/K9*100)</f>
        <v>133.81564948254183</v>
      </c>
    </row>
    <row r="10" spans="1:18" ht="12.95" customHeight="1">
      <c r="B10" s="10"/>
      <c r="C10" s="11"/>
      <c r="D10" s="11"/>
      <c r="E10" s="163"/>
      <c r="F10" s="177">
        <v>611200</v>
      </c>
      <c r="G10" s="196"/>
      <c r="H10" s="24" t="s">
        <v>162</v>
      </c>
      <c r="I10" s="235">
        <f>12050+100+3*700</f>
        <v>14250</v>
      </c>
      <c r="J10" s="235">
        <f>12050+100+3*700</f>
        <v>14250</v>
      </c>
      <c r="K10" s="225">
        <v>7909</v>
      </c>
      <c r="L10" s="357">
        <v>14053</v>
      </c>
      <c r="M10" s="235">
        <v>0</v>
      </c>
      <c r="N10" s="813">
        <f t="shared" ref="N10:N11" si="3">SUM(L10:M10)</f>
        <v>14053</v>
      </c>
      <c r="O10" s="955">
        <f t="shared" si="1"/>
        <v>98.617543859649132</v>
      </c>
      <c r="P10" s="956">
        <f t="shared" si="2"/>
        <v>177.68365153622457</v>
      </c>
    </row>
    <row r="11" spans="1:18" ht="12.95" customHeight="1">
      <c r="B11" s="10"/>
      <c r="C11" s="11"/>
      <c r="D11" s="11"/>
      <c r="E11" s="163"/>
      <c r="F11" s="177">
        <v>611200</v>
      </c>
      <c r="G11" s="196"/>
      <c r="H11" s="429" t="s">
        <v>434</v>
      </c>
      <c r="I11" s="235">
        <v>0</v>
      </c>
      <c r="J11" s="235">
        <v>0</v>
      </c>
      <c r="K11" s="225">
        <v>0</v>
      </c>
      <c r="L11" s="357">
        <v>0</v>
      </c>
      <c r="M11" s="235">
        <v>0</v>
      </c>
      <c r="N11" s="813">
        <f t="shared" si="3"/>
        <v>0</v>
      </c>
      <c r="O11" s="955" t="str">
        <f t="shared" si="1"/>
        <v/>
      </c>
      <c r="P11" s="956" t="str">
        <f t="shared" si="2"/>
        <v/>
      </c>
      <c r="R11" s="50"/>
    </row>
    <row r="12" spans="1:18" ht="12.95" customHeight="1">
      <c r="B12" s="10"/>
      <c r="C12" s="11"/>
      <c r="D12" s="11"/>
      <c r="E12" s="163"/>
      <c r="F12" s="177"/>
      <c r="G12" s="196"/>
      <c r="H12" s="24"/>
      <c r="I12" s="236"/>
      <c r="J12" s="236"/>
      <c r="K12" s="226"/>
      <c r="L12" s="482"/>
      <c r="M12" s="236"/>
      <c r="N12" s="812"/>
      <c r="O12" s="955" t="str">
        <f t="shared" si="1"/>
        <v/>
      </c>
      <c r="P12" s="956" t="str">
        <f t="shared" si="2"/>
        <v/>
      </c>
    </row>
    <row r="13" spans="1:18" s="1" customFormat="1" ht="12.95" customHeight="1">
      <c r="A13" s="158"/>
      <c r="B13" s="12"/>
      <c r="C13" s="8"/>
      <c r="D13" s="8"/>
      <c r="E13" s="8"/>
      <c r="F13" s="176">
        <v>612000</v>
      </c>
      <c r="G13" s="195"/>
      <c r="H13" s="25" t="s">
        <v>139</v>
      </c>
      <c r="I13" s="236">
        <f t="shared" ref="I13:N13" si="4">I14</f>
        <v>7410</v>
      </c>
      <c r="J13" s="236">
        <f t="shared" si="4"/>
        <v>7410</v>
      </c>
      <c r="K13" s="226">
        <f t="shared" si="4"/>
        <v>5605</v>
      </c>
      <c r="L13" s="482">
        <f t="shared" si="4"/>
        <v>7264</v>
      </c>
      <c r="M13" s="236">
        <f t="shared" si="4"/>
        <v>0</v>
      </c>
      <c r="N13" s="812">
        <f t="shared" si="4"/>
        <v>7264</v>
      </c>
      <c r="O13" s="953">
        <f t="shared" si="1"/>
        <v>98.029689608636971</v>
      </c>
      <c r="P13" s="954">
        <f t="shared" si="2"/>
        <v>129.59857270294378</v>
      </c>
    </row>
    <row r="14" spans="1:18" ht="12.95" customHeight="1">
      <c r="B14" s="10"/>
      <c r="C14" s="11"/>
      <c r="D14" s="11"/>
      <c r="E14" s="163"/>
      <c r="F14" s="177">
        <v>612100</v>
      </c>
      <c r="G14" s="196"/>
      <c r="H14" s="430" t="s">
        <v>81</v>
      </c>
      <c r="I14" s="235">
        <f>7370+40</f>
        <v>7410</v>
      </c>
      <c r="J14" s="235">
        <f>7370+40</f>
        <v>7410</v>
      </c>
      <c r="K14" s="225">
        <v>5605</v>
      </c>
      <c r="L14" s="357">
        <v>7264</v>
      </c>
      <c r="M14" s="235">
        <v>0</v>
      </c>
      <c r="N14" s="813">
        <f>SUM(L14:M14)</f>
        <v>7264</v>
      </c>
      <c r="O14" s="955">
        <f t="shared" si="1"/>
        <v>98.029689608636971</v>
      </c>
      <c r="P14" s="956">
        <f t="shared" si="2"/>
        <v>129.59857270294378</v>
      </c>
    </row>
    <row r="15" spans="1:18" ht="12.95" customHeight="1">
      <c r="B15" s="10"/>
      <c r="C15" s="11"/>
      <c r="D15" s="11"/>
      <c r="E15" s="163"/>
      <c r="F15" s="177"/>
      <c r="G15" s="196"/>
      <c r="H15" s="24"/>
      <c r="I15" s="234"/>
      <c r="J15" s="234"/>
      <c r="K15" s="221"/>
      <c r="L15" s="483"/>
      <c r="M15" s="234"/>
      <c r="N15" s="774"/>
      <c r="O15" s="955" t="str">
        <f t="shared" si="1"/>
        <v/>
      </c>
      <c r="P15" s="956" t="str">
        <f t="shared" si="2"/>
        <v/>
      </c>
    </row>
    <row r="16" spans="1:18" s="1" customFormat="1" ht="12.95" customHeight="1">
      <c r="A16" s="158"/>
      <c r="B16" s="12"/>
      <c r="C16" s="8"/>
      <c r="D16" s="8"/>
      <c r="E16" s="8"/>
      <c r="F16" s="176">
        <v>613000</v>
      </c>
      <c r="G16" s="195"/>
      <c r="H16" s="25" t="s">
        <v>141</v>
      </c>
      <c r="I16" s="234">
        <f t="shared" ref="I16:N16" si="5">SUM(I17:I26)</f>
        <v>13500</v>
      </c>
      <c r="J16" s="234">
        <f t="shared" si="5"/>
        <v>13500</v>
      </c>
      <c r="K16" s="221">
        <f t="shared" si="5"/>
        <v>22380</v>
      </c>
      <c r="L16" s="483">
        <f t="shared" si="5"/>
        <v>11030</v>
      </c>
      <c r="M16" s="234">
        <f t="shared" si="5"/>
        <v>0</v>
      </c>
      <c r="N16" s="774">
        <f t="shared" si="5"/>
        <v>11030</v>
      </c>
      <c r="O16" s="953">
        <f t="shared" si="1"/>
        <v>81.703703703703695</v>
      </c>
      <c r="P16" s="954">
        <f t="shared" si="2"/>
        <v>49.285075960679173</v>
      </c>
    </row>
    <row r="17" spans="1:17" ht="12.95" customHeight="1">
      <c r="B17" s="10"/>
      <c r="C17" s="11"/>
      <c r="D17" s="11"/>
      <c r="E17" s="163"/>
      <c r="F17" s="177">
        <v>613100</v>
      </c>
      <c r="G17" s="196"/>
      <c r="H17" s="24" t="s">
        <v>82</v>
      </c>
      <c r="I17" s="235">
        <v>500</v>
      </c>
      <c r="J17" s="235">
        <v>500</v>
      </c>
      <c r="K17" s="225">
        <v>0</v>
      </c>
      <c r="L17" s="358">
        <v>0</v>
      </c>
      <c r="M17" s="231">
        <v>0</v>
      </c>
      <c r="N17" s="813">
        <f t="shared" ref="N17:N26" si="6">SUM(L17:M17)</f>
        <v>0</v>
      </c>
      <c r="O17" s="955">
        <f t="shared" si="1"/>
        <v>0</v>
      </c>
      <c r="P17" s="956" t="str">
        <f t="shared" si="2"/>
        <v/>
      </c>
    </row>
    <row r="18" spans="1:17" ht="12.95" customHeight="1">
      <c r="B18" s="10"/>
      <c r="C18" s="11"/>
      <c r="D18" s="11"/>
      <c r="E18" s="163"/>
      <c r="F18" s="177">
        <v>613200</v>
      </c>
      <c r="G18" s="196"/>
      <c r="H18" s="24" t="s">
        <v>83</v>
      </c>
      <c r="I18" s="235">
        <v>0</v>
      </c>
      <c r="J18" s="235">
        <v>0</v>
      </c>
      <c r="K18" s="225">
        <v>0</v>
      </c>
      <c r="L18" s="358">
        <v>0</v>
      </c>
      <c r="M18" s="231">
        <v>0</v>
      </c>
      <c r="N18" s="813">
        <f t="shared" si="6"/>
        <v>0</v>
      </c>
      <c r="O18" s="955" t="str">
        <f t="shared" si="1"/>
        <v/>
      </c>
      <c r="P18" s="956" t="str">
        <f t="shared" si="2"/>
        <v/>
      </c>
    </row>
    <row r="19" spans="1:17" ht="12.95" customHeight="1">
      <c r="B19" s="10"/>
      <c r="C19" s="11"/>
      <c r="D19" s="11"/>
      <c r="E19" s="163"/>
      <c r="F19" s="177">
        <v>613300</v>
      </c>
      <c r="G19" s="196"/>
      <c r="H19" s="428" t="s">
        <v>163</v>
      </c>
      <c r="I19" s="235">
        <v>3500</v>
      </c>
      <c r="J19" s="235">
        <v>3500</v>
      </c>
      <c r="K19" s="225">
        <v>2980</v>
      </c>
      <c r="L19" s="358">
        <v>2683</v>
      </c>
      <c r="M19" s="235">
        <v>0</v>
      </c>
      <c r="N19" s="813">
        <f t="shared" si="6"/>
        <v>2683</v>
      </c>
      <c r="O19" s="955">
        <f t="shared" si="1"/>
        <v>76.657142857142858</v>
      </c>
      <c r="P19" s="956">
        <f t="shared" si="2"/>
        <v>90.033557046979865</v>
      </c>
      <c r="Q19" s="45"/>
    </row>
    <row r="20" spans="1:17" ht="12.95" customHeight="1">
      <c r="B20" s="10"/>
      <c r="C20" s="11"/>
      <c r="D20" s="11"/>
      <c r="E20" s="163"/>
      <c r="F20" s="177">
        <v>613400</v>
      </c>
      <c r="G20" s="196"/>
      <c r="H20" s="24" t="s">
        <v>142</v>
      </c>
      <c r="I20" s="235">
        <v>1000</v>
      </c>
      <c r="J20" s="235">
        <v>1000</v>
      </c>
      <c r="K20" s="225">
        <v>556</v>
      </c>
      <c r="L20" s="358">
        <v>826</v>
      </c>
      <c r="M20" s="231">
        <v>0</v>
      </c>
      <c r="N20" s="813">
        <f t="shared" si="6"/>
        <v>826</v>
      </c>
      <c r="O20" s="955">
        <f t="shared" si="1"/>
        <v>82.6</v>
      </c>
      <c r="P20" s="956">
        <f t="shared" si="2"/>
        <v>148.56115107913669</v>
      </c>
    </row>
    <row r="21" spans="1:17" ht="12.95" customHeight="1">
      <c r="B21" s="10"/>
      <c r="C21" s="11"/>
      <c r="D21" s="11"/>
      <c r="E21" s="163"/>
      <c r="F21" s="177">
        <v>613500</v>
      </c>
      <c r="G21" s="196"/>
      <c r="H21" s="24" t="s">
        <v>84</v>
      </c>
      <c r="I21" s="235">
        <v>0</v>
      </c>
      <c r="J21" s="235">
        <v>0</v>
      </c>
      <c r="K21" s="225">
        <v>0</v>
      </c>
      <c r="L21" s="358">
        <v>0</v>
      </c>
      <c r="M21" s="231">
        <v>0</v>
      </c>
      <c r="N21" s="813">
        <f t="shared" si="6"/>
        <v>0</v>
      </c>
      <c r="O21" s="955" t="str">
        <f t="shared" si="1"/>
        <v/>
      </c>
      <c r="P21" s="956" t="str">
        <f t="shared" si="2"/>
        <v/>
      </c>
    </row>
    <row r="22" spans="1:17" ht="12.95" customHeight="1">
      <c r="B22" s="10"/>
      <c r="C22" s="11"/>
      <c r="D22" s="11"/>
      <c r="E22" s="163"/>
      <c r="F22" s="177">
        <v>613600</v>
      </c>
      <c r="G22" s="196"/>
      <c r="H22" s="428" t="s">
        <v>164</v>
      </c>
      <c r="I22" s="235">
        <v>0</v>
      </c>
      <c r="J22" s="235">
        <v>0</v>
      </c>
      <c r="K22" s="225">
        <v>0</v>
      </c>
      <c r="L22" s="358">
        <v>0</v>
      </c>
      <c r="M22" s="231">
        <v>0</v>
      </c>
      <c r="N22" s="813">
        <f t="shared" si="6"/>
        <v>0</v>
      </c>
      <c r="O22" s="955" t="str">
        <f t="shared" si="1"/>
        <v/>
      </c>
      <c r="P22" s="956" t="str">
        <f t="shared" si="2"/>
        <v/>
      </c>
    </row>
    <row r="23" spans="1:17" ht="12.95" customHeight="1">
      <c r="B23" s="10"/>
      <c r="C23" s="11"/>
      <c r="D23" s="11"/>
      <c r="E23" s="163"/>
      <c r="F23" s="177">
        <v>613700</v>
      </c>
      <c r="G23" s="196"/>
      <c r="H23" s="24" t="s">
        <v>85</v>
      </c>
      <c r="I23" s="235">
        <v>500</v>
      </c>
      <c r="J23" s="235">
        <v>500</v>
      </c>
      <c r="K23" s="225">
        <v>419</v>
      </c>
      <c r="L23" s="358">
        <v>328</v>
      </c>
      <c r="M23" s="235">
        <v>0</v>
      </c>
      <c r="N23" s="813">
        <f t="shared" si="6"/>
        <v>328</v>
      </c>
      <c r="O23" s="955">
        <f t="shared" si="1"/>
        <v>65.600000000000009</v>
      </c>
      <c r="P23" s="956">
        <f t="shared" si="2"/>
        <v>78.281622911694512</v>
      </c>
    </row>
    <row r="24" spans="1:17" ht="12.95" customHeight="1">
      <c r="B24" s="10"/>
      <c r="C24" s="11"/>
      <c r="D24" s="11"/>
      <c r="E24" s="163"/>
      <c r="F24" s="177">
        <v>613800</v>
      </c>
      <c r="G24" s="196"/>
      <c r="H24" s="24" t="s">
        <v>143</v>
      </c>
      <c r="I24" s="235">
        <v>0</v>
      </c>
      <c r="J24" s="235">
        <v>0</v>
      </c>
      <c r="K24" s="225">
        <v>0</v>
      </c>
      <c r="L24" s="358">
        <v>0</v>
      </c>
      <c r="M24" s="235">
        <v>0</v>
      </c>
      <c r="N24" s="813">
        <f t="shared" si="6"/>
        <v>0</v>
      </c>
      <c r="O24" s="955" t="str">
        <f t="shared" si="1"/>
        <v/>
      </c>
      <c r="P24" s="956" t="str">
        <f t="shared" si="2"/>
        <v/>
      </c>
    </row>
    <row r="25" spans="1:17" ht="12.95" customHeight="1">
      <c r="B25" s="10"/>
      <c r="C25" s="11"/>
      <c r="D25" s="11"/>
      <c r="E25" s="163"/>
      <c r="F25" s="177">
        <v>613900</v>
      </c>
      <c r="G25" s="196"/>
      <c r="H25" s="24" t="s">
        <v>144</v>
      </c>
      <c r="I25" s="235">
        <v>8000</v>
      </c>
      <c r="J25" s="235">
        <v>8000</v>
      </c>
      <c r="K25" s="225">
        <v>18425</v>
      </c>
      <c r="L25" s="358">
        <v>7193</v>
      </c>
      <c r="M25" s="235">
        <v>0</v>
      </c>
      <c r="N25" s="813">
        <f t="shared" si="6"/>
        <v>7193</v>
      </c>
      <c r="O25" s="955">
        <f t="shared" si="1"/>
        <v>89.912499999999994</v>
      </c>
      <c r="P25" s="956">
        <f t="shared" si="2"/>
        <v>39.039348710990502</v>
      </c>
    </row>
    <row r="26" spans="1:17" ht="12.95" customHeight="1">
      <c r="B26" s="10"/>
      <c r="C26" s="11"/>
      <c r="D26" s="11"/>
      <c r="E26" s="163"/>
      <c r="F26" s="177">
        <v>613900</v>
      </c>
      <c r="G26" s="196"/>
      <c r="H26" s="429" t="s">
        <v>435</v>
      </c>
      <c r="I26" s="237">
        <v>0</v>
      </c>
      <c r="J26" s="237">
        <v>0</v>
      </c>
      <c r="K26" s="224">
        <v>0</v>
      </c>
      <c r="L26" s="360">
        <v>0</v>
      </c>
      <c r="M26" s="237">
        <v>0</v>
      </c>
      <c r="N26" s="813">
        <f t="shared" si="6"/>
        <v>0</v>
      </c>
      <c r="O26" s="955" t="str">
        <f t="shared" si="1"/>
        <v/>
      </c>
      <c r="P26" s="956" t="str">
        <f t="shared" si="2"/>
        <v/>
      </c>
    </row>
    <row r="27" spans="1:17" ht="12.95" customHeight="1">
      <c r="B27" s="10"/>
      <c r="C27" s="11"/>
      <c r="D27" s="11"/>
      <c r="E27" s="163"/>
      <c r="F27" s="177"/>
      <c r="G27" s="196"/>
      <c r="H27" s="24"/>
      <c r="I27" s="236"/>
      <c r="J27" s="236"/>
      <c r="K27" s="226"/>
      <c r="L27" s="482"/>
      <c r="M27" s="236"/>
      <c r="N27" s="774"/>
      <c r="O27" s="955" t="str">
        <f t="shared" si="1"/>
        <v/>
      </c>
      <c r="P27" s="956" t="str">
        <f t="shared" si="2"/>
        <v/>
      </c>
    </row>
    <row r="28" spans="1:17" s="1" customFormat="1" ht="12.95" customHeight="1">
      <c r="A28" s="158"/>
      <c r="B28" s="12"/>
      <c r="C28" s="8"/>
      <c r="D28" s="8"/>
      <c r="E28" s="8"/>
      <c r="F28" s="176">
        <v>821000</v>
      </c>
      <c r="G28" s="195"/>
      <c r="H28" s="25" t="s">
        <v>88</v>
      </c>
      <c r="I28" s="236">
        <f t="shared" ref="I28:N28" si="7">I29+I30</f>
        <v>3000</v>
      </c>
      <c r="J28" s="236">
        <f t="shared" si="7"/>
        <v>3000</v>
      </c>
      <c r="K28" s="226">
        <f t="shared" si="7"/>
        <v>515</v>
      </c>
      <c r="L28" s="482">
        <f t="shared" si="7"/>
        <v>2677</v>
      </c>
      <c r="M28" s="236">
        <f t="shared" si="7"/>
        <v>0</v>
      </c>
      <c r="N28" s="774">
        <f t="shared" si="7"/>
        <v>2677</v>
      </c>
      <c r="O28" s="953">
        <f t="shared" si="1"/>
        <v>89.233333333333334</v>
      </c>
      <c r="P28" s="954">
        <f t="shared" si="2"/>
        <v>519.80582524271847</v>
      </c>
    </row>
    <row r="29" spans="1:17" ht="12.95" customHeight="1">
      <c r="B29" s="10"/>
      <c r="C29" s="11"/>
      <c r="D29" s="11"/>
      <c r="E29" s="163"/>
      <c r="F29" s="177">
        <v>821200</v>
      </c>
      <c r="G29" s="196"/>
      <c r="H29" s="24" t="s">
        <v>89</v>
      </c>
      <c r="I29" s="235">
        <v>0</v>
      </c>
      <c r="J29" s="235">
        <v>0</v>
      </c>
      <c r="K29" s="225">
        <v>0</v>
      </c>
      <c r="L29" s="357">
        <v>0</v>
      </c>
      <c r="M29" s="235">
        <v>0</v>
      </c>
      <c r="N29" s="813">
        <f t="shared" ref="N29:N30" si="8">SUM(L29:M29)</f>
        <v>0</v>
      </c>
      <c r="O29" s="955" t="str">
        <f t="shared" si="1"/>
        <v/>
      </c>
      <c r="P29" s="956" t="str">
        <f t="shared" si="2"/>
        <v/>
      </c>
    </row>
    <row r="30" spans="1:17" ht="12.95" customHeight="1">
      <c r="B30" s="10"/>
      <c r="C30" s="11"/>
      <c r="D30" s="11"/>
      <c r="E30" s="163"/>
      <c r="F30" s="177">
        <v>821300</v>
      </c>
      <c r="G30" s="196"/>
      <c r="H30" s="24" t="s">
        <v>90</v>
      </c>
      <c r="I30" s="235">
        <v>3000</v>
      </c>
      <c r="J30" s="235">
        <v>3000</v>
      </c>
      <c r="K30" s="225">
        <v>515</v>
      </c>
      <c r="L30" s="357">
        <v>2677</v>
      </c>
      <c r="M30" s="235">
        <v>0</v>
      </c>
      <c r="N30" s="813">
        <f t="shared" si="8"/>
        <v>2677</v>
      </c>
      <c r="O30" s="955">
        <f t="shared" si="1"/>
        <v>89.233333333333334</v>
      </c>
      <c r="P30" s="956">
        <f t="shared" si="2"/>
        <v>519.80582524271847</v>
      </c>
    </row>
    <row r="31" spans="1:17" ht="12.95" customHeight="1">
      <c r="B31" s="10"/>
      <c r="C31" s="11"/>
      <c r="D31" s="11"/>
      <c r="E31" s="163"/>
      <c r="F31" s="177"/>
      <c r="G31" s="196"/>
      <c r="H31" s="24"/>
      <c r="I31" s="232"/>
      <c r="J31" s="232"/>
      <c r="K31" s="223"/>
      <c r="L31" s="484"/>
      <c r="M31" s="232"/>
      <c r="N31" s="774"/>
      <c r="O31" s="955" t="str">
        <f t="shared" si="1"/>
        <v/>
      </c>
      <c r="P31" s="956" t="str">
        <f t="shared" si="2"/>
        <v/>
      </c>
    </row>
    <row r="32" spans="1:17" s="1" customFormat="1" ht="12.95" customHeight="1">
      <c r="A32" s="158"/>
      <c r="B32" s="12"/>
      <c r="C32" s="8"/>
      <c r="D32" s="8"/>
      <c r="E32" s="8"/>
      <c r="F32" s="176"/>
      <c r="G32" s="195"/>
      <c r="H32" s="25" t="s">
        <v>91</v>
      </c>
      <c r="I32" s="232">
        <v>3</v>
      </c>
      <c r="J32" s="232">
        <v>3</v>
      </c>
      <c r="K32" s="223">
        <v>3</v>
      </c>
      <c r="L32" s="482">
        <v>3</v>
      </c>
      <c r="M32" s="232"/>
      <c r="N32" s="774">
        <v>3</v>
      </c>
      <c r="O32" s="955"/>
      <c r="P32" s="956"/>
    </row>
    <row r="33" spans="1:16" s="1" customFormat="1" ht="12.95" customHeight="1">
      <c r="A33" s="158"/>
      <c r="B33" s="12"/>
      <c r="C33" s="8"/>
      <c r="D33" s="8"/>
      <c r="E33" s="8"/>
      <c r="F33" s="176"/>
      <c r="G33" s="195"/>
      <c r="H33" s="8" t="s">
        <v>105</v>
      </c>
      <c r="I33" s="367">
        <f t="shared" ref="I33:K33" si="9">I8+I13+I16+I28</f>
        <v>107700</v>
      </c>
      <c r="J33" s="165">
        <f t="shared" si="9"/>
        <v>107700</v>
      </c>
      <c r="K33" s="153">
        <f t="shared" si="9"/>
        <v>88104</v>
      </c>
      <c r="L33" s="370">
        <f>L8+L13+L16+L28</f>
        <v>104200</v>
      </c>
      <c r="M33" s="165">
        <f>M8+M13+M16+M28</f>
        <v>0</v>
      </c>
      <c r="N33" s="774">
        <f>N8+N13+N16+N28</f>
        <v>104200</v>
      </c>
      <c r="O33" s="953">
        <f>IF(J33=0,"",N33/J33*100)</f>
        <v>96.750232126276686</v>
      </c>
      <c r="P33" s="954">
        <f t="shared" si="2"/>
        <v>118.26931807863434</v>
      </c>
    </row>
    <row r="34" spans="1:16" s="1" customFormat="1" ht="12.95" customHeight="1">
      <c r="A34" s="158"/>
      <c r="B34" s="12"/>
      <c r="C34" s="8"/>
      <c r="D34" s="8"/>
      <c r="E34" s="8"/>
      <c r="F34" s="176"/>
      <c r="G34" s="195"/>
      <c r="H34" s="8" t="s">
        <v>92</v>
      </c>
      <c r="I34" s="367">
        <f t="shared" ref="I34:K34" si="10">I33</f>
        <v>107700</v>
      </c>
      <c r="J34" s="165">
        <f t="shared" si="10"/>
        <v>107700</v>
      </c>
      <c r="K34" s="153">
        <f t="shared" si="10"/>
        <v>88104</v>
      </c>
      <c r="L34" s="370">
        <f t="shared" ref="L34:N35" si="11">L33</f>
        <v>104200</v>
      </c>
      <c r="M34" s="165">
        <f t="shared" si="11"/>
        <v>0</v>
      </c>
      <c r="N34" s="774">
        <f t="shared" si="11"/>
        <v>104200</v>
      </c>
      <c r="O34" s="953">
        <f>IF(J34=0,"",N34/J34*100)</f>
        <v>96.750232126276686</v>
      </c>
      <c r="P34" s="954">
        <f t="shared" si="2"/>
        <v>118.26931807863434</v>
      </c>
    </row>
    <row r="35" spans="1:16" s="1" customFormat="1" ht="12.95" customHeight="1">
      <c r="A35" s="158"/>
      <c r="B35" s="12"/>
      <c r="C35" s="8"/>
      <c r="D35" s="8"/>
      <c r="E35" s="8"/>
      <c r="F35" s="176"/>
      <c r="G35" s="195"/>
      <c r="H35" s="8" t="s">
        <v>93</v>
      </c>
      <c r="I35" s="15">
        <f t="shared" ref="I35:K35" si="12">I34</f>
        <v>107700</v>
      </c>
      <c r="J35" s="15">
        <f t="shared" si="12"/>
        <v>107700</v>
      </c>
      <c r="K35" s="153">
        <f t="shared" si="12"/>
        <v>88104</v>
      </c>
      <c r="L35" s="370">
        <f t="shared" si="11"/>
        <v>104200</v>
      </c>
      <c r="M35" s="165">
        <f t="shared" si="11"/>
        <v>0</v>
      </c>
      <c r="N35" s="774">
        <f t="shared" si="11"/>
        <v>104200</v>
      </c>
      <c r="O35" s="953">
        <f>IF(J35=0,"",N35/J35*100)</f>
        <v>96.750232126276686</v>
      </c>
      <c r="P35" s="954">
        <f t="shared" si="2"/>
        <v>118.26931807863434</v>
      </c>
    </row>
    <row r="36" spans="1:16" ht="12.95" customHeight="1" thickBot="1">
      <c r="B36" s="16"/>
      <c r="C36" s="17"/>
      <c r="D36" s="17"/>
      <c r="E36" s="17"/>
      <c r="F36" s="178"/>
      <c r="G36" s="197"/>
      <c r="H36" s="17"/>
      <c r="I36" s="17"/>
      <c r="J36" s="17"/>
      <c r="K36" s="355"/>
      <c r="L36" s="16"/>
      <c r="M36" s="17"/>
      <c r="N36" s="800"/>
      <c r="O36" s="957"/>
      <c r="P36" s="958" t="str">
        <f t="shared" si="2"/>
        <v/>
      </c>
    </row>
    <row r="37" spans="1:16" ht="12.95" customHeight="1">
      <c r="F37" s="179"/>
      <c r="G37" s="198"/>
      <c r="N37" s="253"/>
      <c r="P37" s="214" t="str">
        <f t="shared" si="2"/>
        <v/>
      </c>
    </row>
    <row r="38" spans="1:16" ht="12.95" customHeight="1">
      <c r="B38" s="45"/>
      <c r="F38" s="179"/>
      <c r="G38" s="198"/>
      <c r="N38" s="253"/>
      <c r="P38" s="214" t="str">
        <f t="shared" si="2"/>
        <v/>
      </c>
    </row>
    <row r="39" spans="1:16" ht="12.95" customHeight="1">
      <c r="B39" s="45"/>
      <c r="F39" s="179"/>
      <c r="G39" s="198"/>
      <c r="N39" s="253"/>
      <c r="P39" s="214" t="str">
        <f t="shared" si="2"/>
        <v/>
      </c>
    </row>
    <row r="40" spans="1:16" ht="12.95" customHeight="1">
      <c r="F40" s="179"/>
      <c r="G40" s="198"/>
      <c r="N40" s="253"/>
      <c r="P40" s="214" t="str">
        <f t="shared" si="2"/>
        <v/>
      </c>
    </row>
    <row r="41" spans="1:16" ht="12.95" customHeight="1">
      <c r="F41" s="179"/>
      <c r="G41" s="198"/>
      <c r="N41" s="253"/>
      <c r="P41" s="214" t="str">
        <f t="shared" si="2"/>
        <v/>
      </c>
    </row>
    <row r="42" spans="1:16" ht="12.95" customHeight="1">
      <c r="F42" s="179"/>
      <c r="G42" s="198"/>
      <c r="N42" s="253"/>
      <c r="P42" s="214" t="str">
        <f t="shared" si="2"/>
        <v/>
      </c>
    </row>
    <row r="43" spans="1:16" ht="12.95" customHeight="1">
      <c r="F43" s="179"/>
      <c r="G43" s="198"/>
      <c r="N43" s="253"/>
      <c r="P43" s="214" t="str">
        <f t="shared" si="2"/>
        <v/>
      </c>
    </row>
    <row r="44" spans="1:16" ht="12.95" customHeight="1">
      <c r="F44" s="179"/>
      <c r="G44" s="198"/>
      <c r="N44" s="253"/>
      <c r="P44" s="214" t="str">
        <f t="shared" si="2"/>
        <v/>
      </c>
    </row>
    <row r="45" spans="1:16" ht="12.95" customHeight="1">
      <c r="F45" s="179"/>
      <c r="G45" s="198"/>
      <c r="N45" s="253"/>
      <c r="P45" s="214" t="str">
        <f t="shared" si="2"/>
        <v/>
      </c>
    </row>
    <row r="46" spans="1:16" ht="12.95" customHeight="1">
      <c r="F46" s="179"/>
      <c r="G46" s="198"/>
      <c r="N46" s="253"/>
      <c r="P46" s="214" t="str">
        <f t="shared" si="2"/>
        <v/>
      </c>
    </row>
    <row r="47" spans="1:16" ht="12.95" customHeight="1">
      <c r="F47" s="179"/>
      <c r="G47" s="198"/>
      <c r="N47" s="253"/>
      <c r="P47" s="214" t="str">
        <f t="shared" si="2"/>
        <v/>
      </c>
    </row>
    <row r="48" spans="1:16" ht="12.95" customHeight="1">
      <c r="F48" s="179"/>
      <c r="G48" s="198"/>
      <c r="N48" s="253"/>
      <c r="P48" s="214" t="str">
        <f t="shared" si="2"/>
        <v/>
      </c>
    </row>
    <row r="49" spans="6:16" ht="12.95" customHeight="1">
      <c r="F49" s="179"/>
      <c r="G49" s="198"/>
      <c r="N49" s="253"/>
      <c r="P49" s="214" t="str">
        <f t="shared" si="2"/>
        <v/>
      </c>
    </row>
    <row r="50" spans="6:16" ht="12.95" customHeight="1">
      <c r="F50" s="179"/>
      <c r="G50" s="198"/>
      <c r="N50" s="253"/>
      <c r="P50" s="214" t="str">
        <f t="shared" si="2"/>
        <v/>
      </c>
    </row>
    <row r="51" spans="6:16" ht="12.95" customHeight="1">
      <c r="F51" s="179"/>
      <c r="G51" s="198"/>
      <c r="N51" s="253"/>
      <c r="P51" s="214" t="str">
        <f t="shared" si="2"/>
        <v/>
      </c>
    </row>
    <row r="52" spans="6:16" ht="12.95" customHeight="1">
      <c r="F52" s="179"/>
      <c r="G52" s="198"/>
      <c r="N52" s="253"/>
      <c r="P52" s="214" t="str">
        <f t="shared" si="2"/>
        <v/>
      </c>
    </row>
    <row r="53" spans="6:16" ht="12.95" customHeight="1">
      <c r="F53" s="179"/>
      <c r="G53" s="198"/>
      <c r="N53" s="253"/>
      <c r="P53" s="214" t="str">
        <f t="shared" si="2"/>
        <v/>
      </c>
    </row>
    <row r="54" spans="6:16" ht="12.95" customHeight="1">
      <c r="F54" s="179"/>
      <c r="G54" s="198"/>
      <c r="N54" s="253"/>
    </row>
    <row r="55" spans="6:16" ht="12.95" customHeight="1">
      <c r="F55" s="179"/>
      <c r="G55" s="198"/>
      <c r="N55" s="253"/>
    </row>
    <row r="56" spans="6:16" ht="12.95" customHeight="1">
      <c r="F56" s="179"/>
      <c r="G56" s="198"/>
      <c r="N56" s="253"/>
    </row>
    <row r="57" spans="6:16" ht="12.95" customHeight="1">
      <c r="F57" s="179"/>
      <c r="G57" s="198"/>
      <c r="N57" s="253"/>
    </row>
    <row r="58" spans="6:16" ht="12.95" customHeight="1">
      <c r="F58" s="179"/>
      <c r="G58" s="198"/>
      <c r="N58" s="253"/>
    </row>
    <row r="59" spans="6:16" ht="12.95" customHeight="1">
      <c r="F59" s="179"/>
      <c r="G59" s="198"/>
      <c r="N59" s="253"/>
    </row>
    <row r="60" spans="6:16" ht="17.100000000000001" customHeight="1">
      <c r="F60" s="179"/>
      <c r="G60" s="198"/>
      <c r="N60" s="253"/>
    </row>
    <row r="61" spans="6:16" ht="14.25">
      <c r="F61" s="179"/>
      <c r="G61" s="198"/>
      <c r="N61" s="253"/>
    </row>
    <row r="62" spans="6:16" ht="14.25">
      <c r="F62" s="179"/>
      <c r="G62" s="198"/>
      <c r="N62" s="253"/>
    </row>
    <row r="63" spans="6:16" ht="14.25">
      <c r="F63" s="179"/>
      <c r="G63" s="198"/>
      <c r="N63" s="253"/>
    </row>
    <row r="64" spans="6:16" ht="14.25">
      <c r="F64" s="179"/>
      <c r="G64" s="198"/>
      <c r="N64" s="253"/>
    </row>
    <row r="65" spans="6:14" ht="14.25">
      <c r="F65" s="179"/>
      <c r="G65" s="198"/>
      <c r="N65" s="253"/>
    </row>
    <row r="66" spans="6:14" ht="14.25">
      <c r="F66" s="179"/>
      <c r="G66" s="198"/>
      <c r="N66" s="253"/>
    </row>
    <row r="67" spans="6:14" ht="14.25">
      <c r="F67" s="179"/>
      <c r="G67" s="198"/>
      <c r="N67" s="253"/>
    </row>
    <row r="68" spans="6:14" ht="14.25">
      <c r="F68" s="179"/>
      <c r="G68" s="198"/>
      <c r="N68" s="253"/>
    </row>
    <row r="69" spans="6:14" ht="14.25">
      <c r="F69" s="179"/>
      <c r="G69" s="198"/>
      <c r="N69" s="253"/>
    </row>
    <row r="70" spans="6:14" ht="14.25">
      <c r="F70" s="179"/>
      <c r="G70" s="198"/>
      <c r="N70" s="253"/>
    </row>
    <row r="71" spans="6:14" ht="14.25">
      <c r="F71" s="179"/>
      <c r="G71" s="198"/>
      <c r="N71" s="253"/>
    </row>
    <row r="72" spans="6:14" ht="14.25">
      <c r="F72" s="179"/>
      <c r="G72" s="198"/>
      <c r="N72" s="253"/>
    </row>
    <row r="73" spans="6:14" ht="14.25">
      <c r="F73" s="179"/>
      <c r="G73" s="198"/>
      <c r="N73" s="253"/>
    </row>
    <row r="74" spans="6:14" ht="14.25">
      <c r="F74" s="179"/>
      <c r="G74" s="179"/>
      <c r="N74" s="253"/>
    </row>
    <row r="75" spans="6:14" ht="14.25">
      <c r="F75" s="179"/>
      <c r="G75" s="179"/>
      <c r="N75" s="253"/>
    </row>
    <row r="76" spans="6:14" ht="14.25">
      <c r="F76" s="179"/>
      <c r="G76" s="179"/>
      <c r="N76" s="253"/>
    </row>
    <row r="77" spans="6:14" ht="14.25">
      <c r="F77" s="179"/>
      <c r="G77" s="179"/>
      <c r="N77" s="253"/>
    </row>
    <row r="78" spans="6:14" ht="14.25">
      <c r="F78" s="179"/>
      <c r="G78" s="179"/>
      <c r="N78" s="253"/>
    </row>
    <row r="79" spans="6:14" ht="14.25">
      <c r="F79" s="179"/>
      <c r="G79" s="179"/>
      <c r="N79" s="253"/>
    </row>
    <row r="80" spans="6:14" ht="14.25">
      <c r="F80" s="179"/>
      <c r="G80" s="179"/>
      <c r="N80" s="253"/>
    </row>
    <row r="81" spans="6:14" ht="14.25">
      <c r="F81" s="179"/>
      <c r="G81" s="179"/>
      <c r="N81" s="253"/>
    </row>
    <row r="82" spans="6:14" ht="14.25">
      <c r="F82" s="179"/>
      <c r="G82" s="179"/>
      <c r="N82" s="253"/>
    </row>
    <row r="83" spans="6:14" ht="14.25">
      <c r="F83" s="179"/>
      <c r="G83" s="179"/>
      <c r="N83" s="253"/>
    </row>
    <row r="84" spans="6:14" ht="14.25">
      <c r="F84" s="179"/>
      <c r="G84" s="179"/>
      <c r="N84" s="253"/>
    </row>
    <row r="85" spans="6:14" ht="14.25">
      <c r="F85" s="179"/>
      <c r="G85" s="179"/>
      <c r="N85" s="253"/>
    </row>
    <row r="86" spans="6:14" ht="14.25">
      <c r="F86" s="179"/>
      <c r="G86" s="179"/>
      <c r="N86" s="253"/>
    </row>
    <row r="87" spans="6:14" ht="14.25">
      <c r="F87" s="179"/>
      <c r="G87" s="179"/>
      <c r="N87" s="253"/>
    </row>
    <row r="88" spans="6:14" ht="14.25">
      <c r="F88" s="179"/>
      <c r="G88" s="179"/>
      <c r="N88" s="253"/>
    </row>
    <row r="89" spans="6:14" ht="14.25">
      <c r="F89" s="179"/>
      <c r="G89" s="179"/>
      <c r="N89" s="253"/>
    </row>
    <row r="90" spans="6:14" ht="14.25">
      <c r="F90" s="179"/>
      <c r="G90" s="179"/>
      <c r="N90" s="253"/>
    </row>
    <row r="91" spans="6:14">
      <c r="G91" s="179"/>
    </row>
    <row r="92" spans="6:14">
      <c r="G92" s="179"/>
    </row>
    <row r="93" spans="6:14">
      <c r="G93" s="179"/>
    </row>
    <row r="94" spans="6:14">
      <c r="G94" s="179"/>
    </row>
    <row r="95" spans="6:14">
      <c r="G95" s="179"/>
    </row>
    <row r="96" spans="6:14">
      <c r="G96" s="179"/>
    </row>
  </sheetData>
  <mergeCells count="15">
    <mergeCell ref="P4:P5"/>
    <mergeCell ref="B2:P2"/>
    <mergeCell ref="K4:K5"/>
    <mergeCell ref="O4:O5"/>
    <mergeCell ref="H4:H5"/>
    <mergeCell ref="H3:I3"/>
    <mergeCell ref="L4:N4"/>
    <mergeCell ref="B4:B5"/>
    <mergeCell ref="C4:C5"/>
    <mergeCell ref="D4:D5"/>
    <mergeCell ref="G4:G5"/>
    <mergeCell ref="F4:F5"/>
    <mergeCell ref="I4:I5"/>
    <mergeCell ref="J4:J5"/>
    <mergeCell ref="E4:E5"/>
  </mergeCells>
  <phoneticPr fontId="2" type="noConversion"/>
  <pageMargins left="0.78740157480314965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>
  <sheetPr codeName="Sheet41"/>
  <dimension ref="A1:S96"/>
  <sheetViews>
    <sheetView zoomScaleNormal="100" workbookViewId="0">
      <selection activeCell="N33" sqref="N33"/>
    </sheetView>
  </sheetViews>
  <sheetFormatPr defaultColWidth="9.140625" defaultRowHeight="12.75"/>
  <cols>
    <col min="1" max="1" width="4.42578125" style="161" customWidth="1"/>
    <col min="2" max="2" width="4.7109375" style="9" customWidth="1"/>
    <col min="3" max="3" width="5.140625" style="9" customWidth="1"/>
    <col min="4" max="4" width="5" style="9" customWidth="1"/>
    <col min="5" max="5" width="5" style="161" customWidth="1"/>
    <col min="6" max="6" width="8.7109375" style="18" customWidth="1"/>
    <col min="7" max="7" width="8.7109375" style="166" customWidth="1"/>
    <col min="8" max="8" width="50.7109375" style="9" customWidth="1"/>
    <col min="9" max="10" width="14.7109375" style="51" customWidth="1"/>
    <col min="11" max="11" width="12.5703125" style="51" customWidth="1"/>
    <col min="12" max="13" width="14.7109375" style="51" customWidth="1"/>
    <col min="14" max="14" width="15.7109375" style="51" customWidth="1"/>
    <col min="15" max="16" width="7.7109375" style="214" customWidth="1"/>
    <col min="17" max="16384" width="9.140625" style="9"/>
  </cols>
  <sheetData>
    <row r="1" spans="1:19" ht="13.5" thickBot="1"/>
    <row r="2" spans="1:19" s="79" customFormat="1" ht="20.100000000000001" customHeight="1" thickTop="1" thickBot="1">
      <c r="A2" s="244"/>
      <c r="B2" s="1034" t="s">
        <v>652</v>
      </c>
      <c r="C2" s="1035"/>
      <c r="D2" s="1035"/>
      <c r="E2" s="1035"/>
      <c r="F2" s="1035"/>
      <c r="G2" s="1035"/>
      <c r="H2" s="1035"/>
      <c r="I2" s="1035"/>
      <c r="J2" s="1057"/>
      <c r="K2" s="1057"/>
      <c r="L2" s="1057"/>
      <c r="M2" s="1057"/>
      <c r="N2" s="1057"/>
      <c r="O2" s="1057"/>
      <c r="P2" s="1036"/>
      <c r="R2" s="244"/>
    </row>
    <row r="3" spans="1:19" s="1" customFormat="1" ht="8.1" customHeight="1" thickTop="1" thickBot="1">
      <c r="A3" s="158"/>
      <c r="E3" s="158"/>
      <c r="F3" s="2"/>
      <c r="G3" s="159"/>
      <c r="H3" s="1039"/>
      <c r="I3" s="1039"/>
      <c r="J3" s="139"/>
      <c r="K3" s="721"/>
      <c r="L3" s="74"/>
      <c r="M3" s="74"/>
      <c r="N3" s="74"/>
      <c r="O3" s="208"/>
      <c r="P3" s="208"/>
    </row>
    <row r="4" spans="1:19" s="1" customFormat="1" ht="39" customHeight="1">
      <c r="A4" s="158"/>
      <c r="B4" s="1043" t="s">
        <v>76</v>
      </c>
      <c r="C4" s="1045" t="s">
        <v>77</v>
      </c>
      <c r="D4" s="1047" t="s">
        <v>102</v>
      </c>
      <c r="E4" s="1062" t="s">
        <v>692</v>
      </c>
      <c r="F4" s="1058" t="s">
        <v>466</v>
      </c>
      <c r="G4" s="1048" t="s">
        <v>493</v>
      </c>
      <c r="H4" s="1050" t="s">
        <v>78</v>
      </c>
      <c r="I4" s="1059" t="s">
        <v>901</v>
      </c>
      <c r="J4" s="1068" t="s">
        <v>813</v>
      </c>
      <c r="K4" s="1037" t="s">
        <v>906</v>
      </c>
      <c r="L4" s="1040" t="s">
        <v>905</v>
      </c>
      <c r="M4" s="1041"/>
      <c r="N4" s="1042"/>
      <c r="O4" s="1054" t="s">
        <v>945</v>
      </c>
      <c r="P4" s="1032" t="s">
        <v>946</v>
      </c>
      <c r="R4" s="61"/>
    </row>
    <row r="5" spans="1:19" s="158" customFormat="1" ht="27" customHeight="1">
      <c r="B5" s="1044"/>
      <c r="C5" s="1046"/>
      <c r="D5" s="1046"/>
      <c r="E5" s="1049"/>
      <c r="F5" s="1051"/>
      <c r="G5" s="1049"/>
      <c r="H5" s="1051"/>
      <c r="I5" s="1051"/>
      <c r="J5" s="1051"/>
      <c r="K5" s="1038"/>
      <c r="L5" s="373" t="s">
        <v>526</v>
      </c>
      <c r="M5" s="242" t="s">
        <v>527</v>
      </c>
      <c r="N5" s="764" t="s">
        <v>319</v>
      </c>
      <c r="O5" s="1055"/>
      <c r="P5" s="1033"/>
    </row>
    <row r="6" spans="1:19" s="2" customFormat="1" ht="12.95" customHeight="1">
      <c r="A6" s="159"/>
      <c r="B6" s="328">
        <v>1</v>
      </c>
      <c r="C6" s="195">
        <v>2</v>
      </c>
      <c r="D6" s="195">
        <v>3</v>
      </c>
      <c r="E6" s="195">
        <v>4</v>
      </c>
      <c r="F6" s="195">
        <v>5</v>
      </c>
      <c r="G6" s="195">
        <v>6</v>
      </c>
      <c r="H6" s="195">
        <v>7</v>
      </c>
      <c r="I6" s="195">
        <v>8</v>
      </c>
      <c r="J6" s="195">
        <v>9</v>
      </c>
      <c r="K6" s="188">
        <v>10</v>
      </c>
      <c r="L6" s="328">
        <v>11</v>
      </c>
      <c r="M6" s="195">
        <v>12</v>
      </c>
      <c r="N6" s="810" t="s">
        <v>694</v>
      </c>
      <c r="O6" s="929" t="s">
        <v>814</v>
      </c>
      <c r="P6" s="930" t="s">
        <v>944</v>
      </c>
    </row>
    <row r="7" spans="1:19" s="2" customFormat="1" ht="12.95" customHeight="1">
      <c r="A7" s="159"/>
      <c r="B7" s="6" t="s">
        <v>137</v>
      </c>
      <c r="C7" s="7" t="s">
        <v>79</v>
      </c>
      <c r="D7" s="7" t="s">
        <v>80</v>
      </c>
      <c r="E7" s="415" t="s">
        <v>698</v>
      </c>
      <c r="F7" s="5"/>
      <c r="G7" s="160"/>
      <c r="H7" s="5"/>
      <c r="I7" s="378"/>
      <c r="J7" s="70"/>
      <c r="K7" s="726"/>
      <c r="L7" s="391"/>
      <c r="M7" s="70"/>
      <c r="N7" s="832"/>
      <c r="O7" s="951"/>
      <c r="P7" s="952"/>
    </row>
    <row r="8" spans="1:19" s="1" customFormat="1" ht="12.95" customHeight="1">
      <c r="A8" s="158"/>
      <c r="B8" s="12"/>
      <c r="C8" s="8"/>
      <c r="D8" s="8"/>
      <c r="E8" s="8"/>
      <c r="F8" s="176">
        <v>611000</v>
      </c>
      <c r="G8" s="195"/>
      <c r="H8" s="25" t="s">
        <v>140</v>
      </c>
      <c r="I8" s="236">
        <f t="shared" ref="I8:N8" si="0">SUM(I9:I11)</f>
        <v>377120</v>
      </c>
      <c r="J8" s="236">
        <f t="shared" si="0"/>
        <v>378250</v>
      </c>
      <c r="K8" s="226">
        <f t="shared" si="0"/>
        <v>457349</v>
      </c>
      <c r="L8" s="482">
        <f t="shared" si="0"/>
        <v>342229</v>
      </c>
      <c r="M8" s="236">
        <f t="shared" si="0"/>
        <v>35862</v>
      </c>
      <c r="N8" s="812">
        <f t="shared" si="0"/>
        <v>378091</v>
      </c>
      <c r="O8" s="953">
        <f t="shared" ref="O8:O31" si="1">IF(J8=0,"",N8/J8*100)</f>
        <v>99.957964309319237</v>
      </c>
      <c r="P8" s="954">
        <f>IF(K8=0,"",N8/K8*100)</f>
        <v>82.670127189520471</v>
      </c>
      <c r="R8" s="52"/>
    </row>
    <row r="9" spans="1:19" ht="12.95" customHeight="1">
      <c r="B9" s="10"/>
      <c r="C9" s="11"/>
      <c r="D9" s="11"/>
      <c r="E9" s="163"/>
      <c r="F9" s="177">
        <v>611100</v>
      </c>
      <c r="G9" s="196"/>
      <c r="H9" s="428" t="s">
        <v>161</v>
      </c>
      <c r="I9" s="237">
        <v>310900</v>
      </c>
      <c r="J9" s="237">
        <v>311050</v>
      </c>
      <c r="K9" s="224">
        <v>383985</v>
      </c>
      <c r="L9" s="360">
        <v>283598</v>
      </c>
      <c r="M9" s="237">
        <v>27293</v>
      </c>
      <c r="N9" s="813">
        <f>SUM(L9:M9)</f>
        <v>310891</v>
      </c>
      <c r="O9" s="955">
        <f t="shared" si="1"/>
        <v>99.948882816267485</v>
      </c>
      <c r="P9" s="956">
        <f t="shared" ref="P9:P53" si="2">IF(K9=0,"",N9/K9*100)</f>
        <v>80.964360587002091</v>
      </c>
      <c r="R9" s="51"/>
      <c r="S9" s="51"/>
    </row>
    <row r="10" spans="1:19" ht="12.95" customHeight="1">
      <c r="B10" s="10"/>
      <c r="C10" s="11"/>
      <c r="D10" s="11"/>
      <c r="E10" s="163"/>
      <c r="F10" s="177">
        <v>611200</v>
      </c>
      <c r="G10" s="196"/>
      <c r="H10" s="24" t="s">
        <v>162</v>
      </c>
      <c r="I10" s="237">
        <v>66220</v>
      </c>
      <c r="J10" s="237">
        <v>67200</v>
      </c>
      <c r="K10" s="224">
        <v>73364</v>
      </c>
      <c r="L10" s="360">
        <f>67200-8569</f>
        <v>58631</v>
      </c>
      <c r="M10" s="237">
        <v>8569</v>
      </c>
      <c r="N10" s="813">
        <f t="shared" ref="N10:N11" si="3">SUM(L10:M10)</f>
        <v>67200</v>
      </c>
      <c r="O10" s="955">
        <f t="shared" si="1"/>
        <v>100</v>
      </c>
      <c r="P10" s="956">
        <f t="shared" si="2"/>
        <v>91.598058993511799</v>
      </c>
      <c r="R10" s="51"/>
      <c r="S10" s="51"/>
    </row>
    <row r="11" spans="1:19" ht="12.95" customHeight="1">
      <c r="B11" s="10"/>
      <c r="C11" s="11"/>
      <c r="D11" s="11"/>
      <c r="E11" s="163"/>
      <c r="F11" s="177">
        <v>611200</v>
      </c>
      <c r="G11" s="196"/>
      <c r="H11" s="429" t="s">
        <v>434</v>
      </c>
      <c r="I11" s="235">
        <v>0</v>
      </c>
      <c r="J11" s="235">
        <v>0</v>
      </c>
      <c r="K11" s="225">
        <v>0</v>
      </c>
      <c r="L11" s="357">
        <v>0</v>
      </c>
      <c r="M11" s="235">
        <v>0</v>
      </c>
      <c r="N11" s="813">
        <f t="shared" si="3"/>
        <v>0</v>
      </c>
      <c r="O11" s="955" t="str">
        <f t="shared" si="1"/>
        <v/>
      </c>
      <c r="P11" s="956" t="str">
        <f t="shared" si="2"/>
        <v/>
      </c>
      <c r="R11" s="50"/>
    </row>
    <row r="12" spans="1:19" ht="12.95" customHeight="1">
      <c r="B12" s="10"/>
      <c r="C12" s="11"/>
      <c r="D12" s="11"/>
      <c r="E12" s="163"/>
      <c r="F12" s="177"/>
      <c r="G12" s="196"/>
      <c r="H12" s="24"/>
      <c r="I12" s="236"/>
      <c r="J12" s="236"/>
      <c r="K12" s="226"/>
      <c r="L12" s="482"/>
      <c r="M12" s="236"/>
      <c r="N12" s="812"/>
      <c r="O12" s="955" t="str">
        <f t="shared" si="1"/>
        <v/>
      </c>
      <c r="P12" s="956" t="str">
        <f t="shared" si="2"/>
        <v/>
      </c>
      <c r="R12" s="45"/>
    </row>
    <row r="13" spans="1:19" s="1" customFormat="1" ht="12.95" customHeight="1">
      <c r="A13" s="158"/>
      <c r="B13" s="12"/>
      <c r="C13" s="8"/>
      <c r="D13" s="8"/>
      <c r="E13" s="8"/>
      <c r="F13" s="176">
        <v>612000</v>
      </c>
      <c r="G13" s="195"/>
      <c r="H13" s="25" t="s">
        <v>139</v>
      </c>
      <c r="I13" s="236">
        <f t="shared" ref="I13:N13" si="4">I14</f>
        <v>32620</v>
      </c>
      <c r="J13" s="236">
        <f t="shared" si="4"/>
        <v>32750</v>
      </c>
      <c r="K13" s="226">
        <f t="shared" si="4"/>
        <v>38462</v>
      </c>
      <c r="L13" s="482">
        <f t="shared" si="4"/>
        <v>29825</v>
      </c>
      <c r="M13" s="236">
        <f t="shared" si="4"/>
        <v>2866</v>
      </c>
      <c r="N13" s="812">
        <f t="shared" si="4"/>
        <v>32691</v>
      </c>
      <c r="O13" s="953">
        <f t="shared" si="1"/>
        <v>99.819847328244265</v>
      </c>
      <c r="P13" s="954">
        <f t="shared" si="2"/>
        <v>84.995580053039362</v>
      </c>
    </row>
    <row r="14" spans="1:19" ht="12.95" customHeight="1">
      <c r="B14" s="10"/>
      <c r="C14" s="11"/>
      <c r="D14" s="11"/>
      <c r="E14" s="163"/>
      <c r="F14" s="177">
        <v>612100</v>
      </c>
      <c r="G14" s="196"/>
      <c r="H14" s="430" t="s">
        <v>81</v>
      </c>
      <c r="I14" s="237">
        <v>32620</v>
      </c>
      <c r="J14" s="237">
        <v>32750</v>
      </c>
      <c r="K14" s="224">
        <v>38462</v>
      </c>
      <c r="L14" s="360">
        <f>32691-2866</f>
        <v>29825</v>
      </c>
      <c r="M14" s="237">
        <v>2866</v>
      </c>
      <c r="N14" s="813">
        <f>SUM(L14:M14)</f>
        <v>32691</v>
      </c>
      <c r="O14" s="955">
        <f t="shared" si="1"/>
        <v>99.819847328244265</v>
      </c>
      <c r="P14" s="956">
        <f t="shared" si="2"/>
        <v>84.995580053039362</v>
      </c>
    </row>
    <row r="15" spans="1:19" ht="12.95" customHeight="1">
      <c r="B15" s="10"/>
      <c r="C15" s="11"/>
      <c r="D15" s="11"/>
      <c r="E15" s="163"/>
      <c r="F15" s="177"/>
      <c r="G15" s="196"/>
      <c r="H15" s="24"/>
      <c r="I15" s="232"/>
      <c r="J15" s="232"/>
      <c r="K15" s="223"/>
      <c r="L15" s="484"/>
      <c r="M15" s="232"/>
      <c r="N15" s="774"/>
      <c r="O15" s="955" t="str">
        <f t="shared" si="1"/>
        <v/>
      </c>
      <c r="P15" s="956" t="str">
        <f t="shared" si="2"/>
        <v/>
      </c>
    </row>
    <row r="16" spans="1:19" s="1" customFormat="1" ht="12.95" customHeight="1">
      <c r="A16" s="158"/>
      <c r="B16" s="12"/>
      <c r="C16" s="8"/>
      <c r="D16" s="8"/>
      <c r="E16" s="8"/>
      <c r="F16" s="176">
        <v>613000</v>
      </c>
      <c r="G16" s="195"/>
      <c r="H16" s="25" t="s">
        <v>141</v>
      </c>
      <c r="I16" s="234">
        <f t="shared" ref="I16:N16" si="5">SUM(I17:I26)</f>
        <v>58760</v>
      </c>
      <c r="J16" s="234">
        <f t="shared" si="5"/>
        <v>70250</v>
      </c>
      <c r="K16" s="221">
        <f t="shared" si="5"/>
        <v>67468</v>
      </c>
      <c r="L16" s="483">
        <f t="shared" si="5"/>
        <v>66564</v>
      </c>
      <c r="M16" s="234">
        <f t="shared" si="5"/>
        <v>482</v>
      </c>
      <c r="N16" s="774">
        <f t="shared" si="5"/>
        <v>67046</v>
      </c>
      <c r="O16" s="953">
        <f t="shared" si="1"/>
        <v>95.439145907473318</v>
      </c>
      <c r="P16" s="954">
        <f t="shared" si="2"/>
        <v>99.374518290152366</v>
      </c>
    </row>
    <row r="17" spans="1:17" ht="12.95" customHeight="1">
      <c r="B17" s="10"/>
      <c r="C17" s="11"/>
      <c r="D17" s="11"/>
      <c r="E17" s="163"/>
      <c r="F17" s="177">
        <v>613100</v>
      </c>
      <c r="G17" s="196"/>
      <c r="H17" s="24" t="s">
        <v>82</v>
      </c>
      <c r="I17" s="237">
        <v>1700</v>
      </c>
      <c r="J17" s="237">
        <v>1700</v>
      </c>
      <c r="K17" s="224">
        <v>694</v>
      </c>
      <c r="L17" s="359">
        <f>846-64</f>
        <v>782</v>
      </c>
      <c r="M17" s="233">
        <v>64</v>
      </c>
      <c r="N17" s="813">
        <f t="shared" ref="N17:N26" si="6">SUM(L17:M17)</f>
        <v>846</v>
      </c>
      <c r="O17" s="955">
        <f t="shared" si="1"/>
        <v>49.764705882352942</v>
      </c>
      <c r="P17" s="956">
        <f t="shared" si="2"/>
        <v>121.90201729106629</v>
      </c>
    </row>
    <row r="18" spans="1:17" ht="12.95" customHeight="1">
      <c r="B18" s="10"/>
      <c r="C18" s="11"/>
      <c r="D18" s="11"/>
      <c r="E18" s="163"/>
      <c r="F18" s="177">
        <v>613200</v>
      </c>
      <c r="G18" s="196"/>
      <c r="H18" s="24" t="s">
        <v>83</v>
      </c>
      <c r="I18" s="237">
        <v>4800</v>
      </c>
      <c r="J18" s="237">
        <v>4800</v>
      </c>
      <c r="K18" s="224">
        <v>4071</v>
      </c>
      <c r="L18" s="359">
        <v>4158</v>
      </c>
      <c r="M18" s="233">
        <v>0</v>
      </c>
      <c r="N18" s="813">
        <f t="shared" si="6"/>
        <v>4158</v>
      </c>
      <c r="O18" s="955">
        <f t="shared" si="1"/>
        <v>86.625</v>
      </c>
      <c r="P18" s="956">
        <f t="shared" si="2"/>
        <v>102.13706705969049</v>
      </c>
    </row>
    <row r="19" spans="1:17" ht="12.95" customHeight="1">
      <c r="B19" s="10"/>
      <c r="C19" s="11"/>
      <c r="D19" s="11"/>
      <c r="E19" s="163"/>
      <c r="F19" s="177">
        <v>613300</v>
      </c>
      <c r="G19" s="196"/>
      <c r="H19" s="428" t="s">
        <v>163</v>
      </c>
      <c r="I19" s="237">
        <v>8900</v>
      </c>
      <c r="J19" s="237">
        <v>8900</v>
      </c>
      <c r="K19" s="224">
        <v>8617</v>
      </c>
      <c r="L19" s="360">
        <v>8385</v>
      </c>
      <c r="M19" s="237">
        <v>0</v>
      </c>
      <c r="N19" s="813">
        <f t="shared" si="6"/>
        <v>8385</v>
      </c>
      <c r="O19" s="955">
        <f t="shared" si="1"/>
        <v>94.213483146067418</v>
      </c>
      <c r="P19" s="956">
        <f t="shared" si="2"/>
        <v>97.30764767320413</v>
      </c>
      <c r="Q19" s="45"/>
    </row>
    <row r="20" spans="1:17" ht="12.95" customHeight="1">
      <c r="B20" s="10"/>
      <c r="C20" s="11"/>
      <c r="D20" s="11"/>
      <c r="E20" s="163"/>
      <c r="F20" s="177">
        <v>613400</v>
      </c>
      <c r="G20" s="196"/>
      <c r="H20" s="24" t="s">
        <v>142</v>
      </c>
      <c r="I20" s="237">
        <v>1800</v>
      </c>
      <c r="J20" s="237">
        <v>9600</v>
      </c>
      <c r="K20" s="224">
        <v>8752</v>
      </c>
      <c r="L20" s="360">
        <v>9344</v>
      </c>
      <c r="M20" s="233">
        <v>0</v>
      </c>
      <c r="N20" s="813">
        <f t="shared" si="6"/>
        <v>9344</v>
      </c>
      <c r="O20" s="955">
        <f t="shared" si="1"/>
        <v>97.333333333333343</v>
      </c>
      <c r="P20" s="956">
        <f t="shared" si="2"/>
        <v>106.76416819012798</v>
      </c>
      <c r="Q20" s="60"/>
    </row>
    <row r="21" spans="1:17" ht="12.95" customHeight="1">
      <c r="B21" s="10"/>
      <c r="C21" s="11"/>
      <c r="D21" s="11"/>
      <c r="E21" s="163"/>
      <c r="F21" s="177">
        <v>613500</v>
      </c>
      <c r="G21" s="196"/>
      <c r="H21" s="24" t="s">
        <v>84</v>
      </c>
      <c r="I21" s="237">
        <v>2200</v>
      </c>
      <c r="J21" s="237">
        <v>2200</v>
      </c>
      <c r="K21" s="224">
        <v>1073</v>
      </c>
      <c r="L21" s="360">
        <v>1985</v>
      </c>
      <c r="M21" s="237">
        <v>0</v>
      </c>
      <c r="N21" s="813">
        <f t="shared" si="6"/>
        <v>1985</v>
      </c>
      <c r="O21" s="955">
        <f t="shared" si="1"/>
        <v>90.22727272727272</v>
      </c>
      <c r="P21" s="956">
        <f t="shared" si="2"/>
        <v>184.99534016775397</v>
      </c>
      <c r="Q21" s="45"/>
    </row>
    <row r="22" spans="1:17" ht="12.95" customHeight="1">
      <c r="B22" s="10"/>
      <c r="C22" s="11"/>
      <c r="D22" s="11"/>
      <c r="E22" s="163"/>
      <c r="F22" s="177">
        <v>613600</v>
      </c>
      <c r="G22" s="196"/>
      <c r="H22" s="428" t="s">
        <v>164</v>
      </c>
      <c r="I22" s="237">
        <v>0</v>
      </c>
      <c r="J22" s="237">
        <v>0</v>
      </c>
      <c r="K22" s="224">
        <v>0</v>
      </c>
      <c r="L22" s="359">
        <v>0</v>
      </c>
      <c r="M22" s="233">
        <v>0</v>
      </c>
      <c r="N22" s="813">
        <f t="shared" si="6"/>
        <v>0</v>
      </c>
      <c r="O22" s="955" t="str">
        <f t="shared" si="1"/>
        <v/>
      </c>
      <c r="P22" s="956" t="str">
        <f t="shared" si="2"/>
        <v/>
      </c>
    </row>
    <row r="23" spans="1:17" ht="12.95" customHeight="1">
      <c r="B23" s="10"/>
      <c r="C23" s="11"/>
      <c r="D23" s="11"/>
      <c r="E23" s="163"/>
      <c r="F23" s="177">
        <v>613700</v>
      </c>
      <c r="G23" s="196"/>
      <c r="H23" s="24" t="s">
        <v>85</v>
      </c>
      <c r="I23" s="237">
        <v>1400</v>
      </c>
      <c r="J23" s="237">
        <v>1400</v>
      </c>
      <c r="K23" s="224">
        <v>1106</v>
      </c>
      <c r="L23" s="360">
        <v>792</v>
      </c>
      <c r="M23" s="237">
        <v>0</v>
      </c>
      <c r="N23" s="813">
        <f t="shared" si="6"/>
        <v>792</v>
      </c>
      <c r="O23" s="955">
        <f t="shared" si="1"/>
        <v>56.571428571428569</v>
      </c>
      <c r="P23" s="956">
        <f t="shared" si="2"/>
        <v>71.609403254972875</v>
      </c>
      <c r="Q23" s="45"/>
    </row>
    <row r="24" spans="1:17" ht="12.95" customHeight="1">
      <c r="B24" s="10"/>
      <c r="C24" s="11"/>
      <c r="D24" s="11"/>
      <c r="E24" s="163"/>
      <c r="F24" s="177">
        <v>613800</v>
      </c>
      <c r="G24" s="196"/>
      <c r="H24" s="24" t="s">
        <v>143</v>
      </c>
      <c r="I24" s="237">
        <v>600</v>
      </c>
      <c r="J24" s="237">
        <v>600</v>
      </c>
      <c r="K24" s="224">
        <v>558</v>
      </c>
      <c r="L24" s="360">
        <v>558</v>
      </c>
      <c r="M24" s="237">
        <v>0</v>
      </c>
      <c r="N24" s="813">
        <f t="shared" si="6"/>
        <v>558</v>
      </c>
      <c r="O24" s="955">
        <f t="shared" si="1"/>
        <v>93</v>
      </c>
      <c r="P24" s="956">
        <f t="shared" si="2"/>
        <v>100</v>
      </c>
    </row>
    <row r="25" spans="1:17" ht="12.95" customHeight="1">
      <c r="B25" s="10"/>
      <c r="C25" s="11"/>
      <c r="D25" s="11"/>
      <c r="E25" s="163"/>
      <c r="F25" s="177">
        <v>613900</v>
      </c>
      <c r="G25" s="196"/>
      <c r="H25" s="24" t="s">
        <v>144</v>
      </c>
      <c r="I25" s="237">
        <v>37360</v>
      </c>
      <c r="J25" s="237">
        <v>41050</v>
      </c>
      <c r="K25" s="224">
        <v>42597</v>
      </c>
      <c r="L25" s="360">
        <f>40978-418</f>
        <v>40560</v>
      </c>
      <c r="M25" s="237">
        <v>418</v>
      </c>
      <c r="N25" s="813">
        <f t="shared" si="6"/>
        <v>40978</v>
      </c>
      <c r="O25" s="955">
        <f t="shared" si="1"/>
        <v>99.824604141291104</v>
      </c>
      <c r="P25" s="956">
        <f t="shared" si="2"/>
        <v>96.199262858886783</v>
      </c>
    </row>
    <row r="26" spans="1:17" ht="12.95" customHeight="1">
      <c r="B26" s="10"/>
      <c r="C26" s="11"/>
      <c r="D26" s="11"/>
      <c r="E26" s="163"/>
      <c r="F26" s="177">
        <v>613900</v>
      </c>
      <c r="G26" s="196"/>
      <c r="H26" s="429" t="s">
        <v>435</v>
      </c>
      <c r="I26" s="237">
        <v>0</v>
      </c>
      <c r="J26" s="237">
        <v>0</v>
      </c>
      <c r="K26" s="224">
        <v>0</v>
      </c>
      <c r="L26" s="360">
        <v>0</v>
      </c>
      <c r="M26" s="237">
        <v>0</v>
      </c>
      <c r="N26" s="813">
        <f t="shared" si="6"/>
        <v>0</v>
      </c>
      <c r="O26" s="955" t="str">
        <f t="shared" si="1"/>
        <v/>
      </c>
      <c r="P26" s="956" t="str">
        <f t="shared" si="2"/>
        <v/>
      </c>
    </row>
    <row r="27" spans="1:17" s="1" customFormat="1" ht="12.95" customHeight="1">
      <c r="A27" s="158"/>
      <c r="B27" s="12"/>
      <c r="C27" s="8"/>
      <c r="D27" s="8"/>
      <c r="E27" s="8"/>
      <c r="F27" s="176"/>
      <c r="G27" s="195"/>
      <c r="H27" s="25"/>
      <c r="I27" s="237"/>
      <c r="J27" s="237"/>
      <c r="K27" s="224"/>
      <c r="L27" s="360"/>
      <c r="M27" s="237"/>
      <c r="N27" s="776"/>
      <c r="O27" s="955" t="str">
        <f t="shared" si="1"/>
        <v/>
      </c>
      <c r="P27" s="956" t="str">
        <f t="shared" si="2"/>
        <v/>
      </c>
    </row>
    <row r="28" spans="1:17" s="1" customFormat="1" ht="12.95" customHeight="1">
      <c r="A28" s="158"/>
      <c r="B28" s="12"/>
      <c r="C28" s="8"/>
      <c r="D28" s="8"/>
      <c r="E28" s="8"/>
      <c r="F28" s="176">
        <v>821000</v>
      </c>
      <c r="G28" s="195"/>
      <c r="H28" s="25" t="s">
        <v>88</v>
      </c>
      <c r="I28" s="236">
        <f t="shared" ref="I28:N28" si="7">I29+I30</f>
        <v>11100</v>
      </c>
      <c r="J28" s="236">
        <f t="shared" si="7"/>
        <v>11100</v>
      </c>
      <c r="K28" s="226">
        <f t="shared" si="7"/>
        <v>930</v>
      </c>
      <c r="L28" s="482">
        <f t="shared" si="7"/>
        <v>10873</v>
      </c>
      <c r="M28" s="236">
        <f t="shared" si="7"/>
        <v>0</v>
      </c>
      <c r="N28" s="774">
        <f t="shared" si="7"/>
        <v>10873</v>
      </c>
      <c r="O28" s="953">
        <f t="shared" si="1"/>
        <v>97.954954954954957</v>
      </c>
      <c r="P28" s="954">
        <f t="shared" si="2"/>
        <v>1169.1397849462367</v>
      </c>
    </row>
    <row r="29" spans="1:17" ht="12.95" customHeight="1">
      <c r="B29" s="10"/>
      <c r="C29" s="11"/>
      <c r="D29" s="11"/>
      <c r="E29" s="163"/>
      <c r="F29" s="177">
        <v>821200</v>
      </c>
      <c r="G29" s="196"/>
      <c r="H29" s="24" t="s">
        <v>89</v>
      </c>
      <c r="I29" s="237">
        <v>0</v>
      </c>
      <c r="J29" s="237">
        <v>0</v>
      </c>
      <c r="K29" s="224">
        <v>0</v>
      </c>
      <c r="L29" s="360">
        <v>0</v>
      </c>
      <c r="M29" s="237">
        <v>0</v>
      </c>
      <c r="N29" s="813">
        <f t="shared" ref="N29:N30" si="8">SUM(L29:M29)</f>
        <v>0</v>
      </c>
      <c r="O29" s="955" t="str">
        <f t="shared" si="1"/>
        <v/>
      </c>
      <c r="P29" s="956" t="str">
        <f t="shared" si="2"/>
        <v/>
      </c>
    </row>
    <row r="30" spans="1:17" ht="12.95" customHeight="1">
      <c r="B30" s="10"/>
      <c r="C30" s="11"/>
      <c r="D30" s="11"/>
      <c r="E30" s="163"/>
      <c r="F30" s="177">
        <v>821300</v>
      </c>
      <c r="G30" s="196"/>
      <c r="H30" s="24" t="s">
        <v>90</v>
      </c>
      <c r="I30" s="237">
        <v>11100</v>
      </c>
      <c r="J30" s="237">
        <v>11100</v>
      </c>
      <c r="K30" s="224">
        <v>930</v>
      </c>
      <c r="L30" s="360">
        <v>10873</v>
      </c>
      <c r="M30" s="237">
        <v>0</v>
      </c>
      <c r="N30" s="813">
        <f t="shared" si="8"/>
        <v>10873</v>
      </c>
      <c r="O30" s="955">
        <f t="shared" si="1"/>
        <v>97.954954954954957</v>
      </c>
      <c r="P30" s="956">
        <f t="shared" si="2"/>
        <v>1169.1397849462367</v>
      </c>
    </row>
    <row r="31" spans="1:17" ht="12.95" customHeight="1">
      <c r="B31" s="10"/>
      <c r="C31" s="11"/>
      <c r="D31" s="11"/>
      <c r="E31" s="163"/>
      <c r="F31" s="177"/>
      <c r="G31" s="196"/>
      <c r="H31" s="24"/>
      <c r="I31" s="233"/>
      <c r="J31" s="233"/>
      <c r="K31" s="222"/>
      <c r="L31" s="359"/>
      <c r="M31" s="233"/>
      <c r="N31" s="776"/>
      <c r="O31" s="955" t="str">
        <f t="shared" si="1"/>
        <v/>
      </c>
      <c r="P31" s="956" t="str">
        <f t="shared" si="2"/>
        <v/>
      </c>
    </row>
    <row r="32" spans="1:17" s="1" customFormat="1" ht="12.95" customHeight="1">
      <c r="A32" s="158"/>
      <c r="B32" s="12"/>
      <c r="C32" s="8"/>
      <c r="D32" s="8"/>
      <c r="E32" s="8"/>
      <c r="F32" s="176"/>
      <c r="G32" s="195"/>
      <c r="H32" s="25" t="s">
        <v>91</v>
      </c>
      <c r="I32" s="377" t="s">
        <v>891</v>
      </c>
      <c r="J32" s="377" t="s">
        <v>891</v>
      </c>
      <c r="K32" s="226">
        <v>10</v>
      </c>
      <c r="L32" s="485" t="s">
        <v>891</v>
      </c>
      <c r="M32" s="236"/>
      <c r="N32" s="767" t="s">
        <v>891</v>
      </c>
      <c r="O32" s="955"/>
      <c r="P32" s="956"/>
    </row>
    <row r="33" spans="1:16" s="1" customFormat="1" ht="12.95" customHeight="1">
      <c r="A33" s="158"/>
      <c r="B33" s="12"/>
      <c r="C33" s="8"/>
      <c r="D33" s="8"/>
      <c r="E33" s="8"/>
      <c r="F33" s="176"/>
      <c r="G33" s="195"/>
      <c r="H33" s="8" t="s">
        <v>105</v>
      </c>
      <c r="I33" s="367">
        <f t="shared" ref="I33:K33" si="9">I8+I13+I16+I28</f>
        <v>479600</v>
      </c>
      <c r="J33" s="165">
        <f t="shared" si="9"/>
        <v>492350</v>
      </c>
      <c r="K33" s="153">
        <f t="shared" si="9"/>
        <v>564209</v>
      </c>
      <c r="L33" s="370">
        <f>L8+L13+L16+L28</f>
        <v>449491</v>
      </c>
      <c r="M33" s="165">
        <f>M8+M13+M16+M28</f>
        <v>39210</v>
      </c>
      <c r="N33" s="774">
        <f>N8+N13+N16+N28</f>
        <v>488701</v>
      </c>
      <c r="O33" s="953">
        <f>IF(J33=0,"",N33/J33*100)</f>
        <v>99.258860566670052</v>
      </c>
      <c r="P33" s="954">
        <f t="shared" si="2"/>
        <v>86.617016034838159</v>
      </c>
    </row>
    <row r="34" spans="1:16" s="1" customFormat="1" ht="12.95" customHeight="1">
      <c r="A34" s="158"/>
      <c r="B34" s="12"/>
      <c r="C34" s="8"/>
      <c r="D34" s="8"/>
      <c r="E34" s="8"/>
      <c r="F34" s="176"/>
      <c r="G34" s="195"/>
      <c r="H34" s="8" t="s">
        <v>92</v>
      </c>
      <c r="I34" s="367">
        <f t="shared" ref="I34:K34" si="10">I33</f>
        <v>479600</v>
      </c>
      <c r="J34" s="165">
        <f t="shared" si="10"/>
        <v>492350</v>
      </c>
      <c r="K34" s="153">
        <f t="shared" si="10"/>
        <v>564209</v>
      </c>
      <c r="L34" s="370">
        <f t="shared" ref="L34:N35" si="11">L33</f>
        <v>449491</v>
      </c>
      <c r="M34" s="165">
        <f t="shared" si="11"/>
        <v>39210</v>
      </c>
      <c r="N34" s="774">
        <f t="shared" si="11"/>
        <v>488701</v>
      </c>
      <c r="O34" s="953">
        <f>IF(J34=0,"",N34/J34*100)</f>
        <v>99.258860566670052</v>
      </c>
      <c r="P34" s="954">
        <f t="shared" si="2"/>
        <v>86.617016034838159</v>
      </c>
    </row>
    <row r="35" spans="1:16" s="1" customFormat="1" ht="12.95" customHeight="1">
      <c r="A35" s="158"/>
      <c r="B35" s="12"/>
      <c r="C35" s="8"/>
      <c r="D35" s="8"/>
      <c r="E35" s="8"/>
      <c r="F35" s="176"/>
      <c r="G35" s="195"/>
      <c r="H35" s="8" t="s">
        <v>93</v>
      </c>
      <c r="I35" s="15">
        <f t="shared" ref="I35:K35" si="12">I34</f>
        <v>479600</v>
      </c>
      <c r="J35" s="15">
        <f t="shared" si="12"/>
        <v>492350</v>
      </c>
      <c r="K35" s="153">
        <f t="shared" si="12"/>
        <v>564209</v>
      </c>
      <c r="L35" s="370">
        <f t="shared" si="11"/>
        <v>449491</v>
      </c>
      <c r="M35" s="165">
        <f t="shared" si="11"/>
        <v>39210</v>
      </c>
      <c r="N35" s="774">
        <f t="shared" si="11"/>
        <v>488701</v>
      </c>
      <c r="O35" s="953">
        <f>IF(J35=0,"",N35/J35*100)</f>
        <v>99.258860566670052</v>
      </c>
      <c r="P35" s="954">
        <f t="shared" si="2"/>
        <v>86.617016034838159</v>
      </c>
    </row>
    <row r="36" spans="1:16" ht="12.95" customHeight="1" thickBot="1">
      <c r="B36" s="16"/>
      <c r="C36" s="17"/>
      <c r="D36" s="17"/>
      <c r="E36" s="17"/>
      <c r="F36" s="178"/>
      <c r="G36" s="197"/>
      <c r="H36" s="17"/>
      <c r="I36" s="31"/>
      <c r="J36" s="31"/>
      <c r="K36" s="725"/>
      <c r="L36" s="371"/>
      <c r="M36" s="31"/>
      <c r="N36" s="814"/>
      <c r="O36" s="957"/>
      <c r="P36" s="958" t="str">
        <f t="shared" si="2"/>
        <v/>
      </c>
    </row>
    <row r="37" spans="1:16" ht="12.95" customHeight="1">
      <c r="F37" s="179"/>
      <c r="G37" s="198"/>
      <c r="N37" s="254"/>
      <c r="P37" s="214" t="str">
        <f t="shared" si="2"/>
        <v/>
      </c>
    </row>
    <row r="38" spans="1:16" ht="12.95" customHeight="1">
      <c r="B38" s="45"/>
      <c r="F38" s="179"/>
      <c r="G38" s="198"/>
      <c r="L38" s="404"/>
      <c r="N38" s="254"/>
      <c r="P38" s="214" t="str">
        <f t="shared" si="2"/>
        <v/>
      </c>
    </row>
    <row r="39" spans="1:16" ht="12.95" customHeight="1">
      <c r="B39" s="45"/>
      <c r="F39" s="179"/>
      <c r="G39" s="198"/>
      <c r="N39" s="254"/>
      <c r="P39" s="214" t="str">
        <f t="shared" si="2"/>
        <v/>
      </c>
    </row>
    <row r="40" spans="1:16" ht="12.95" customHeight="1">
      <c r="B40" s="45"/>
      <c r="F40" s="179"/>
      <c r="G40" s="198"/>
      <c r="N40" s="254"/>
      <c r="P40" s="214" t="str">
        <f t="shared" si="2"/>
        <v/>
      </c>
    </row>
    <row r="41" spans="1:16" ht="12.95" customHeight="1">
      <c r="F41" s="179"/>
      <c r="G41" s="198"/>
      <c r="N41" s="254"/>
      <c r="P41" s="214" t="str">
        <f t="shared" si="2"/>
        <v/>
      </c>
    </row>
    <row r="42" spans="1:16" ht="12.95" customHeight="1">
      <c r="F42" s="179"/>
      <c r="G42" s="198"/>
      <c r="N42" s="254"/>
      <c r="P42" s="214" t="str">
        <f t="shared" si="2"/>
        <v/>
      </c>
    </row>
    <row r="43" spans="1:16" ht="12.95" customHeight="1">
      <c r="F43" s="179"/>
      <c r="G43" s="198"/>
      <c r="N43" s="254"/>
      <c r="P43" s="214" t="str">
        <f t="shared" si="2"/>
        <v/>
      </c>
    </row>
    <row r="44" spans="1:16" ht="12.95" customHeight="1">
      <c r="F44" s="179"/>
      <c r="G44" s="198"/>
      <c r="N44" s="254"/>
      <c r="P44" s="214" t="str">
        <f t="shared" si="2"/>
        <v/>
      </c>
    </row>
    <row r="45" spans="1:16" ht="12.95" customHeight="1">
      <c r="F45" s="179"/>
      <c r="G45" s="198"/>
      <c r="N45" s="254"/>
      <c r="P45" s="214" t="str">
        <f t="shared" si="2"/>
        <v/>
      </c>
    </row>
    <row r="46" spans="1:16" ht="12.95" customHeight="1">
      <c r="F46" s="179"/>
      <c r="G46" s="198"/>
      <c r="N46" s="254"/>
      <c r="P46" s="214" t="str">
        <f t="shared" si="2"/>
        <v/>
      </c>
    </row>
    <row r="47" spans="1:16" ht="12.95" customHeight="1">
      <c r="F47" s="179"/>
      <c r="G47" s="198"/>
      <c r="N47" s="254"/>
      <c r="P47" s="214" t="str">
        <f t="shared" si="2"/>
        <v/>
      </c>
    </row>
    <row r="48" spans="1:16" ht="12.95" customHeight="1">
      <c r="F48" s="179"/>
      <c r="G48" s="198"/>
      <c r="N48" s="254"/>
      <c r="P48" s="214" t="str">
        <f t="shared" si="2"/>
        <v/>
      </c>
    </row>
    <row r="49" spans="6:16" ht="12.95" customHeight="1">
      <c r="F49" s="179"/>
      <c r="G49" s="198"/>
      <c r="N49" s="254"/>
      <c r="P49" s="214" t="str">
        <f t="shared" si="2"/>
        <v/>
      </c>
    </row>
    <row r="50" spans="6:16" ht="12.95" customHeight="1">
      <c r="F50" s="179"/>
      <c r="G50" s="198"/>
      <c r="N50" s="254"/>
      <c r="P50" s="214" t="str">
        <f t="shared" si="2"/>
        <v/>
      </c>
    </row>
    <row r="51" spans="6:16" ht="12.95" customHeight="1">
      <c r="F51" s="179"/>
      <c r="G51" s="198"/>
      <c r="N51" s="254"/>
      <c r="P51" s="214" t="str">
        <f t="shared" si="2"/>
        <v/>
      </c>
    </row>
    <row r="52" spans="6:16" ht="12.95" customHeight="1">
      <c r="F52" s="179"/>
      <c r="G52" s="198"/>
      <c r="N52" s="254"/>
      <c r="P52" s="214" t="str">
        <f t="shared" si="2"/>
        <v/>
      </c>
    </row>
    <row r="53" spans="6:16" ht="12.95" customHeight="1">
      <c r="F53" s="179"/>
      <c r="G53" s="198"/>
      <c r="N53" s="254"/>
      <c r="P53" s="214" t="str">
        <f t="shared" si="2"/>
        <v/>
      </c>
    </row>
    <row r="54" spans="6:16" ht="12.95" customHeight="1">
      <c r="F54" s="179"/>
      <c r="G54" s="198"/>
      <c r="N54" s="254"/>
    </row>
    <row r="55" spans="6:16" ht="12.95" customHeight="1">
      <c r="F55" s="179"/>
      <c r="G55" s="198"/>
      <c r="N55" s="254"/>
    </row>
    <row r="56" spans="6:16" ht="12.95" customHeight="1">
      <c r="F56" s="179"/>
      <c r="G56" s="198"/>
      <c r="N56" s="254"/>
    </row>
    <row r="57" spans="6:16" ht="12.95" customHeight="1">
      <c r="F57" s="179"/>
      <c r="G57" s="198"/>
      <c r="N57" s="254"/>
    </row>
    <row r="58" spans="6:16" ht="12.95" customHeight="1">
      <c r="F58" s="179"/>
      <c r="G58" s="198"/>
      <c r="N58" s="254"/>
    </row>
    <row r="59" spans="6:16" ht="12.95" customHeight="1">
      <c r="F59" s="179"/>
      <c r="G59" s="198"/>
      <c r="N59" s="254"/>
    </row>
    <row r="60" spans="6:16" ht="17.100000000000001" customHeight="1">
      <c r="F60" s="179"/>
      <c r="G60" s="198"/>
      <c r="N60" s="254"/>
    </row>
    <row r="61" spans="6:16" ht="14.25">
      <c r="F61" s="179"/>
      <c r="G61" s="198"/>
      <c r="N61" s="254"/>
    </row>
    <row r="62" spans="6:16" ht="14.25">
      <c r="F62" s="179"/>
      <c r="G62" s="198"/>
      <c r="N62" s="254"/>
    </row>
    <row r="63" spans="6:16" ht="14.25">
      <c r="F63" s="179"/>
      <c r="G63" s="198"/>
      <c r="N63" s="254"/>
    </row>
    <row r="64" spans="6:16" ht="14.25">
      <c r="F64" s="179"/>
      <c r="G64" s="198"/>
      <c r="N64" s="254"/>
    </row>
    <row r="65" spans="6:14" ht="14.25">
      <c r="F65" s="179"/>
      <c r="G65" s="198"/>
      <c r="N65" s="254"/>
    </row>
    <row r="66" spans="6:14" ht="14.25">
      <c r="F66" s="179"/>
      <c r="G66" s="198"/>
      <c r="N66" s="254"/>
    </row>
    <row r="67" spans="6:14" ht="14.25">
      <c r="F67" s="179"/>
      <c r="G67" s="198"/>
      <c r="N67" s="254"/>
    </row>
    <row r="68" spans="6:14" ht="14.25">
      <c r="F68" s="179"/>
      <c r="G68" s="198"/>
      <c r="N68" s="254"/>
    </row>
    <row r="69" spans="6:14" ht="14.25">
      <c r="F69" s="179"/>
      <c r="G69" s="198"/>
      <c r="N69" s="254"/>
    </row>
    <row r="70" spans="6:14" ht="14.25">
      <c r="F70" s="179"/>
      <c r="G70" s="198"/>
      <c r="N70" s="254"/>
    </row>
    <row r="71" spans="6:14" ht="14.25">
      <c r="F71" s="179"/>
      <c r="G71" s="198"/>
      <c r="N71" s="254"/>
    </row>
    <row r="72" spans="6:14" ht="14.25">
      <c r="F72" s="179"/>
      <c r="G72" s="198"/>
      <c r="N72" s="254"/>
    </row>
    <row r="73" spans="6:14" ht="14.25">
      <c r="F73" s="179"/>
      <c r="G73" s="198"/>
      <c r="N73" s="254"/>
    </row>
    <row r="74" spans="6:14" ht="14.25">
      <c r="F74" s="179"/>
      <c r="G74" s="179"/>
      <c r="N74" s="254"/>
    </row>
    <row r="75" spans="6:14" ht="14.25">
      <c r="F75" s="179"/>
      <c r="G75" s="179"/>
      <c r="N75" s="254"/>
    </row>
    <row r="76" spans="6:14" ht="14.25">
      <c r="F76" s="179"/>
      <c r="G76" s="179"/>
      <c r="N76" s="254"/>
    </row>
    <row r="77" spans="6:14" ht="14.25">
      <c r="F77" s="179"/>
      <c r="G77" s="179"/>
      <c r="N77" s="254"/>
    </row>
    <row r="78" spans="6:14" ht="14.25">
      <c r="F78" s="179"/>
      <c r="G78" s="179"/>
      <c r="N78" s="254"/>
    </row>
    <row r="79" spans="6:14" ht="14.25">
      <c r="F79" s="179"/>
      <c r="G79" s="179"/>
      <c r="N79" s="254"/>
    </row>
    <row r="80" spans="6:14" ht="14.25">
      <c r="F80" s="179"/>
      <c r="G80" s="179"/>
      <c r="N80" s="254"/>
    </row>
    <row r="81" spans="6:14" ht="14.25">
      <c r="F81" s="179"/>
      <c r="G81" s="179"/>
      <c r="N81" s="254"/>
    </row>
    <row r="82" spans="6:14" ht="14.25">
      <c r="F82" s="179"/>
      <c r="G82" s="179"/>
      <c r="N82" s="254"/>
    </row>
    <row r="83" spans="6:14" ht="14.25">
      <c r="F83" s="179"/>
      <c r="G83" s="179"/>
      <c r="N83" s="254"/>
    </row>
    <row r="84" spans="6:14" ht="14.25">
      <c r="F84" s="179"/>
      <c r="G84" s="179"/>
      <c r="N84" s="254"/>
    </row>
    <row r="85" spans="6:14" ht="14.25">
      <c r="F85" s="179"/>
      <c r="G85" s="179"/>
      <c r="N85" s="254"/>
    </row>
    <row r="86" spans="6:14" ht="14.25">
      <c r="F86" s="179"/>
      <c r="G86" s="179"/>
      <c r="N86" s="254"/>
    </row>
    <row r="87" spans="6:14" ht="14.25">
      <c r="F87" s="179"/>
      <c r="G87" s="179"/>
      <c r="N87" s="254"/>
    </row>
    <row r="88" spans="6:14" ht="14.25">
      <c r="F88" s="179"/>
      <c r="G88" s="179"/>
      <c r="N88" s="254"/>
    </row>
    <row r="89" spans="6:14" ht="14.25">
      <c r="F89" s="179"/>
      <c r="G89" s="179"/>
      <c r="N89" s="254"/>
    </row>
    <row r="90" spans="6:14" ht="14.25">
      <c r="F90" s="179"/>
      <c r="G90" s="179"/>
      <c r="N90" s="254"/>
    </row>
    <row r="91" spans="6:14">
      <c r="G91" s="179"/>
    </row>
    <row r="92" spans="6:14">
      <c r="G92" s="179"/>
    </row>
    <row r="93" spans="6:14">
      <c r="G93" s="179"/>
    </row>
    <row r="94" spans="6:14">
      <c r="G94" s="179"/>
    </row>
    <row r="95" spans="6:14">
      <c r="G95" s="179"/>
    </row>
    <row r="96" spans="6:14">
      <c r="G96" s="179"/>
    </row>
  </sheetData>
  <mergeCells count="15">
    <mergeCell ref="P4:P5"/>
    <mergeCell ref="B2:P2"/>
    <mergeCell ref="K4:K5"/>
    <mergeCell ref="O4:O5"/>
    <mergeCell ref="H4:H5"/>
    <mergeCell ref="H3:I3"/>
    <mergeCell ref="L4:N4"/>
    <mergeCell ref="B4:B5"/>
    <mergeCell ref="C4:C5"/>
    <mergeCell ref="D4:D5"/>
    <mergeCell ref="G4:G5"/>
    <mergeCell ref="F4:F5"/>
    <mergeCell ref="I4:I5"/>
    <mergeCell ref="J4:J5"/>
    <mergeCell ref="E4:E5"/>
  </mergeCells>
  <phoneticPr fontId="2" type="noConversion"/>
  <pageMargins left="0.78740157480314965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>
  <sheetPr codeName="Sheet44"/>
  <dimension ref="A1:R96"/>
  <sheetViews>
    <sheetView topLeftCell="A3" zoomScaleNormal="100" workbookViewId="0">
      <selection activeCell="I42" sqref="I42"/>
    </sheetView>
  </sheetViews>
  <sheetFormatPr defaultColWidth="9.140625" defaultRowHeight="12.75"/>
  <cols>
    <col min="1" max="1" width="4.42578125" style="161" customWidth="1"/>
    <col min="2" max="2" width="4.7109375" style="9" customWidth="1"/>
    <col min="3" max="3" width="5.140625" style="9" customWidth="1"/>
    <col min="4" max="4" width="5" style="9" customWidth="1"/>
    <col min="5" max="5" width="5" style="161" customWidth="1"/>
    <col min="6" max="6" width="8.7109375" style="18" customWidth="1"/>
    <col min="7" max="7" width="8.7109375" style="166" customWidth="1"/>
    <col min="8" max="8" width="50.7109375" style="9" customWidth="1"/>
    <col min="9" max="10" width="14.7109375" style="51" customWidth="1"/>
    <col min="11" max="11" width="12.5703125" style="51" customWidth="1"/>
    <col min="12" max="13" width="14.7109375" style="51" customWidth="1"/>
    <col min="14" max="14" width="15.7109375" style="51" customWidth="1"/>
    <col min="15" max="16" width="7.7109375" style="214" customWidth="1"/>
    <col min="17" max="16384" width="9.140625" style="9"/>
  </cols>
  <sheetData>
    <row r="1" spans="1:18" ht="13.5" thickBot="1"/>
    <row r="2" spans="1:18" s="79" customFormat="1" ht="20.100000000000001" customHeight="1" thickTop="1" thickBot="1">
      <c r="A2" s="244"/>
      <c r="B2" s="1034" t="s">
        <v>149</v>
      </c>
      <c r="C2" s="1035"/>
      <c r="D2" s="1035"/>
      <c r="E2" s="1035"/>
      <c r="F2" s="1035"/>
      <c r="G2" s="1035"/>
      <c r="H2" s="1035"/>
      <c r="I2" s="1035"/>
      <c r="J2" s="1057"/>
      <c r="K2" s="1057"/>
      <c r="L2" s="1057"/>
      <c r="M2" s="1057"/>
      <c r="N2" s="1057"/>
      <c r="O2" s="1057"/>
      <c r="P2" s="1036"/>
      <c r="R2" s="244"/>
    </row>
    <row r="3" spans="1:18" s="1" customFormat="1" ht="8.1" customHeight="1" thickTop="1" thickBot="1">
      <c r="A3" s="158"/>
      <c r="E3" s="158"/>
      <c r="F3" s="2"/>
      <c r="G3" s="159"/>
      <c r="H3" s="1039"/>
      <c r="I3" s="1039"/>
      <c r="J3" s="139"/>
      <c r="K3" s="721"/>
      <c r="L3" s="74"/>
      <c r="M3" s="74"/>
      <c r="N3" s="74"/>
      <c r="O3" s="208"/>
      <c r="P3" s="208"/>
    </row>
    <row r="4" spans="1:18" s="1" customFormat="1" ht="39" customHeight="1">
      <c r="A4" s="158"/>
      <c r="B4" s="1043" t="s">
        <v>76</v>
      </c>
      <c r="C4" s="1045" t="s">
        <v>77</v>
      </c>
      <c r="D4" s="1047" t="s">
        <v>102</v>
      </c>
      <c r="E4" s="1062" t="s">
        <v>692</v>
      </c>
      <c r="F4" s="1058" t="s">
        <v>466</v>
      </c>
      <c r="G4" s="1048" t="s">
        <v>493</v>
      </c>
      <c r="H4" s="1050" t="s">
        <v>78</v>
      </c>
      <c r="I4" s="1059" t="s">
        <v>901</v>
      </c>
      <c r="J4" s="1068" t="s">
        <v>813</v>
      </c>
      <c r="K4" s="1037" t="s">
        <v>906</v>
      </c>
      <c r="L4" s="1040" t="s">
        <v>905</v>
      </c>
      <c r="M4" s="1041"/>
      <c r="N4" s="1042"/>
      <c r="O4" s="1054" t="s">
        <v>945</v>
      </c>
      <c r="P4" s="1032" t="s">
        <v>946</v>
      </c>
      <c r="R4" s="61"/>
    </row>
    <row r="5" spans="1:18" s="158" customFormat="1" ht="27" customHeight="1">
      <c r="B5" s="1044"/>
      <c r="C5" s="1046"/>
      <c r="D5" s="1046"/>
      <c r="E5" s="1049"/>
      <c r="F5" s="1051"/>
      <c r="G5" s="1049"/>
      <c r="H5" s="1051"/>
      <c r="I5" s="1051"/>
      <c r="J5" s="1051"/>
      <c r="K5" s="1038"/>
      <c r="L5" s="373" t="s">
        <v>526</v>
      </c>
      <c r="M5" s="242" t="s">
        <v>527</v>
      </c>
      <c r="N5" s="764" t="s">
        <v>319</v>
      </c>
      <c r="O5" s="1055"/>
      <c r="P5" s="1033"/>
    </row>
    <row r="6" spans="1:18" s="2" customFormat="1" ht="12.95" customHeight="1">
      <c r="A6" s="159"/>
      <c r="B6" s="328">
        <v>1</v>
      </c>
      <c r="C6" s="195">
        <v>2</v>
      </c>
      <c r="D6" s="195">
        <v>3</v>
      </c>
      <c r="E6" s="195">
        <v>4</v>
      </c>
      <c r="F6" s="195">
        <v>5</v>
      </c>
      <c r="G6" s="195">
        <v>6</v>
      </c>
      <c r="H6" s="195">
        <v>7</v>
      </c>
      <c r="I6" s="195">
        <v>8</v>
      </c>
      <c r="J6" s="195">
        <v>9</v>
      </c>
      <c r="K6" s="188">
        <v>10</v>
      </c>
      <c r="L6" s="328">
        <v>11</v>
      </c>
      <c r="M6" s="195">
        <v>12</v>
      </c>
      <c r="N6" s="810" t="s">
        <v>694</v>
      </c>
      <c r="O6" s="929" t="s">
        <v>814</v>
      </c>
      <c r="P6" s="930" t="s">
        <v>944</v>
      </c>
    </row>
    <row r="7" spans="1:18" s="2" customFormat="1" ht="12.95" customHeight="1">
      <c r="A7" s="159"/>
      <c r="B7" s="6" t="s">
        <v>148</v>
      </c>
      <c r="C7" s="7" t="s">
        <v>79</v>
      </c>
      <c r="D7" s="7" t="s">
        <v>80</v>
      </c>
      <c r="E7" s="415" t="s">
        <v>699</v>
      </c>
      <c r="F7" s="5"/>
      <c r="G7" s="160"/>
      <c r="H7" s="5"/>
      <c r="I7" s="378"/>
      <c r="J7" s="70"/>
      <c r="K7" s="726"/>
      <c r="L7" s="391"/>
      <c r="M7" s="70"/>
      <c r="N7" s="832"/>
      <c r="O7" s="951"/>
      <c r="P7" s="952"/>
    </row>
    <row r="8" spans="1:18" s="1" customFormat="1" ht="12.95" customHeight="1">
      <c r="A8" s="158"/>
      <c r="B8" s="12"/>
      <c r="C8" s="8"/>
      <c r="D8" s="8"/>
      <c r="E8" s="8"/>
      <c r="F8" s="176">
        <v>611000</v>
      </c>
      <c r="G8" s="195"/>
      <c r="H8" s="25" t="s">
        <v>140</v>
      </c>
      <c r="I8" s="236">
        <f t="shared" ref="I8:N8" si="0">SUM(I9:I11)</f>
        <v>496300</v>
      </c>
      <c r="J8" s="236">
        <f t="shared" si="0"/>
        <v>496300</v>
      </c>
      <c r="K8" s="226">
        <f t="shared" si="0"/>
        <v>443578</v>
      </c>
      <c r="L8" s="482">
        <f t="shared" si="0"/>
        <v>495253</v>
      </c>
      <c r="M8" s="236">
        <f t="shared" si="0"/>
        <v>0</v>
      </c>
      <c r="N8" s="812">
        <f t="shared" si="0"/>
        <v>495253</v>
      </c>
      <c r="O8" s="953">
        <f t="shared" ref="O8:O31" si="1">IF(J8=0,"",N8/J8*100)</f>
        <v>99.789038887769493</v>
      </c>
      <c r="P8" s="954">
        <f>IF(K8=0,"",N8/K8*100)</f>
        <v>111.64958586764899</v>
      </c>
    </row>
    <row r="9" spans="1:18" ht="12.95" customHeight="1">
      <c r="B9" s="10"/>
      <c r="C9" s="11"/>
      <c r="D9" s="11"/>
      <c r="E9" s="163"/>
      <c r="F9" s="177">
        <v>611100</v>
      </c>
      <c r="G9" s="196"/>
      <c r="H9" s="428" t="s">
        <v>161</v>
      </c>
      <c r="I9" s="237">
        <f>422350+500-2*2400</f>
        <v>418050</v>
      </c>
      <c r="J9" s="237">
        <v>417750</v>
      </c>
      <c r="K9" s="224">
        <v>381831</v>
      </c>
      <c r="L9" s="360">
        <v>416713</v>
      </c>
      <c r="M9" s="237">
        <v>0</v>
      </c>
      <c r="N9" s="813">
        <f>SUM(L9:M9)</f>
        <v>416713</v>
      </c>
      <c r="O9" s="955">
        <f t="shared" si="1"/>
        <v>99.751765409934166</v>
      </c>
      <c r="P9" s="956">
        <f t="shared" ref="P9:P53" si="2">IF(K9=0,"",N9/K9*100)</f>
        <v>109.13545521447972</v>
      </c>
    </row>
    <row r="10" spans="1:18" ht="12.95" customHeight="1">
      <c r="B10" s="10"/>
      <c r="C10" s="11"/>
      <c r="D10" s="11"/>
      <c r="E10" s="163"/>
      <c r="F10" s="177">
        <v>611200</v>
      </c>
      <c r="G10" s="196"/>
      <c r="H10" s="24" t="s">
        <v>162</v>
      </c>
      <c r="I10" s="237">
        <f>70590+300-440-2*300+12*700</f>
        <v>78250</v>
      </c>
      <c r="J10" s="237">
        <v>78550</v>
      </c>
      <c r="K10" s="224">
        <v>61747</v>
      </c>
      <c r="L10" s="360">
        <v>78540</v>
      </c>
      <c r="M10" s="237">
        <v>0</v>
      </c>
      <c r="N10" s="813">
        <f t="shared" ref="N10:N11" si="3">SUM(L10:M10)</f>
        <v>78540</v>
      </c>
      <c r="O10" s="955">
        <f t="shared" si="1"/>
        <v>99.987269255251434</v>
      </c>
      <c r="P10" s="956">
        <f t="shared" si="2"/>
        <v>127.19646298605601</v>
      </c>
    </row>
    <row r="11" spans="1:18" ht="12.95" customHeight="1">
      <c r="B11" s="10"/>
      <c r="C11" s="11"/>
      <c r="D11" s="11"/>
      <c r="E11" s="163"/>
      <c r="F11" s="177">
        <v>611200</v>
      </c>
      <c r="G11" s="196"/>
      <c r="H11" s="435" t="s">
        <v>434</v>
      </c>
      <c r="I11" s="235">
        <v>0</v>
      </c>
      <c r="J11" s="235">
        <v>0</v>
      </c>
      <c r="K11" s="225">
        <v>0</v>
      </c>
      <c r="L11" s="357">
        <v>0</v>
      </c>
      <c r="M11" s="235">
        <v>0</v>
      </c>
      <c r="N11" s="813">
        <f t="shared" si="3"/>
        <v>0</v>
      </c>
      <c r="O11" s="955" t="str">
        <f t="shared" si="1"/>
        <v/>
      </c>
      <c r="P11" s="956" t="str">
        <f t="shared" si="2"/>
        <v/>
      </c>
      <c r="R11" s="50"/>
    </row>
    <row r="12" spans="1:18" ht="12.95" customHeight="1">
      <c r="B12" s="10"/>
      <c r="C12" s="11"/>
      <c r="D12" s="11"/>
      <c r="E12" s="163"/>
      <c r="F12" s="177"/>
      <c r="G12" s="196"/>
      <c r="H12" s="24"/>
      <c r="I12" s="236"/>
      <c r="J12" s="236"/>
      <c r="K12" s="226"/>
      <c r="L12" s="482"/>
      <c r="M12" s="236"/>
      <c r="N12" s="812"/>
      <c r="O12" s="955" t="str">
        <f t="shared" si="1"/>
        <v/>
      </c>
      <c r="P12" s="956" t="str">
        <f t="shared" si="2"/>
        <v/>
      </c>
    </row>
    <row r="13" spans="1:18" s="1" customFormat="1" ht="12.95" customHeight="1">
      <c r="A13" s="158"/>
      <c r="B13" s="12"/>
      <c r="C13" s="8"/>
      <c r="D13" s="8"/>
      <c r="E13" s="8"/>
      <c r="F13" s="176">
        <v>612000</v>
      </c>
      <c r="G13" s="195"/>
      <c r="H13" s="25" t="s">
        <v>139</v>
      </c>
      <c r="I13" s="236">
        <f t="shared" ref="I13:N13" si="4">I14</f>
        <v>44430</v>
      </c>
      <c r="J13" s="236">
        <f t="shared" si="4"/>
        <v>44430</v>
      </c>
      <c r="K13" s="226">
        <f t="shared" si="4"/>
        <v>40458</v>
      </c>
      <c r="L13" s="482">
        <f t="shared" si="4"/>
        <v>44063</v>
      </c>
      <c r="M13" s="236">
        <f t="shared" si="4"/>
        <v>0</v>
      </c>
      <c r="N13" s="812">
        <f t="shared" si="4"/>
        <v>44063</v>
      </c>
      <c r="O13" s="953">
        <f t="shared" si="1"/>
        <v>99.173981544001805</v>
      </c>
      <c r="P13" s="954">
        <f t="shared" si="2"/>
        <v>108.91047506055662</v>
      </c>
    </row>
    <row r="14" spans="1:18" ht="12.95" customHeight="1">
      <c r="B14" s="10"/>
      <c r="C14" s="11"/>
      <c r="D14" s="11"/>
      <c r="E14" s="163"/>
      <c r="F14" s="177">
        <v>612100</v>
      </c>
      <c r="G14" s="196"/>
      <c r="H14" s="430" t="s">
        <v>81</v>
      </c>
      <c r="I14" s="237">
        <f>44650+300-2*260</f>
        <v>44430</v>
      </c>
      <c r="J14" s="237">
        <f>44650+300-2*260</f>
        <v>44430</v>
      </c>
      <c r="K14" s="224">
        <v>40458</v>
      </c>
      <c r="L14" s="360">
        <v>44063</v>
      </c>
      <c r="M14" s="237">
        <v>0</v>
      </c>
      <c r="N14" s="813">
        <f>SUM(L14:M14)</f>
        <v>44063</v>
      </c>
      <c r="O14" s="955">
        <f t="shared" si="1"/>
        <v>99.173981544001805</v>
      </c>
      <c r="P14" s="956">
        <f t="shared" si="2"/>
        <v>108.91047506055662</v>
      </c>
    </row>
    <row r="15" spans="1:18" ht="12.95" customHeight="1">
      <c r="B15" s="10"/>
      <c r="C15" s="11"/>
      <c r="D15" s="11"/>
      <c r="E15" s="163"/>
      <c r="F15" s="177"/>
      <c r="G15" s="196"/>
      <c r="H15" s="24"/>
      <c r="I15" s="233"/>
      <c r="J15" s="233"/>
      <c r="K15" s="222"/>
      <c r="L15" s="359"/>
      <c r="M15" s="233"/>
      <c r="N15" s="776"/>
      <c r="O15" s="955" t="str">
        <f t="shared" si="1"/>
        <v/>
      </c>
      <c r="P15" s="956" t="str">
        <f t="shared" si="2"/>
        <v/>
      </c>
    </row>
    <row r="16" spans="1:18" s="1" customFormat="1" ht="12.95" customHeight="1">
      <c r="A16" s="158"/>
      <c r="B16" s="12"/>
      <c r="C16" s="8"/>
      <c r="D16" s="8"/>
      <c r="E16" s="8"/>
      <c r="F16" s="176">
        <v>613000</v>
      </c>
      <c r="G16" s="195"/>
      <c r="H16" s="25" t="s">
        <v>141</v>
      </c>
      <c r="I16" s="234">
        <f t="shared" ref="I16:N16" si="5">SUM(I17:I26)</f>
        <v>32650</v>
      </c>
      <c r="J16" s="234">
        <f t="shared" si="5"/>
        <v>32650</v>
      </c>
      <c r="K16" s="221">
        <f t="shared" si="5"/>
        <v>24045</v>
      </c>
      <c r="L16" s="483">
        <f t="shared" si="5"/>
        <v>25203</v>
      </c>
      <c r="M16" s="234">
        <f t="shared" si="5"/>
        <v>0</v>
      </c>
      <c r="N16" s="774">
        <f t="shared" si="5"/>
        <v>25203</v>
      </c>
      <c r="O16" s="953">
        <f t="shared" si="1"/>
        <v>77.191424196018374</v>
      </c>
      <c r="P16" s="954">
        <f t="shared" si="2"/>
        <v>104.81597005614474</v>
      </c>
    </row>
    <row r="17" spans="1:17" ht="12.95" customHeight="1">
      <c r="B17" s="10"/>
      <c r="C17" s="11"/>
      <c r="D17" s="11"/>
      <c r="E17" s="163"/>
      <c r="F17" s="177">
        <v>613100</v>
      </c>
      <c r="G17" s="196"/>
      <c r="H17" s="24" t="s">
        <v>82</v>
      </c>
      <c r="I17" s="237">
        <v>1300</v>
      </c>
      <c r="J17" s="237">
        <v>1300</v>
      </c>
      <c r="K17" s="224">
        <v>806</v>
      </c>
      <c r="L17" s="359">
        <v>951</v>
      </c>
      <c r="M17" s="233">
        <v>0</v>
      </c>
      <c r="N17" s="813">
        <f t="shared" ref="N17:N26" si="6">SUM(L17:M17)</f>
        <v>951</v>
      </c>
      <c r="O17" s="955">
        <f t="shared" si="1"/>
        <v>73.15384615384616</v>
      </c>
      <c r="P17" s="956">
        <f t="shared" si="2"/>
        <v>117.99007444168734</v>
      </c>
    </row>
    <row r="18" spans="1:17" ht="12.95" customHeight="1">
      <c r="B18" s="10"/>
      <c r="C18" s="11"/>
      <c r="D18" s="11"/>
      <c r="E18" s="163"/>
      <c r="F18" s="177">
        <v>613200</v>
      </c>
      <c r="G18" s="196"/>
      <c r="H18" s="24" t="s">
        <v>83</v>
      </c>
      <c r="I18" s="237">
        <v>8000</v>
      </c>
      <c r="J18" s="237">
        <v>8000</v>
      </c>
      <c r="K18" s="224">
        <v>5693</v>
      </c>
      <c r="L18" s="359">
        <v>5074</v>
      </c>
      <c r="M18" s="233">
        <v>0</v>
      </c>
      <c r="N18" s="813">
        <f t="shared" si="6"/>
        <v>5074</v>
      </c>
      <c r="O18" s="955">
        <f t="shared" si="1"/>
        <v>63.424999999999997</v>
      </c>
      <c r="P18" s="956">
        <f t="shared" si="2"/>
        <v>89.12699806780256</v>
      </c>
    </row>
    <row r="19" spans="1:17" ht="12.95" customHeight="1">
      <c r="B19" s="10"/>
      <c r="C19" s="11"/>
      <c r="D19" s="11"/>
      <c r="E19" s="163"/>
      <c r="F19" s="177">
        <v>613300</v>
      </c>
      <c r="G19" s="196"/>
      <c r="H19" s="428" t="s">
        <v>163</v>
      </c>
      <c r="I19" s="237">
        <v>6000</v>
      </c>
      <c r="J19" s="237">
        <v>6000</v>
      </c>
      <c r="K19" s="224">
        <v>7306</v>
      </c>
      <c r="L19" s="359">
        <v>4756</v>
      </c>
      <c r="M19" s="233">
        <v>0</v>
      </c>
      <c r="N19" s="813">
        <f t="shared" si="6"/>
        <v>4756</v>
      </c>
      <c r="O19" s="955">
        <f t="shared" si="1"/>
        <v>79.266666666666666</v>
      </c>
      <c r="P19" s="956">
        <f t="shared" si="2"/>
        <v>65.097180399671501</v>
      </c>
    </row>
    <row r="20" spans="1:17" ht="12.95" customHeight="1">
      <c r="B20" s="10"/>
      <c r="C20" s="11"/>
      <c r="D20" s="11"/>
      <c r="E20" s="163"/>
      <c r="F20" s="177">
        <v>613400</v>
      </c>
      <c r="G20" s="196"/>
      <c r="H20" s="24" t="s">
        <v>142</v>
      </c>
      <c r="I20" s="237">
        <v>1600</v>
      </c>
      <c r="J20" s="237">
        <v>1600</v>
      </c>
      <c r="K20" s="224">
        <v>391</v>
      </c>
      <c r="L20" s="359">
        <v>1559</v>
      </c>
      <c r="M20" s="233">
        <v>0</v>
      </c>
      <c r="N20" s="813">
        <f t="shared" si="6"/>
        <v>1559</v>
      </c>
      <c r="O20" s="955">
        <f t="shared" si="1"/>
        <v>97.4375</v>
      </c>
      <c r="P20" s="956">
        <f t="shared" si="2"/>
        <v>398.72122762148337</v>
      </c>
    </row>
    <row r="21" spans="1:17" ht="12.95" customHeight="1">
      <c r="B21" s="10"/>
      <c r="C21" s="11"/>
      <c r="D21" s="11"/>
      <c r="E21" s="163"/>
      <c r="F21" s="177">
        <v>613500</v>
      </c>
      <c r="G21" s="196"/>
      <c r="H21" s="24" t="s">
        <v>84</v>
      </c>
      <c r="I21" s="237">
        <v>6500</v>
      </c>
      <c r="J21" s="237">
        <v>6500</v>
      </c>
      <c r="K21" s="224">
        <v>3965</v>
      </c>
      <c r="L21" s="359">
        <v>6069</v>
      </c>
      <c r="M21" s="233">
        <v>0</v>
      </c>
      <c r="N21" s="813">
        <f t="shared" si="6"/>
        <v>6069</v>
      </c>
      <c r="O21" s="955">
        <f t="shared" si="1"/>
        <v>93.369230769230768</v>
      </c>
      <c r="P21" s="956">
        <f t="shared" si="2"/>
        <v>153.06431273644387</v>
      </c>
    </row>
    <row r="22" spans="1:17" ht="12.95" customHeight="1">
      <c r="B22" s="10"/>
      <c r="C22" s="11"/>
      <c r="D22" s="11"/>
      <c r="E22" s="163"/>
      <c r="F22" s="177">
        <v>613600</v>
      </c>
      <c r="G22" s="196"/>
      <c r="H22" s="428" t="s">
        <v>164</v>
      </c>
      <c r="I22" s="237">
        <v>0</v>
      </c>
      <c r="J22" s="237">
        <v>0</v>
      </c>
      <c r="K22" s="224">
        <v>0</v>
      </c>
      <c r="L22" s="360">
        <v>0</v>
      </c>
      <c r="M22" s="237">
        <v>0</v>
      </c>
      <c r="N22" s="813">
        <f t="shared" si="6"/>
        <v>0</v>
      </c>
      <c r="O22" s="955" t="str">
        <f t="shared" si="1"/>
        <v/>
      </c>
      <c r="P22" s="956" t="str">
        <f t="shared" si="2"/>
        <v/>
      </c>
    </row>
    <row r="23" spans="1:17" ht="12.95" customHeight="1">
      <c r="B23" s="10"/>
      <c r="C23" s="11"/>
      <c r="D23" s="11"/>
      <c r="E23" s="163"/>
      <c r="F23" s="177">
        <v>613700</v>
      </c>
      <c r="G23" s="196"/>
      <c r="H23" s="24" t="s">
        <v>85</v>
      </c>
      <c r="I23" s="237">
        <v>4000</v>
      </c>
      <c r="J23" s="237">
        <v>4000</v>
      </c>
      <c r="K23" s="224">
        <v>2817</v>
      </c>
      <c r="L23" s="360">
        <v>2254</v>
      </c>
      <c r="M23" s="237">
        <v>0</v>
      </c>
      <c r="N23" s="813">
        <f t="shared" si="6"/>
        <v>2254</v>
      </c>
      <c r="O23" s="955">
        <f t="shared" si="1"/>
        <v>56.35</v>
      </c>
      <c r="P23" s="956">
        <f t="shared" si="2"/>
        <v>80.014199503017394</v>
      </c>
      <c r="Q23" s="45"/>
    </row>
    <row r="24" spans="1:17" ht="12.95" customHeight="1">
      <c r="B24" s="10"/>
      <c r="C24" s="11"/>
      <c r="D24" s="11"/>
      <c r="E24" s="163"/>
      <c r="F24" s="177">
        <v>613800</v>
      </c>
      <c r="G24" s="196"/>
      <c r="H24" s="24" t="s">
        <v>143</v>
      </c>
      <c r="I24" s="237">
        <v>1450</v>
      </c>
      <c r="J24" s="237">
        <v>1450</v>
      </c>
      <c r="K24" s="224">
        <v>767</v>
      </c>
      <c r="L24" s="360">
        <v>1449</v>
      </c>
      <c r="M24" s="237">
        <v>0</v>
      </c>
      <c r="N24" s="813">
        <f t="shared" si="6"/>
        <v>1449</v>
      </c>
      <c r="O24" s="955">
        <f t="shared" si="1"/>
        <v>99.931034482758619</v>
      </c>
      <c r="P24" s="956">
        <f t="shared" si="2"/>
        <v>188.91786179921772</v>
      </c>
    </row>
    <row r="25" spans="1:17" ht="12.95" customHeight="1">
      <c r="B25" s="10"/>
      <c r="C25" s="11"/>
      <c r="D25" s="11"/>
      <c r="E25" s="163"/>
      <c r="F25" s="177">
        <v>613900</v>
      </c>
      <c r="G25" s="196"/>
      <c r="H25" s="24" t="s">
        <v>144</v>
      </c>
      <c r="I25" s="237">
        <v>3800</v>
      </c>
      <c r="J25" s="237">
        <v>3800</v>
      </c>
      <c r="K25" s="224">
        <v>2300</v>
      </c>
      <c r="L25" s="360">
        <v>3091</v>
      </c>
      <c r="M25" s="237">
        <v>0</v>
      </c>
      <c r="N25" s="813">
        <f t="shared" si="6"/>
        <v>3091</v>
      </c>
      <c r="O25" s="955">
        <f t="shared" si="1"/>
        <v>81.34210526315789</v>
      </c>
      <c r="P25" s="956">
        <f t="shared" si="2"/>
        <v>134.39130434782609</v>
      </c>
      <c r="Q25" s="45"/>
    </row>
    <row r="26" spans="1:17" ht="12.95" customHeight="1">
      <c r="B26" s="10"/>
      <c r="C26" s="11"/>
      <c r="D26" s="11"/>
      <c r="E26" s="163"/>
      <c r="F26" s="177">
        <v>613900</v>
      </c>
      <c r="G26" s="196"/>
      <c r="H26" s="435" t="s">
        <v>435</v>
      </c>
      <c r="I26" s="237">
        <v>0</v>
      </c>
      <c r="J26" s="237">
        <v>0</v>
      </c>
      <c r="K26" s="224">
        <v>0</v>
      </c>
      <c r="L26" s="360">
        <v>0</v>
      </c>
      <c r="M26" s="237">
        <v>0</v>
      </c>
      <c r="N26" s="813">
        <f t="shared" si="6"/>
        <v>0</v>
      </c>
      <c r="O26" s="955" t="str">
        <f t="shared" si="1"/>
        <v/>
      </c>
      <c r="P26" s="956" t="str">
        <f t="shared" si="2"/>
        <v/>
      </c>
    </row>
    <row r="27" spans="1:17" s="1" customFormat="1" ht="12.95" customHeight="1">
      <c r="A27" s="158"/>
      <c r="B27" s="12"/>
      <c r="C27" s="8"/>
      <c r="D27" s="8"/>
      <c r="E27" s="8"/>
      <c r="F27" s="176"/>
      <c r="G27" s="195"/>
      <c r="H27" s="25"/>
      <c r="I27" s="237"/>
      <c r="J27" s="237"/>
      <c r="K27" s="224"/>
      <c r="L27" s="360"/>
      <c r="M27" s="237"/>
      <c r="N27" s="776"/>
      <c r="O27" s="955" t="str">
        <f t="shared" si="1"/>
        <v/>
      </c>
      <c r="P27" s="956" t="str">
        <f t="shared" si="2"/>
        <v/>
      </c>
    </row>
    <row r="28" spans="1:17" s="1" customFormat="1" ht="12.95" customHeight="1">
      <c r="A28" s="158"/>
      <c r="B28" s="12"/>
      <c r="C28" s="8"/>
      <c r="D28" s="8"/>
      <c r="E28" s="8"/>
      <c r="F28" s="176">
        <v>821000</v>
      </c>
      <c r="G28" s="195"/>
      <c r="H28" s="25" t="s">
        <v>88</v>
      </c>
      <c r="I28" s="236">
        <f t="shared" ref="I28:N28" si="7">SUM(I29:I30)</f>
        <v>35000</v>
      </c>
      <c r="J28" s="236">
        <f t="shared" si="7"/>
        <v>35000</v>
      </c>
      <c r="K28" s="226">
        <f t="shared" si="7"/>
        <v>5515</v>
      </c>
      <c r="L28" s="482">
        <f t="shared" si="7"/>
        <v>34989</v>
      </c>
      <c r="M28" s="236">
        <f t="shared" si="7"/>
        <v>0</v>
      </c>
      <c r="N28" s="774">
        <f t="shared" si="7"/>
        <v>34989</v>
      </c>
      <c r="O28" s="953">
        <f t="shared" si="1"/>
        <v>99.968571428571423</v>
      </c>
      <c r="P28" s="954">
        <f t="shared" si="2"/>
        <v>634.43336355394376</v>
      </c>
    </row>
    <row r="29" spans="1:17" ht="12.95" customHeight="1">
      <c r="B29" s="10"/>
      <c r="C29" s="11"/>
      <c r="D29" s="11"/>
      <c r="E29" s="163"/>
      <c r="F29" s="177">
        <v>821200</v>
      </c>
      <c r="G29" s="196"/>
      <c r="H29" s="24" t="s">
        <v>89</v>
      </c>
      <c r="I29" s="237">
        <v>0</v>
      </c>
      <c r="J29" s="237">
        <v>0</v>
      </c>
      <c r="K29" s="224">
        <v>0</v>
      </c>
      <c r="L29" s="360">
        <v>0</v>
      </c>
      <c r="M29" s="237">
        <v>0</v>
      </c>
      <c r="N29" s="813">
        <f t="shared" ref="N29:N30" si="8">SUM(L29:M29)</f>
        <v>0</v>
      </c>
      <c r="O29" s="955" t="str">
        <f t="shared" si="1"/>
        <v/>
      </c>
      <c r="P29" s="956" t="str">
        <f t="shared" si="2"/>
        <v/>
      </c>
    </row>
    <row r="30" spans="1:17" ht="12.95" customHeight="1">
      <c r="B30" s="10"/>
      <c r="C30" s="11"/>
      <c r="D30" s="11"/>
      <c r="E30" s="163"/>
      <c r="F30" s="177">
        <v>821300</v>
      </c>
      <c r="G30" s="196"/>
      <c r="H30" s="24" t="s">
        <v>90</v>
      </c>
      <c r="I30" s="237">
        <v>35000</v>
      </c>
      <c r="J30" s="237">
        <v>35000</v>
      </c>
      <c r="K30" s="224">
        <v>5515</v>
      </c>
      <c r="L30" s="360">
        <v>34989</v>
      </c>
      <c r="M30" s="237">
        <v>0</v>
      </c>
      <c r="N30" s="813">
        <f t="shared" si="8"/>
        <v>34989</v>
      </c>
      <c r="O30" s="955">
        <f t="shared" si="1"/>
        <v>99.968571428571423</v>
      </c>
      <c r="P30" s="956">
        <f t="shared" si="2"/>
        <v>634.43336355394376</v>
      </c>
    </row>
    <row r="31" spans="1:17" ht="12.95" customHeight="1">
      <c r="B31" s="10"/>
      <c r="C31" s="11"/>
      <c r="D31" s="11"/>
      <c r="E31" s="163"/>
      <c r="F31" s="177"/>
      <c r="G31" s="196"/>
      <c r="H31" s="24"/>
      <c r="I31" s="237"/>
      <c r="J31" s="237"/>
      <c r="K31" s="224"/>
      <c r="L31" s="360"/>
      <c r="M31" s="237"/>
      <c r="N31" s="776"/>
      <c r="O31" s="955" t="str">
        <f t="shared" si="1"/>
        <v/>
      </c>
      <c r="P31" s="956" t="str">
        <f t="shared" si="2"/>
        <v/>
      </c>
    </row>
    <row r="32" spans="1:17" s="1" customFormat="1" ht="12.95" customHeight="1">
      <c r="A32" s="158"/>
      <c r="B32" s="12"/>
      <c r="C32" s="8"/>
      <c r="D32" s="8"/>
      <c r="E32" s="8"/>
      <c r="F32" s="176"/>
      <c r="G32" s="195"/>
      <c r="H32" s="25" t="s">
        <v>91</v>
      </c>
      <c r="I32" s="232">
        <v>12</v>
      </c>
      <c r="J32" s="232">
        <v>12</v>
      </c>
      <c r="K32" s="223">
        <v>14</v>
      </c>
      <c r="L32" s="484">
        <v>12</v>
      </c>
      <c r="M32" s="232"/>
      <c r="N32" s="774">
        <v>12</v>
      </c>
      <c r="O32" s="955"/>
      <c r="P32" s="956"/>
    </row>
    <row r="33" spans="1:16" s="1" customFormat="1" ht="12.95" customHeight="1">
      <c r="A33" s="158"/>
      <c r="B33" s="12"/>
      <c r="C33" s="8"/>
      <c r="D33" s="8"/>
      <c r="E33" s="8"/>
      <c r="F33" s="176"/>
      <c r="G33" s="195"/>
      <c r="H33" s="8" t="s">
        <v>105</v>
      </c>
      <c r="I33" s="367">
        <f t="shared" ref="I33:K33" si="9">I8+I13+I16+I28</f>
        <v>608380</v>
      </c>
      <c r="J33" s="165">
        <f t="shared" si="9"/>
        <v>608380</v>
      </c>
      <c r="K33" s="153">
        <f t="shared" si="9"/>
        <v>513596</v>
      </c>
      <c r="L33" s="370">
        <f>L8+L13+L16+L28</f>
        <v>599508</v>
      </c>
      <c r="M33" s="165">
        <f>M8+M13+M16+M28</f>
        <v>0</v>
      </c>
      <c r="N33" s="774">
        <f>N8+N13+N16+N28</f>
        <v>599508</v>
      </c>
      <c r="O33" s="953">
        <f>IF(J33=0,"",N33/J33*100)</f>
        <v>98.541700910615077</v>
      </c>
      <c r="P33" s="954">
        <f t="shared" si="2"/>
        <v>116.72754460704522</v>
      </c>
    </row>
    <row r="34" spans="1:16" s="1" customFormat="1" ht="12.95" customHeight="1">
      <c r="A34" s="158"/>
      <c r="B34" s="12"/>
      <c r="C34" s="8"/>
      <c r="D34" s="8"/>
      <c r="E34" s="8"/>
      <c r="F34" s="176"/>
      <c r="G34" s="195"/>
      <c r="H34" s="8" t="s">
        <v>92</v>
      </c>
      <c r="I34" s="15">
        <f t="shared" ref="I34:K34" si="10">I33</f>
        <v>608380</v>
      </c>
      <c r="J34" s="15">
        <f t="shared" si="10"/>
        <v>608380</v>
      </c>
      <c r="K34" s="153">
        <f t="shared" si="10"/>
        <v>513596</v>
      </c>
      <c r="L34" s="370">
        <f t="shared" ref="L34:N35" si="11">L33</f>
        <v>599508</v>
      </c>
      <c r="M34" s="165">
        <f t="shared" si="11"/>
        <v>0</v>
      </c>
      <c r="N34" s="774">
        <f t="shared" si="11"/>
        <v>599508</v>
      </c>
      <c r="O34" s="953">
        <f>IF(J34=0,"",N34/J34*100)</f>
        <v>98.541700910615077</v>
      </c>
      <c r="P34" s="954">
        <f t="shared" si="2"/>
        <v>116.72754460704522</v>
      </c>
    </row>
    <row r="35" spans="1:16" s="1" customFormat="1" ht="12.95" customHeight="1">
      <c r="A35" s="158"/>
      <c r="B35" s="12"/>
      <c r="C35" s="8"/>
      <c r="D35" s="8"/>
      <c r="E35" s="8"/>
      <c r="F35" s="176"/>
      <c r="G35" s="195"/>
      <c r="H35" s="8" t="s">
        <v>93</v>
      </c>
      <c r="I35" s="15">
        <f t="shared" ref="I35:K35" si="12">I34</f>
        <v>608380</v>
      </c>
      <c r="J35" s="15">
        <f t="shared" si="12"/>
        <v>608380</v>
      </c>
      <c r="K35" s="153">
        <f t="shared" si="12"/>
        <v>513596</v>
      </c>
      <c r="L35" s="370">
        <f t="shared" si="11"/>
        <v>599508</v>
      </c>
      <c r="M35" s="165">
        <f t="shared" si="11"/>
        <v>0</v>
      </c>
      <c r="N35" s="774">
        <f t="shared" si="11"/>
        <v>599508</v>
      </c>
      <c r="O35" s="953">
        <f>IF(J35=0,"",N35/J35*100)</f>
        <v>98.541700910615077</v>
      </c>
      <c r="P35" s="954">
        <f t="shared" si="2"/>
        <v>116.72754460704522</v>
      </c>
    </row>
    <row r="36" spans="1:16" ht="12.95" customHeight="1" thickBot="1">
      <c r="B36" s="16"/>
      <c r="C36" s="17"/>
      <c r="D36" s="17"/>
      <c r="E36" s="17"/>
      <c r="F36" s="178"/>
      <c r="G36" s="197"/>
      <c r="H36" s="17"/>
      <c r="I36" s="31"/>
      <c r="J36" s="31"/>
      <c r="K36" s="725"/>
      <c r="L36" s="371"/>
      <c r="M36" s="31"/>
      <c r="N36" s="814"/>
      <c r="O36" s="957"/>
      <c r="P36" s="958" t="str">
        <f t="shared" si="2"/>
        <v/>
      </c>
    </row>
    <row r="37" spans="1:16" ht="12.95" customHeight="1">
      <c r="F37" s="179"/>
      <c r="G37" s="198"/>
      <c r="N37" s="254"/>
      <c r="P37" s="214" t="str">
        <f t="shared" si="2"/>
        <v/>
      </c>
    </row>
    <row r="38" spans="1:16" ht="12.95" customHeight="1">
      <c r="B38" s="45"/>
      <c r="F38" s="179"/>
      <c r="G38" s="198"/>
      <c r="N38" s="254"/>
      <c r="P38" s="214" t="str">
        <f t="shared" si="2"/>
        <v/>
      </c>
    </row>
    <row r="39" spans="1:16" ht="12.95" customHeight="1">
      <c r="F39" s="179"/>
      <c r="G39" s="198"/>
      <c r="N39" s="254"/>
      <c r="P39" s="214" t="str">
        <f t="shared" si="2"/>
        <v/>
      </c>
    </row>
    <row r="40" spans="1:16" ht="12.95" customHeight="1">
      <c r="F40" s="179"/>
      <c r="G40" s="198"/>
      <c r="N40" s="254"/>
      <c r="P40" s="214" t="str">
        <f t="shared" si="2"/>
        <v/>
      </c>
    </row>
    <row r="41" spans="1:16" ht="12.95" customHeight="1">
      <c r="F41" s="179"/>
      <c r="G41" s="198"/>
      <c r="N41" s="254"/>
      <c r="P41" s="214" t="str">
        <f t="shared" si="2"/>
        <v/>
      </c>
    </row>
    <row r="42" spans="1:16" ht="12.95" customHeight="1">
      <c r="F42" s="179"/>
      <c r="G42" s="198"/>
      <c r="N42" s="254"/>
      <c r="P42" s="214" t="str">
        <f t="shared" si="2"/>
        <v/>
      </c>
    </row>
    <row r="43" spans="1:16" ht="12.95" customHeight="1">
      <c r="F43" s="179"/>
      <c r="G43" s="198"/>
      <c r="N43" s="254"/>
      <c r="P43" s="214" t="str">
        <f t="shared" si="2"/>
        <v/>
      </c>
    </row>
    <row r="44" spans="1:16" ht="12.95" customHeight="1">
      <c r="F44" s="179"/>
      <c r="G44" s="198"/>
      <c r="N44" s="254"/>
      <c r="P44" s="214" t="str">
        <f t="shared" si="2"/>
        <v/>
      </c>
    </row>
    <row r="45" spans="1:16" ht="12.95" customHeight="1">
      <c r="F45" s="179"/>
      <c r="G45" s="198"/>
      <c r="N45" s="254"/>
      <c r="P45" s="214" t="str">
        <f t="shared" si="2"/>
        <v/>
      </c>
    </row>
    <row r="46" spans="1:16" ht="12.95" customHeight="1">
      <c r="F46" s="179"/>
      <c r="G46" s="198"/>
      <c r="N46" s="254"/>
      <c r="P46" s="214" t="str">
        <f t="shared" si="2"/>
        <v/>
      </c>
    </row>
    <row r="47" spans="1:16" ht="12.95" customHeight="1">
      <c r="F47" s="179"/>
      <c r="G47" s="198"/>
      <c r="N47" s="254"/>
      <c r="P47" s="214" t="str">
        <f t="shared" si="2"/>
        <v/>
      </c>
    </row>
    <row r="48" spans="1:16" ht="12.95" customHeight="1">
      <c r="F48" s="179"/>
      <c r="G48" s="198"/>
      <c r="N48" s="254"/>
      <c r="P48" s="214" t="str">
        <f t="shared" si="2"/>
        <v/>
      </c>
    </row>
    <row r="49" spans="6:16" ht="12.95" customHeight="1">
      <c r="F49" s="179"/>
      <c r="G49" s="198"/>
      <c r="N49" s="254"/>
      <c r="P49" s="214" t="str">
        <f t="shared" si="2"/>
        <v/>
      </c>
    </row>
    <row r="50" spans="6:16" ht="12.95" customHeight="1">
      <c r="F50" s="179"/>
      <c r="G50" s="198"/>
      <c r="N50" s="254"/>
      <c r="P50" s="214" t="str">
        <f t="shared" si="2"/>
        <v/>
      </c>
    </row>
    <row r="51" spans="6:16" ht="12.95" customHeight="1">
      <c r="F51" s="179"/>
      <c r="G51" s="198"/>
      <c r="N51" s="254"/>
      <c r="P51" s="214" t="str">
        <f t="shared" si="2"/>
        <v/>
      </c>
    </row>
    <row r="52" spans="6:16" ht="12.95" customHeight="1">
      <c r="F52" s="179"/>
      <c r="G52" s="198"/>
      <c r="N52" s="254"/>
      <c r="P52" s="214" t="str">
        <f t="shared" si="2"/>
        <v/>
      </c>
    </row>
    <row r="53" spans="6:16" ht="12.95" customHeight="1">
      <c r="F53" s="179"/>
      <c r="G53" s="198"/>
      <c r="N53" s="254"/>
      <c r="P53" s="214" t="str">
        <f t="shared" si="2"/>
        <v/>
      </c>
    </row>
    <row r="54" spans="6:16" ht="12.95" customHeight="1">
      <c r="F54" s="179"/>
      <c r="G54" s="198"/>
      <c r="N54" s="254"/>
    </row>
    <row r="55" spans="6:16" ht="12.95" customHeight="1">
      <c r="F55" s="179"/>
      <c r="G55" s="198"/>
      <c r="N55" s="254"/>
    </row>
    <row r="56" spans="6:16" ht="12.95" customHeight="1">
      <c r="F56" s="179"/>
      <c r="G56" s="198"/>
      <c r="N56" s="254"/>
    </row>
    <row r="57" spans="6:16" ht="12.95" customHeight="1">
      <c r="F57" s="179"/>
      <c r="G57" s="198"/>
      <c r="N57" s="254"/>
    </row>
    <row r="58" spans="6:16" ht="12.95" customHeight="1">
      <c r="F58" s="179"/>
      <c r="G58" s="198"/>
      <c r="N58" s="254"/>
    </row>
    <row r="59" spans="6:16" ht="12.95" customHeight="1">
      <c r="F59" s="179"/>
      <c r="G59" s="198"/>
      <c r="N59" s="254"/>
    </row>
    <row r="60" spans="6:16" ht="17.100000000000001" customHeight="1">
      <c r="F60" s="179"/>
      <c r="G60" s="198"/>
      <c r="N60" s="254"/>
    </row>
    <row r="61" spans="6:16" ht="14.25">
      <c r="F61" s="179"/>
      <c r="G61" s="198"/>
      <c r="N61" s="254"/>
    </row>
    <row r="62" spans="6:16" ht="14.25">
      <c r="F62" s="179"/>
      <c r="G62" s="198"/>
      <c r="N62" s="254"/>
    </row>
    <row r="63" spans="6:16" ht="14.25">
      <c r="F63" s="179"/>
      <c r="G63" s="198"/>
      <c r="N63" s="254"/>
    </row>
    <row r="64" spans="6:16" ht="14.25">
      <c r="F64" s="179"/>
      <c r="G64" s="198"/>
      <c r="N64" s="254"/>
    </row>
    <row r="65" spans="6:14" ht="14.25">
      <c r="F65" s="179"/>
      <c r="G65" s="198"/>
      <c r="N65" s="254"/>
    </row>
    <row r="66" spans="6:14" ht="14.25">
      <c r="F66" s="179"/>
      <c r="G66" s="198"/>
      <c r="N66" s="254"/>
    </row>
    <row r="67" spans="6:14" ht="14.25">
      <c r="F67" s="179"/>
      <c r="G67" s="198"/>
      <c r="N67" s="254"/>
    </row>
    <row r="68" spans="6:14" ht="14.25">
      <c r="F68" s="179"/>
      <c r="G68" s="198"/>
      <c r="N68" s="254"/>
    </row>
    <row r="69" spans="6:14" ht="14.25">
      <c r="F69" s="179"/>
      <c r="G69" s="198"/>
      <c r="N69" s="254"/>
    </row>
    <row r="70" spans="6:14" ht="14.25">
      <c r="F70" s="179"/>
      <c r="G70" s="198"/>
      <c r="N70" s="254"/>
    </row>
    <row r="71" spans="6:14" ht="14.25">
      <c r="F71" s="179"/>
      <c r="G71" s="198"/>
      <c r="N71" s="254"/>
    </row>
    <row r="72" spans="6:14" ht="14.25">
      <c r="F72" s="179"/>
      <c r="G72" s="198"/>
      <c r="N72" s="254"/>
    </row>
    <row r="73" spans="6:14" ht="14.25">
      <c r="F73" s="179"/>
      <c r="G73" s="198"/>
      <c r="N73" s="254"/>
    </row>
    <row r="74" spans="6:14" ht="14.25">
      <c r="F74" s="179"/>
      <c r="G74" s="179"/>
      <c r="N74" s="254"/>
    </row>
    <row r="75" spans="6:14" ht="14.25">
      <c r="F75" s="179"/>
      <c r="G75" s="179"/>
      <c r="N75" s="254"/>
    </row>
    <row r="76" spans="6:14" ht="14.25">
      <c r="F76" s="179"/>
      <c r="G76" s="179"/>
      <c r="N76" s="254"/>
    </row>
    <row r="77" spans="6:14" ht="14.25">
      <c r="F77" s="179"/>
      <c r="G77" s="179"/>
      <c r="N77" s="254"/>
    </row>
    <row r="78" spans="6:14" ht="14.25">
      <c r="F78" s="179"/>
      <c r="G78" s="179"/>
      <c r="N78" s="254"/>
    </row>
    <row r="79" spans="6:14" ht="14.25">
      <c r="F79" s="179"/>
      <c r="G79" s="179"/>
      <c r="N79" s="254"/>
    </row>
    <row r="80" spans="6:14" ht="14.25">
      <c r="F80" s="179"/>
      <c r="G80" s="179"/>
      <c r="N80" s="254"/>
    </row>
    <row r="81" spans="6:14" ht="14.25">
      <c r="F81" s="179"/>
      <c r="G81" s="179"/>
      <c r="N81" s="254"/>
    </row>
    <row r="82" spans="6:14" ht="14.25">
      <c r="F82" s="179"/>
      <c r="G82" s="179"/>
      <c r="N82" s="254"/>
    </row>
    <row r="83" spans="6:14" ht="14.25">
      <c r="F83" s="179"/>
      <c r="G83" s="179"/>
      <c r="N83" s="254"/>
    </row>
    <row r="84" spans="6:14" ht="14.25">
      <c r="F84" s="179"/>
      <c r="G84" s="179"/>
      <c r="N84" s="254"/>
    </row>
    <row r="85" spans="6:14" ht="14.25">
      <c r="F85" s="179"/>
      <c r="G85" s="179"/>
      <c r="N85" s="254"/>
    </row>
    <row r="86" spans="6:14" ht="14.25">
      <c r="F86" s="179"/>
      <c r="G86" s="179"/>
      <c r="N86" s="254"/>
    </row>
    <row r="87" spans="6:14" ht="14.25">
      <c r="F87" s="179"/>
      <c r="G87" s="179"/>
      <c r="N87" s="254"/>
    </row>
    <row r="88" spans="6:14" ht="14.25">
      <c r="F88" s="179"/>
      <c r="G88" s="179"/>
      <c r="N88" s="254"/>
    </row>
    <row r="89" spans="6:14" ht="14.25">
      <c r="F89" s="179"/>
      <c r="G89" s="179"/>
      <c r="N89" s="254"/>
    </row>
    <row r="90" spans="6:14" ht="14.25">
      <c r="F90" s="179"/>
      <c r="G90" s="179"/>
      <c r="N90" s="254"/>
    </row>
    <row r="91" spans="6:14">
      <c r="G91" s="179"/>
    </row>
    <row r="92" spans="6:14">
      <c r="G92" s="179"/>
    </row>
    <row r="93" spans="6:14">
      <c r="G93" s="179"/>
    </row>
    <row r="94" spans="6:14">
      <c r="G94" s="179"/>
    </row>
    <row r="95" spans="6:14">
      <c r="G95" s="179"/>
    </row>
    <row r="96" spans="6:14">
      <c r="G96" s="179"/>
    </row>
  </sheetData>
  <mergeCells count="15">
    <mergeCell ref="P4:P5"/>
    <mergeCell ref="B2:P2"/>
    <mergeCell ref="K4:K5"/>
    <mergeCell ref="O4:O5"/>
    <mergeCell ref="H4:H5"/>
    <mergeCell ref="H3:I3"/>
    <mergeCell ref="L4:N4"/>
    <mergeCell ref="B4:B5"/>
    <mergeCell ref="C4:C5"/>
    <mergeCell ref="D4:D5"/>
    <mergeCell ref="G4:G5"/>
    <mergeCell ref="F4:F5"/>
    <mergeCell ref="I4:I5"/>
    <mergeCell ref="J4:J5"/>
    <mergeCell ref="E4:E5"/>
  </mergeCells>
  <phoneticPr fontId="2" type="noConversion"/>
  <pageMargins left="0.78740157480314965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>
  <dimension ref="A2:O45"/>
  <sheetViews>
    <sheetView zoomScaleNormal="100" workbookViewId="0">
      <selection activeCell="O19" sqref="O19"/>
    </sheetView>
  </sheetViews>
  <sheetFormatPr defaultRowHeight="12.75"/>
  <cols>
    <col min="1" max="1" width="11.85546875" style="36" customWidth="1"/>
    <col min="2" max="2" width="82.28515625" customWidth="1"/>
    <col min="3" max="11" width="10.7109375" customWidth="1"/>
    <col min="12" max="12" width="11.42578125" style="41" customWidth="1"/>
  </cols>
  <sheetData>
    <row r="2" spans="1:15" ht="15.75">
      <c r="A2" s="1001" t="s">
        <v>907</v>
      </c>
      <c r="B2" s="1075"/>
      <c r="C2" s="1075"/>
      <c r="D2" s="1075"/>
      <c r="E2" s="1075"/>
      <c r="F2" s="1075"/>
      <c r="G2" s="1075"/>
      <c r="H2" s="1075"/>
      <c r="I2" s="1075"/>
      <c r="J2" s="1075"/>
      <c r="K2" s="1075"/>
      <c r="L2" s="1075"/>
    </row>
    <row r="4" spans="1:15" s="41" customFormat="1" ht="51">
      <c r="A4" s="96" t="s">
        <v>312</v>
      </c>
      <c r="B4" s="97" t="s">
        <v>320</v>
      </c>
      <c r="C4" s="96" t="s">
        <v>313</v>
      </c>
      <c r="D4" s="96" t="s">
        <v>314</v>
      </c>
      <c r="E4" s="96" t="s">
        <v>321</v>
      </c>
      <c r="F4" s="96" t="s">
        <v>322</v>
      </c>
      <c r="G4" s="96" t="s">
        <v>315</v>
      </c>
      <c r="H4" s="96" t="s">
        <v>316</v>
      </c>
      <c r="I4" s="96" t="s">
        <v>317</v>
      </c>
      <c r="J4" s="96" t="s">
        <v>323</v>
      </c>
      <c r="K4" s="96" t="s">
        <v>318</v>
      </c>
      <c r="L4" s="96" t="s">
        <v>319</v>
      </c>
    </row>
    <row r="5" spans="1:15" ht="20.100000000000001" customHeight="1">
      <c r="A5" s="90">
        <v>10010001</v>
      </c>
      <c r="B5" s="23" t="s">
        <v>185</v>
      </c>
      <c r="C5" s="88">
        <f>'1'!N9</f>
        <v>499542</v>
      </c>
      <c r="D5" s="88">
        <f>'1'!N10+'1'!N11</f>
        <v>111428</v>
      </c>
      <c r="E5" s="88">
        <f>'1'!N13</f>
        <v>52452</v>
      </c>
      <c r="F5" s="88">
        <f>'1'!N16</f>
        <v>264503</v>
      </c>
      <c r="G5" s="88">
        <v>0</v>
      </c>
      <c r="H5" s="88">
        <v>0</v>
      </c>
      <c r="I5" s="23">
        <v>0</v>
      </c>
      <c r="J5" s="88">
        <f>'1'!N28</f>
        <v>35602</v>
      </c>
      <c r="K5" s="23">
        <v>0</v>
      </c>
      <c r="L5" s="89">
        <f>SUM(C5:K5)</f>
        <v>963527</v>
      </c>
    </row>
    <row r="6" spans="1:15" ht="20.100000000000001" customHeight="1">
      <c r="A6" s="90">
        <v>11010001</v>
      </c>
      <c r="B6" s="23" t="s">
        <v>186</v>
      </c>
      <c r="C6" s="88">
        <f>'2'!N14</f>
        <v>177691</v>
      </c>
      <c r="D6" s="88">
        <f>'2'!N15+'2'!N16</f>
        <v>79934</v>
      </c>
      <c r="E6" s="88">
        <f>'2'!N18</f>
        <v>19057</v>
      </c>
      <c r="F6" s="88">
        <f>'2'!N21</f>
        <v>323807</v>
      </c>
      <c r="G6" s="88">
        <f>'2'!N34</f>
        <v>1015000</v>
      </c>
      <c r="H6" s="88">
        <f>'2'!N43</f>
        <v>230000</v>
      </c>
      <c r="I6" s="23">
        <v>0</v>
      </c>
      <c r="J6" s="88">
        <f>'2'!N46</f>
        <v>25846</v>
      </c>
      <c r="K6" s="23">
        <v>0</v>
      </c>
      <c r="L6" s="89">
        <f t="shared" ref="L6:L41" si="0">SUM(C6:K6)</f>
        <v>1871335</v>
      </c>
      <c r="O6" s="57"/>
    </row>
    <row r="7" spans="1:15" ht="20.100000000000001" customHeight="1">
      <c r="A7" s="90">
        <v>11010003</v>
      </c>
      <c r="B7" s="23" t="s">
        <v>863</v>
      </c>
      <c r="C7" s="88">
        <f>'3'!N9</f>
        <v>56745</v>
      </c>
      <c r="D7" s="88">
        <f>'3'!N10+'3'!N11</f>
        <v>8887</v>
      </c>
      <c r="E7" s="88">
        <f>'3'!N13</f>
        <v>5958</v>
      </c>
      <c r="F7" s="88">
        <f>'3'!N16</f>
        <v>251</v>
      </c>
      <c r="G7" s="23">
        <v>0</v>
      </c>
      <c r="H7" s="23">
        <v>0</v>
      </c>
      <c r="I7" s="23">
        <v>0</v>
      </c>
      <c r="J7" s="88">
        <f>'3'!N28</f>
        <v>346</v>
      </c>
      <c r="K7" s="23">
        <v>0</v>
      </c>
      <c r="L7" s="89">
        <f t="shared" si="0"/>
        <v>72187</v>
      </c>
    </row>
    <row r="8" spans="1:15" ht="20.100000000000001" customHeight="1">
      <c r="A8" s="90">
        <v>11010004</v>
      </c>
      <c r="B8" s="23" t="s">
        <v>871</v>
      </c>
      <c r="C8" s="88">
        <f>'4'!N9</f>
        <v>80454</v>
      </c>
      <c r="D8" s="88">
        <f>'4'!N10+'4'!N11</f>
        <v>15298</v>
      </c>
      <c r="E8" s="88">
        <f>'4'!N13</f>
        <v>8448</v>
      </c>
      <c r="F8" s="88">
        <f>'4'!N16</f>
        <v>3895</v>
      </c>
      <c r="G8" s="23">
        <v>0</v>
      </c>
      <c r="H8" s="23">
        <v>0</v>
      </c>
      <c r="I8" s="23">
        <v>0</v>
      </c>
      <c r="J8" s="88">
        <f>'4'!N28</f>
        <v>3280</v>
      </c>
      <c r="K8" s="23">
        <v>0</v>
      </c>
      <c r="L8" s="89">
        <f t="shared" si="0"/>
        <v>111375</v>
      </c>
    </row>
    <row r="9" spans="1:15" ht="20.100000000000001" customHeight="1">
      <c r="A9" s="90">
        <v>11010005</v>
      </c>
      <c r="B9" s="347" t="s">
        <v>872</v>
      </c>
      <c r="C9" s="88">
        <f>'5'!N9</f>
        <v>134682</v>
      </c>
      <c r="D9" s="88">
        <f>'5'!N10+'5'!N11</f>
        <v>34771</v>
      </c>
      <c r="E9" s="88">
        <f>'5'!N13</f>
        <v>14142</v>
      </c>
      <c r="F9" s="88">
        <f>'5'!N16</f>
        <v>11677</v>
      </c>
      <c r="G9" s="23">
        <v>0</v>
      </c>
      <c r="H9" s="23">
        <v>0</v>
      </c>
      <c r="I9" s="23">
        <v>0</v>
      </c>
      <c r="J9" s="88">
        <f>'5'!N28</f>
        <v>5000</v>
      </c>
      <c r="K9" s="23">
        <v>0</v>
      </c>
      <c r="L9" s="89">
        <f t="shared" si="0"/>
        <v>200272</v>
      </c>
    </row>
    <row r="10" spans="1:15" s="406" customFormat="1" ht="20.100000000000001" customHeight="1">
      <c r="A10" s="90">
        <v>11010006</v>
      </c>
      <c r="B10" s="23" t="s">
        <v>873</v>
      </c>
      <c r="C10" s="88">
        <f>'6'!N9</f>
        <v>100658</v>
      </c>
      <c r="D10" s="88">
        <f>'6'!N10</f>
        <v>25808</v>
      </c>
      <c r="E10" s="88">
        <f>'6'!N13</f>
        <v>10569</v>
      </c>
      <c r="F10" s="88">
        <f>'6'!N16</f>
        <v>4417</v>
      </c>
      <c r="G10" s="88">
        <f>'6'!N28</f>
        <v>132102</v>
      </c>
      <c r="H10" s="23">
        <v>0</v>
      </c>
      <c r="I10" s="23">
        <v>0</v>
      </c>
      <c r="J10" s="88">
        <f>'6'!N31</f>
        <v>2494</v>
      </c>
      <c r="K10" s="23">
        <v>0</v>
      </c>
      <c r="L10" s="89">
        <f t="shared" ref="L10" si="1">SUM(C10:K10)</f>
        <v>276048</v>
      </c>
    </row>
    <row r="11" spans="1:15" ht="20.100000000000001" customHeight="1">
      <c r="A11" s="90">
        <v>12010001</v>
      </c>
      <c r="B11" s="23" t="s">
        <v>618</v>
      </c>
      <c r="C11" s="88">
        <f>'7'!N9</f>
        <v>323888</v>
      </c>
      <c r="D11" s="88">
        <f>'7'!N10+'7'!N11</f>
        <v>98678</v>
      </c>
      <c r="E11" s="88">
        <f>'7'!N13</f>
        <v>34429</v>
      </c>
      <c r="F11" s="88">
        <f>'7'!N16</f>
        <v>442887</v>
      </c>
      <c r="G11" s="23">
        <v>0</v>
      </c>
      <c r="H11" s="23">
        <v>0</v>
      </c>
      <c r="I11" s="23">
        <v>0</v>
      </c>
      <c r="J11" s="88">
        <f>'7'!N28</f>
        <v>11983</v>
      </c>
      <c r="K11" s="23">
        <v>0</v>
      </c>
      <c r="L11" s="89">
        <f t="shared" si="0"/>
        <v>911865</v>
      </c>
    </row>
    <row r="12" spans="1:15" ht="20.100000000000001" customHeight="1">
      <c r="A12" s="90">
        <v>13010001</v>
      </c>
      <c r="B12" s="23" t="s">
        <v>187</v>
      </c>
      <c r="C12" s="88">
        <f>'8'!N9</f>
        <v>5514473</v>
      </c>
      <c r="D12" s="88">
        <f>'8'!N10+'8'!N11</f>
        <v>1186105</v>
      </c>
      <c r="E12" s="88">
        <f>'8'!N13</f>
        <v>930986</v>
      </c>
      <c r="F12" s="88">
        <f>'8'!N17</f>
        <v>871509</v>
      </c>
      <c r="G12" s="23">
        <v>0</v>
      </c>
      <c r="H12" s="23">
        <v>0</v>
      </c>
      <c r="I12" s="23">
        <v>0</v>
      </c>
      <c r="J12" s="88">
        <f>'8'!N29</f>
        <v>202661</v>
      </c>
      <c r="K12" s="23">
        <v>0</v>
      </c>
      <c r="L12" s="89">
        <f t="shared" si="0"/>
        <v>8705734</v>
      </c>
    </row>
    <row r="13" spans="1:15" ht="20.100000000000001" customHeight="1">
      <c r="A13" s="90">
        <v>14010001</v>
      </c>
      <c r="B13" s="23" t="s">
        <v>620</v>
      </c>
      <c r="C13" s="88">
        <f>'9'!N9</f>
        <v>147293</v>
      </c>
      <c r="D13" s="88">
        <f>'9'!N10+'9'!N11</f>
        <v>29874</v>
      </c>
      <c r="E13" s="88">
        <f>'9'!N13</f>
        <v>15466</v>
      </c>
      <c r="F13" s="88">
        <f>'9'!N16</f>
        <v>148059</v>
      </c>
      <c r="G13" s="23">
        <v>0</v>
      </c>
      <c r="H13" s="23">
        <v>0</v>
      </c>
      <c r="I13" s="23">
        <v>0</v>
      </c>
      <c r="J13" s="88">
        <f>'9'!N30</f>
        <v>5106</v>
      </c>
      <c r="K13" s="23">
        <v>0</v>
      </c>
      <c r="L13" s="89">
        <f t="shared" si="0"/>
        <v>345798</v>
      </c>
    </row>
    <row r="14" spans="1:15" ht="20.100000000000001" customHeight="1">
      <c r="A14" s="90">
        <v>14020003</v>
      </c>
      <c r="B14" s="23" t="s">
        <v>647</v>
      </c>
      <c r="C14" s="88">
        <f>'10'!N9</f>
        <v>1038192</v>
      </c>
      <c r="D14" s="88">
        <f>'10'!N10+'10'!N11</f>
        <v>208535</v>
      </c>
      <c r="E14" s="88">
        <f>'10'!N13</f>
        <v>108084</v>
      </c>
      <c r="F14" s="88">
        <f>'10'!N16</f>
        <v>270667</v>
      </c>
      <c r="G14" s="23">
        <v>0</v>
      </c>
      <c r="H14" s="23">
        <v>0</v>
      </c>
      <c r="I14" s="23">
        <v>0</v>
      </c>
      <c r="J14" s="88">
        <f>'10'!N29</f>
        <v>51914</v>
      </c>
      <c r="K14" s="23">
        <v>0</v>
      </c>
      <c r="L14" s="89">
        <f t="shared" si="0"/>
        <v>1677392</v>
      </c>
    </row>
    <row r="15" spans="1:15" ht="20.100000000000001" customHeight="1">
      <c r="A15" s="90">
        <v>14050001</v>
      </c>
      <c r="B15" s="23" t="s">
        <v>643</v>
      </c>
      <c r="C15" s="88">
        <f>'11'!N9</f>
        <v>34781</v>
      </c>
      <c r="D15" s="88">
        <f>'11'!N10+'11'!N11</f>
        <v>4665</v>
      </c>
      <c r="E15" s="88">
        <f>'11'!N13</f>
        <v>3652</v>
      </c>
      <c r="F15" s="88">
        <f>'11'!N16</f>
        <v>1301</v>
      </c>
      <c r="G15" s="23">
        <v>0</v>
      </c>
      <c r="H15" s="23">
        <v>0</v>
      </c>
      <c r="I15" s="23">
        <v>0</v>
      </c>
      <c r="J15" s="88">
        <f>'11'!N28</f>
        <v>0</v>
      </c>
      <c r="K15" s="23">
        <v>0</v>
      </c>
      <c r="L15" s="89">
        <f t="shared" si="0"/>
        <v>44399</v>
      </c>
    </row>
    <row r="16" spans="1:15" ht="20.100000000000001" customHeight="1">
      <c r="A16" s="90">
        <v>14050002</v>
      </c>
      <c r="B16" s="23" t="s">
        <v>644</v>
      </c>
      <c r="C16" s="88">
        <f>'12'!N9</f>
        <v>73136</v>
      </c>
      <c r="D16" s="88">
        <f>'12'!N10+'12'!N11</f>
        <v>14399</v>
      </c>
      <c r="E16" s="88">
        <f>'12'!N13</f>
        <v>7679</v>
      </c>
      <c r="F16" s="88">
        <f>'12'!N16</f>
        <v>2169</v>
      </c>
      <c r="G16" s="23">
        <v>0</v>
      </c>
      <c r="H16" s="23">
        <v>0</v>
      </c>
      <c r="I16" s="23">
        <v>0</v>
      </c>
      <c r="J16" s="88">
        <f>'12'!N28</f>
        <v>2971</v>
      </c>
      <c r="K16" s="23">
        <v>0</v>
      </c>
      <c r="L16" s="89">
        <f t="shared" si="0"/>
        <v>100354</v>
      </c>
    </row>
    <row r="17" spans="1:15" ht="20.100000000000001" customHeight="1">
      <c r="A17" s="90">
        <v>14060001</v>
      </c>
      <c r="B17" s="23" t="s">
        <v>645</v>
      </c>
      <c r="C17" s="88">
        <f>'13'!N9</f>
        <v>80850</v>
      </c>
      <c r="D17" s="88">
        <f>'13'!N10+'13'!N11</f>
        <v>16948</v>
      </c>
      <c r="E17" s="88">
        <f>'13'!N13</f>
        <v>8594</v>
      </c>
      <c r="F17" s="88">
        <f>'13'!N16</f>
        <v>2745</v>
      </c>
      <c r="G17" s="23">
        <v>0</v>
      </c>
      <c r="H17" s="23">
        <v>0</v>
      </c>
      <c r="I17" s="23">
        <v>0</v>
      </c>
      <c r="J17" s="88">
        <f>'13'!N28</f>
        <v>0</v>
      </c>
      <c r="K17" s="23">
        <v>0</v>
      </c>
      <c r="L17" s="89">
        <f t="shared" si="0"/>
        <v>109137</v>
      </c>
    </row>
    <row r="18" spans="1:15" s="530" customFormat="1" ht="20.100000000000001" customHeight="1">
      <c r="A18" s="90">
        <v>14070001</v>
      </c>
      <c r="B18" s="347" t="s">
        <v>798</v>
      </c>
      <c r="C18" s="88">
        <f>'14'!L9</f>
        <v>0</v>
      </c>
      <c r="D18" s="88">
        <f>'14'!L10</f>
        <v>0</v>
      </c>
      <c r="E18" s="88">
        <f>'14'!L14</f>
        <v>0</v>
      </c>
      <c r="F18" s="88">
        <f>'14'!L16</f>
        <v>0</v>
      </c>
      <c r="G18" s="88">
        <v>0</v>
      </c>
      <c r="H18" s="23">
        <v>0</v>
      </c>
      <c r="I18" s="23">
        <v>0</v>
      </c>
      <c r="J18" s="88">
        <f>'14'!L28</f>
        <v>0</v>
      </c>
      <c r="K18" s="23">
        <v>0</v>
      </c>
      <c r="L18" s="89">
        <f t="shared" ref="L18" si="2">SUM(C18:K18)</f>
        <v>0</v>
      </c>
    </row>
    <row r="19" spans="1:15" ht="20.100000000000001" customHeight="1">
      <c r="A19" s="90">
        <v>15010001</v>
      </c>
      <c r="B19" s="23" t="s">
        <v>621</v>
      </c>
      <c r="C19" s="88">
        <f>'15'!N9</f>
        <v>235415</v>
      </c>
      <c r="D19" s="88">
        <f>'15'!N10+'15'!N11</f>
        <v>58594</v>
      </c>
      <c r="E19" s="88">
        <f>'15'!N13</f>
        <v>24884</v>
      </c>
      <c r="F19" s="88">
        <f>'15'!N16</f>
        <v>30762</v>
      </c>
      <c r="G19" s="88">
        <f>'15'!N29</f>
        <v>1000771</v>
      </c>
      <c r="H19" s="88">
        <f>'15'!N33</f>
        <v>1021990</v>
      </c>
      <c r="I19" s="23">
        <v>0</v>
      </c>
      <c r="J19" s="88">
        <f>'15'!N37</f>
        <v>3999</v>
      </c>
      <c r="K19" s="23">
        <v>0</v>
      </c>
      <c r="L19" s="89">
        <f t="shared" si="0"/>
        <v>2376415</v>
      </c>
    </row>
    <row r="20" spans="1:15" ht="20.100000000000001" customHeight="1">
      <c r="A20" s="90">
        <v>16010001</v>
      </c>
      <c r="B20" s="23" t="s">
        <v>622</v>
      </c>
      <c r="C20" s="88">
        <f>'16'!N12</f>
        <v>388590</v>
      </c>
      <c r="D20" s="88">
        <f>'16'!N13+'16'!N14</f>
        <v>87675</v>
      </c>
      <c r="E20" s="88">
        <f>'16'!N16</f>
        <v>42577</v>
      </c>
      <c r="F20" s="88">
        <f>'16'!N19</f>
        <v>223859</v>
      </c>
      <c r="G20" s="88">
        <f>'16'!N32</f>
        <v>1353938</v>
      </c>
      <c r="H20" s="23">
        <v>0</v>
      </c>
      <c r="I20" s="88">
        <f>'16'!N37</f>
        <v>28910</v>
      </c>
      <c r="J20" s="88">
        <f>'16'!N41</f>
        <v>26785</v>
      </c>
      <c r="K20" s="88">
        <f>'16'!N45</f>
        <v>515908</v>
      </c>
      <c r="L20" s="89">
        <f t="shared" si="0"/>
        <v>2668242</v>
      </c>
      <c r="O20" s="57"/>
    </row>
    <row r="21" spans="1:15" ht="20.100000000000001" customHeight="1">
      <c r="A21" s="90">
        <v>17010001</v>
      </c>
      <c r="B21" s="23" t="s">
        <v>623</v>
      </c>
      <c r="C21" s="88">
        <f>'17'!N9</f>
        <v>279447</v>
      </c>
      <c r="D21" s="88">
        <f>'17'!N10+'17'!N11</f>
        <v>50826</v>
      </c>
      <c r="E21" s="88">
        <f>'17'!N13</f>
        <v>29341</v>
      </c>
      <c r="F21" s="88">
        <f>'17'!N16</f>
        <v>100446</v>
      </c>
      <c r="G21" s="88">
        <f>'17'!N28</f>
        <v>5666814</v>
      </c>
      <c r="H21" s="88">
        <v>0</v>
      </c>
      <c r="I21" s="23">
        <v>0</v>
      </c>
      <c r="J21" s="88">
        <f>'17'!N34</f>
        <v>3378</v>
      </c>
      <c r="K21" s="23">
        <v>0</v>
      </c>
      <c r="L21" s="89">
        <f t="shared" si="0"/>
        <v>6130252</v>
      </c>
    </row>
    <row r="22" spans="1:15" ht="20.100000000000001" customHeight="1">
      <c r="A22" s="90">
        <v>18010001</v>
      </c>
      <c r="B22" s="23" t="s">
        <v>624</v>
      </c>
      <c r="C22" s="88">
        <f>'18'!N9</f>
        <v>278061</v>
      </c>
      <c r="D22" s="88">
        <f>'18'!N10+'18'!N11</f>
        <v>73310</v>
      </c>
      <c r="E22" s="88">
        <f>'18'!N13</f>
        <v>29196</v>
      </c>
      <c r="F22" s="88">
        <f>'18'!N16</f>
        <v>428714</v>
      </c>
      <c r="G22" s="88">
        <f>'18'!N29</f>
        <v>280000</v>
      </c>
      <c r="H22" s="23">
        <v>0</v>
      </c>
      <c r="I22" s="23">
        <v>0</v>
      </c>
      <c r="J22" s="88">
        <f>'18'!N32</f>
        <v>1968350</v>
      </c>
      <c r="K22" s="23">
        <v>0</v>
      </c>
      <c r="L22" s="89">
        <f t="shared" si="0"/>
        <v>3057631</v>
      </c>
    </row>
    <row r="23" spans="1:15" ht="20.100000000000001" customHeight="1">
      <c r="A23" s="90">
        <v>19010001</v>
      </c>
      <c r="B23" s="23" t="s">
        <v>625</v>
      </c>
      <c r="C23" s="88">
        <f>'19'!N9</f>
        <v>693709</v>
      </c>
      <c r="D23" s="88">
        <f>'19'!N10+'19'!N11</f>
        <v>167554</v>
      </c>
      <c r="E23" s="88">
        <f>'19'!N13</f>
        <v>72906</v>
      </c>
      <c r="F23" s="88">
        <f>'19'!N16</f>
        <v>85964</v>
      </c>
      <c r="G23" s="88">
        <f>'19'!N28</f>
        <v>2629714</v>
      </c>
      <c r="H23" s="88">
        <f>'19'!N34</f>
        <v>550000</v>
      </c>
      <c r="I23" s="23">
        <v>0</v>
      </c>
      <c r="J23" s="88">
        <f>'19'!N38</f>
        <v>14751</v>
      </c>
      <c r="K23" s="23">
        <v>0</v>
      </c>
      <c r="L23" s="89">
        <f t="shared" si="0"/>
        <v>4214598</v>
      </c>
    </row>
    <row r="24" spans="1:15" ht="20.100000000000001" customHeight="1">
      <c r="A24" s="90">
        <v>20010001</v>
      </c>
      <c r="B24" s="23" t="s">
        <v>626</v>
      </c>
      <c r="C24" s="88">
        <f>'20'!N9</f>
        <v>374709</v>
      </c>
      <c r="D24" s="88">
        <f>'20'!N10+'20'!N11</f>
        <v>77482</v>
      </c>
      <c r="E24" s="88">
        <f>'20'!N13</f>
        <v>39462</v>
      </c>
      <c r="F24" s="88">
        <f>'20'!N16</f>
        <v>126926</v>
      </c>
      <c r="G24" s="88">
        <f>'20'!N31</f>
        <v>1919277</v>
      </c>
      <c r="H24" s="88">
        <v>0</v>
      </c>
      <c r="I24" s="88">
        <v>0</v>
      </c>
      <c r="J24" s="88">
        <f>'20'!N41</f>
        <v>521332</v>
      </c>
      <c r="K24" s="88">
        <v>0</v>
      </c>
      <c r="L24" s="89">
        <f t="shared" si="0"/>
        <v>3059188</v>
      </c>
    </row>
    <row r="25" spans="1:15" ht="20.100000000000001" customHeight="1">
      <c r="A25" s="90">
        <v>20020002</v>
      </c>
      <c r="B25" s="23" t="s">
        <v>672</v>
      </c>
      <c r="C25" s="88">
        <f>'21'!N9</f>
        <v>1022464</v>
      </c>
      <c r="D25" s="88">
        <f>'21'!N10+'21'!N11</f>
        <v>243771</v>
      </c>
      <c r="E25" s="88">
        <f>'21'!N13</f>
        <v>114194</v>
      </c>
      <c r="F25" s="88">
        <f>'21'!N16</f>
        <v>150750</v>
      </c>
      <c r="G25" s="23">
        <v>0</v>
      </c>
      <c r="H25" s="23">
        <v>0</v>
      </c>
      <c r="I25" s="23">
        <v>0</v>
      </c>
      <c r="J25" s="88">
        <f>'21'!N28</f>
        <v>94492</v>
      </c>
      <c r="K25" s="23">
        <v>0</v>
      </c>
      <c r="L25" s="89">
        <f t="shared" si="0"/>
        <v>1625671</v>
      </c>
    </row>
    <row r="26" spans="1:15" ht="20.100000000000001" customHeight="1">
      <c r="A26" s="90">
        <v>20020003</v>
      </c>
      <c r="B26" s="23" t="s">
        <v>673</v>
      </c>
      <c r="C26" s="88">
        <f>'22'!N9</f>
        <v>912868</v>
      </c>
      <c r="D26" s="88">
        <f>'22'!N10+'22'!N11</f>
        <v>221074</v>
      </c>
      <c r="E26" s="88">
        <f>'22'!N13</f>
        <v>97713</v>
      </c>
      <c r="F26" s="88">
        <f>'22'!N16</f>
        <v>158086</v>
      </c>
      <c r="G26" s="23">
        <v>0</v>
      </c>
      <c r="H26" s="23">
        <v>0</v>
      </c>
      <c r="I26" s="23">
        <v>0</v>
      </c>
      <c r="J26" s="88">
        <f>'22'!N28</f>
        <v>46651</v>
      </c>
      <c r="K26" s="23">
        <v>0</v>
      </c>
      <c r="L26" s="89">
        <f t="shared" si="0"/>
        <v>1436392</v>
      </c>
    </row>
    <row r="27" spans="1:15" ht="20.100000000000001" customHeight="1">
      <c r="A27" s="90">
        <v>20020004</v>
      </c>
      <c r="B27" s="23" t="s">
        <v>674</v>
      </c>
      <c r="C27" s="88">
        <f>'23'!N9</f>
        <v>841323</v>
      </c>
      <c r="D27" s="88">
        <f>'23'!N10+'23'!N11</f>
        <v>192934</v>
      </c>
      <c r="E27" s="88">
        <f>'23'!N13</f>
        <v>89554</v>
      </c>
      <c r="F27" s="88">
        <f>'23'!N16</f>
        <v>150475</v>
      </c>
      <c r="G27" s="23">
        <v>0</v>
      </c>
      <c r="H27" s="23">
        <v>0</v>
      </c>
      <c r="I27" s="23">
        <v>0</v>
      </c>
      <c r="J27" s="88">
        <f>'23'!N28</f>
        <v>26586</v>
      </c>
      <c r="K27" s="23">
        <v>0</v>
      </c>
      <c r="L27" s="89">
        <f t="shared" si="0"/>
        <v>1300872</v>
      </c>
    </row>
    <row r="28" spans="1:15" ht="20.100000000000001" customHeight="1">
      <c r="A28" s="90">
        <v>20030001</v>
      </c>
      <c r="B28" s="347" t="s">
        <v>653</v>
      </c>
      <c r="C28" s="88">
        <f>'24'!N9</f>
        <v>1102176</v>
      </c>
      <c r="D28" s="88">
        <f>'24'!N10+'24'!N11</f>
        <v>255756</v>
      </c>
      <c r="E28" s="88">
        <f>'24'!N13</f>
        <v>118733</v>
      </c>
      <c r="F28" s="88">
        <f>'24'!N16</f>
        <v>131922</v>
      </c>
      <c r="G28" s="23">
        <v>0</v>
      </c>
      <c r="H28" s="23">
        <v>0</v>
      </c>
      <c r="I28" s="23">
        <v>0</v>
      </c>
      <c r="J28" s="88">
        <f>'24'!N28</f>
        <v>14574</v>
      </c>
      <c r="K28" s="23">
        <v>0</v>
      </c>
      <c r="L28" s="89">
        <f t="shared" si="0"/>
        <v>1623161</v>
      </c>
    </row>
    <row r="29" spans="1:15" ht="20.100000000000001" customHeight="1">
      <c r="A29" s="90">
        <v>20030002</v>
      </c>
      <c r="B29" s="23" t="s">
        <v>675</v>
      </c>
      <c r="C29" s="88">
        <f>'25'!N9</f>
        <v>2286558</v>
      </c>
      <c r="D29" s="88">
        <f>'25'!N10+'25'!N11</f>
        <v>524453</v>
      </c>
      <c r="E29" s="88">
        <f>'25'!N13</f>
        <v>244017</v>
      </c>
      <c r="F29" s="88">
        <f>'25'!N16</f>
        <v>239151</v>
      </c>
      <c r="G29" s="23">
        <v>0</v>
      </c>
      <c r="H29" s="23">
        <v>0</v>
      </c>
      <c r="I29" s="23">
        <v>0</v>
      </c>
      <c r="J29" s="88">
        <f>'25'!N28</f>
        <v>41949</v>
      </c>
      <c r="K29" s="23">
        <v>0</v>
      </c>
      <c r="L29" s="89">
        <f t="shared" si="0"/>
        <v>3336128</v>
      </c>
    </row>
    <row r="30" spans="1:15" ht="20.100000000000001" customHeight="1">
      <c r="A30" s="90">
        <v>20030003</v>
      </c>
      <c r="B30" s="23" t="s">
        <v>676</v>
      </c>
      <c r="C30" s="88">
        <f>'26'!N9</f>
        <v>642419</v>
      </c>
      <c r="D30" s="88">
        <f>'26'!N10+'26'!N11</f>
        <v>125263</v>
      </c>
      <c r="E30" s="88">
        <f>'26'!N13</f>
        <v>68534</v>
      </c>
      <c r="F30" s="88">
        <f>'26'!N16</f>
        <v>65514</v>
      </c>
      <c r="G30" s="23">
        <v>0</v>
      </c>
      <c r="H30" s="23">
        <v>0</v>
      </c>
      <c r="I30" s="23">
        <v>0</v>
      </c>
      <c r="J30" s="88">
        <f>'26'!N28</f>
        <v>14959</v>
      </c>
      <c r="K30" s="23">
        <v>0</v>
      </c>
      <c r="L30" s="89">
        <f t="shared" si="0"/>
        <v>916689</v>
      </c>
    </row>
    <row r="31" spans="1:15" ht="20.100000000000001" customHeight="1">
      <c r="A31" s="90">
        <v>20030004</v>
      </c>
      <c r="B31" s="23" t="s">
        <v>677</v>
      </c>
      <c r="C31" s="88">
        <f>'27'!N9</f>
        <v>720985</v>
      </c>
      <c r="D31" s="88">
        <f>'27'!N10+'27'!N11</f>
        <v>145341</v>
      </c>
      <c r="E31" s="88">
        <f>'27'!N13</f>
        <v>76538</v>
      </c>
      <c r="F31" s="88">
        <f>'27'!N16</f>
        <v>106909</v>
      </c>
      <c r="G31" s="23">
        <v>0</v>
      </c>
      <c r="H31" s="23">
        <v>0</v>
      </c>
      <c r="I31" s="23">
        <v>0</v>
      </c>
      <c r="J31" s="88">
        <f>'27'!N28</f>
        <v>29403</v>
      </c>
      <c r="K31" s="23">
        <v>0</v>
      </c>
      <c r="L31" s="89">
        <f t="shared" si="0"/>
        <v>1079176</v>
      </c>
    </row>
    <row r="32" spans="1:15" ht="20.100000000000001" customHeight="1">
      <c r="A32" s="90">
        <v>20030005</v>
      </c>
      <c r="B32" s="347" t="s">
        <v>678</v>
      </c>
      <c r="C32" s="88">
        <f>'28'!N9</f>
        <v>871906</v>
      </c>
      <c r="D32" s="88">
        <f>'28'!N10+'28'!N11</f>
        <v>211195</v>
      </c>
      <c r="E32" s="88">
        <f>'28'!N13</f>
        <v>92269</v>
      </c>
      <c r="F32" s="88">
        <f>'28'!N16</f>
        <v>151584</v>
      </c>
      <c r="G32" s="23">
        <v>0</v>
      </c>
      <c r="H32" s="23">
        <v>0</v>
      </c>
      <c r="I32" s="23">
        <v>0</v>
      </c>
      <c r="J32" s="88">
        <f>'28'!N28</f>
        <v>20401</v>
      </c>
      <c r="K32" s="23">
        <v>0</v>
      </c>
      <c r="L32" s="89">
        <f t="shared" si="0"/>
        <v>1347355</v>
      </c>
    </row>
    <row r="33" spans="1:12" ht="20.100000000000001" customHeight="1">
      <c r="A33" s="90">
        <v>20030006</v>
      </c>
      <c r="B33" s="23" t="s">
        <v>679</v>
      </c>
      <c r="C33" s="88">
        <f>'29'!N9</f>
        <v>331428</v>
      </c>
      <c r="D33" s="88">
        <f>'29'!N10+'29'!N11</f>
        <v>77100</v>
      </c>
      <c r="E33" s="88">
        <f>'29'!N13</f>
        <v>35144</v>
      </c>
      <c r="F33" s="88">
        <f>'29'!N16</f>
        <v>62777</v>
      </c>
      <c r="G33" s="23">
        <v>0</v>
      </c>
      <c r="H33" s="23">
        <v>0</v>
      </c>
      <c r="I33" s="23">
        <v>0</v>
      </c>
      <c r="J33" s="88">
        <f>'29'!N28</f>
        <v>3491</v>
      </c>
      <c r="K33" s="23">
        <v>0</v>
      </c>
      <c r="L33" s="89">
        <f t="shared" si="0"/>
        <v>509940</v>
      </c>
    </row>
    <row r="34" spans="1:12" ht="20.100000000000001" customHeight="1">
      <c r="A34" s="90">
        <v>20030007</v>
      </c>
      <c r="B34" s="23" t="s">
        <v>680</v>
      </c>
      <c r="C34" s="88">
        <f>'30'!N9</f>
        <v>554916</v>
      </c>
      <c r="D34" s="88">
        <f>'30'!N10+'30'!N11</f>
        <v>123039</v>
      </c>
      <c r="E34" s="88">
        <f>'30'!N13</f>
        <v>59978</v>
      </c>
      <c r="F34" s="88">
        <f>'30'!N16</f>
        <v>79585</v>
      </c>
      <c r="G34" s="23">
        <v>0</v>
      </c>
      <c r="H34" s="23">
        <v>0</v>
      </c>
      <c r="I34" s="23">
        <v>0</v>
      </c>
      <c r="J34" s="88">
        <f>'30'!N28</f>
        <v>4994</v>
      </c>
      <c r="K34" s="23">
        <v>0</v>
      </c>
      <c r="L34" s="89">
        <f t="shared" si="0"/>
        <v>822512</v>
      </c>
    </row>
    <row r="35" spans="1:12" ht="20.100000000000001" customHeight="1">
      <c r="A35" s="90">
        <v>21010001</v>
      </c>
      <c r="B35" s="23" t="s">
        <v>627</v>
      </c>
      <c r="C35" s="88">
        <f>'31'!N9</f>
        <v>248829</v>
      </c>
      <c r="D35" s="88">
        <f>'31'!N10+'31'!N11</f>
        <v>73169</v>
      </c>
      <c r="E35" s="88">
        <f>'31'!N13</f>
        <v>26127</v>
      </c>
      <c r="F35" s="88">
        <f>'31'!N16</f>
        <v>53301</v>
      </c>
      <c r="G35" s="88">
        <f>'31'!N28</f>
        <v>1849947</v>
      </c>
      <c r="H35" s="23">
        <v>0</v>
      </c>
      <c r="I35" s="23">
        <v>0</v>
      </c>
      <c r="J35" s="88">
        <f>'31'!N31</f>
        <v>6185</v>
      </c>
      <c r="K35" s="23">
        <v>0</v>
      </c>
      <c r="L35" s="89">
        <f t="shared" si="0"/>
        <v>2257558</v>
      </c>
    </row>
    <row r="36" spans="1:12" ht="20.100000000000001" customHeight="1">
      <c r="A36" s="90">
        <v>22010001</v>
      </c>
      <c r="B36" s="23" t="s">
        <v>640</v>
      </c>
      <c r="C36" s="88">
        <f>'32'!N9</f>
        <v>88794</v>
      </c>
      <c r="D36" s="88">
        <f>'32'!N10+'32'!N11</f>
        <v>18230</v>
      </c>
      <c r="E36" s="88">
        <f>'32'!N13</f>
        <v>8808</v>
      </c>
      <c r="F36" s="88">
        <f>'32'!N16</f>
        <v>23750</v>
      </c>
      <c r="G36" s="23">
        <v>0</v>
      </c>
      <c r="H36" s="23">
        <v>0</v>
      </c>
      <c r="I36" s="23">
        <v>0</v>
      </c>
      <c r="J36" s="88">
        <f>'32'!N28</f>
        <v>0</v>
      </c>
      <c r="K36" s="23">
        <v>0</v>
      </c>
      <c r="L36" s="89">
        <f t="shared" si="0"/>
        <v>139582</v>
      </c>
    </row>
    <row r="37" spans="1:12" ht="20.100000000000001" customHeight="1">
      <c r="A37" s="90">
        <v>23010001</v>
      </c>
      <c r="B37" s="23" t="s">
        <v>639</v>
      </c>
      <c r="C37" s="88">
        <f>'33'!N9</f>
        <v>395298</v>
      </c>
      <c r="D37" s="88">
        <f>'33'!N10+'33'!N11</f>
        <v>113607</v>
      </c>
      <c r="E37" s="88">
        <f>'33'!N13</f>
        <v>45728</v>
      </c>
      <c r="F37" s="88">
        <f>'33'!N16</f>
        <v>108569</v>
      </c>
      <c r="G37" s="88">
        <f>'33'!N28</f>
        <v>69192</v>
      </c>
      <c r="H37" s="23">
        <v>0</v>
      </c>
      <c r="I37" s="23">
        <v>0</v>
      </c>
      <c r="J37" s="88">
        <f>'33'!N32</f>
        <v>77528</v>
      </c>
      <c r="K37" s="23">
        <v>0</v>
      </c>
      <c r="L37" s="89">
        <f t="shared" si="0"/>
        <v>809922</v>
      </c>
    </row>
    <row r="38" spans="1:12" ht="20.100000000000001" customHeight="1">
      <c r="A38" s="90">
        <v>24010001</v>
      </c>
      <c r="B38" s="23" t="s">
        <v>189</v>
      </c>
      <c r="C38" s="88">
        <f>'34'!N9</f>
        <v>548196</v>
      </c>
      <c r="D38" s="88">
        <f>'34'!N10+'34'!N11</f>
        <v>88150</v>
      </c>
      <c r="E38" s="88">
        <f>'34'!N13</f>
        <v>57561</v>
      </c>
      <c r="F38" s="88">
        <f>'34'!N16</f>
        <v>115080</v>
      </c>
      <c r="G38" s="23">
        <v>0</v>
      </c>
      <c r="H38" s="23">
        <v>0</v>
      </c>
      <c r="I38" s="23">
        <v>0</v>
      </c>
      <c r="J38" s="88">
        <f>'34'!N28</f>
        <v>11841</v>
      </c>
      <c r="K38" s="23">
        <v>0</v>
      </c>
      <c r="L38" s="89">
        <f t="shared" si="0"/>
        <v>820828</v>
      </c>
    </row>
    <row r="39" spans="1:12" ht="20.100000000000001" customHeight="1">
      <c r="A39" s="90">
        <v>26010001</v>
      </c>
      <c r="B39" s="23" t="s">
        <v>190</v>
      </c>
      <c r="C39" s="88">
        <f>'35'!N9</f>
        <v>69176</v>
      </c>
      <c r="D39" s="88">
        <f>'35'!N10+'35'!N11</f>
        <v>14053</v>
      </c>
      <c r="E39" s="88">
        <f>'35'!N13</f>
        <v>7264</v>
      </c>
      <c r="F39" s="88">
        <f>'35'!N16</f>
        <v>11030</v>
      </c>
      <c r="G39" s="88">
        <v>0</v>
      </c>
      <c r="H39" s="23">
        <v>0</v>
      </c>
      <c r="I39" s="23">
        <v>0</v>
      </c>
      <c r="J39" s="88">
        <f>'35'!N28</f>
        <v>2677</v>
      </c>
      <c r="K39" s="23">
        <v>0</v>
      </c>
      <c r="L39" s="89">
        <f t="shared" si="0"/>
        <v>104200</v>
      </c>
    </row>
    <row r="40" spans="1:12" ht="20.100000000000001" customHeight="1">
      <c r="A40" s="90">
        <v>27010001</v>
      </c>
      <c r="B40" s="23" t="s">
        <v>646</v>
      </c>
      <c r="C40" s="88">
        <f>'36'!N9</f>
        <v>310891</v>
      </c>
      <c r="D40" s="88">
        <f>'36'!N10+'36'!N11</f>
        <v>67200</v>
      </c>
      <c r="E40" s="88">
        <f>'36'!N13</f>
        <v>32691</v>
      </c>
      <c r="F40" s="88">
        <f>'36'!N16</f>
        <v>67046</v>
      </c>
      <c r="G40" s="23">
        <v>0</v>
      </c>
      <c r="H40" s="23">
        <v>0</v>
      </c>
      <c r="I40" s="23">
        <v>0</v>
      </c>
      <c r="J40" s="88">
        <f>'36'!N28</f>
        <v>10873</v>
      </c>
      <c r="K40" s="23">
        <v>0</v>
      </c>
      <c r="L40" s="89">
        <f t="shared" si="0"/>
        <v>488701</v>
      </c>
    </row>
    <row r="41" spans="1:12" ht="20.100000000000001" customHeight="1">
      <c r="A41" s="90">
        <v>28010001</v>
      </c>
      <c r="B41" s="23" t="s">
        <v>191</v>
      </c>
      <c r="C41" s="88">
        <f>'37'!N9</f>
        <v>416713</v>
      </c>
      <c r="D41" s="88">
        <f>'37'!N10+'37'!N11</f>
        <v>78540</v>
      </c>
      <c r="E41" s="88">
        <f>'37'!N13</f>
        <v>44063</v>
      </c>
      <c r="F41" s="88">
        <f>'37'!N16</f>
        <v>25203</v>
      </c>
      <c r="G41" s="88">
        <v>0</v>
      </c>
      <c r="H41" s="23">
        <v>0</v>
      </c>
      <c r="I41" s="23">
        <v>0</v>
      </c>
      <c r="J41" s="88">
        <f>'37'!N28</f>
        <v>34989</v>
      </c>
      <c r="K41" s="23">
        <v>0</v>
      </c>
      <c r="L41" s="89">
        <f t="shared" si="0"/>
        <v>599508</v>
      </c>
    </row>
    <row r="42" spans="1:12" s="41" customFormat="1" ht="20.100000000000001" customHeight="1">
      <c r="A42" s="62"/>
      <c r="B42" s="94" t="s">
        <v>324</v>
      </c>
      <c r="C42" s="95">
        <f>SUM(C5:C41)</f>
        <v>21877256</v>
      </c>
      <c r="D42" s="95">
        <f t="shared" ref="D42:K42" si="3">SUM(D5:D41)</f>
        <v>4923646</v>
      </c>
      <c r="E42" s="95">
        <f t="shared" si="3"/>
        <v>2676798</v>
      </c>
      <c r="F42" s="95">
        <f t="shared" si="3"/>
        <v>5045290</v>
      </c>
      <c r="G42" s="95">
        <f t="shared" si="3"/>
        <v>15916755</v>
      </c>
      <c r="H42" s="95">
        <f t="shared" si="3"/>
        <v>1801990</v>
      </c>
      <c r="I42" s="95">
        <f t="shared" si="3"/>
        <v>28910</v>
      </c>
      <c r="J42" s="95">
        <f t="shared" si="3"/>
        <v>3327391</v>
      </c>
      <c r="K42" s="95">
        <f t="shared" si="3"/>
        <v>515908</v>
      </c>
      <c r="L42" s="95">
        <f>SUM(L5:L41)</f>
        <v>56113944</v>
      </c>
    </row>
    <row r="43" spans="1:12" ht="20.100000000000001" customHeight="1">
      <c r="B43" t="s">
        <v>325</v>
      </c>
      <c r="L43" s="73">
        <f>Rashodi!K9</f>
        <v>1087862</v>
      </c>
    </row>
    <row r="44" spans="1:12" ht="20.100000000000001" customHeight="1">
      <c r="B44" t="s">
        <v>345</v>
      </c>
      <c r="L44" s="73">
        <f>Uvod!G40</f>
        <v>713076</v>
      </c>
    </row>
    <row r="45" spans="1:12" ht="20.100000000000001" customHeight="1">
      <c r="A45" s="91"/>
      <c r="B45" s="93" t="s">
        <v>324</v>
      </c>
      <c r="C45" s="92"/>
      <c r="D45" s="92"/>
      <c r="E45" s="92"/>
      <c r="F45" s="92"/>
      <c r="G45" s="92"/>
      <c r="H45" s="92"/>
      <c r="I45" s="92"/>
      <c r="J45" s="92"/>
      <c r="K45" s="92"/>
      <c r="L45" s="98">
        <f>L42+L43+L44</f>
        <v>57914882</v>
      </c>
    </row>
  </sheetData>
  <mergeCells count="1">
    <mergeCell ref="A2:L2"/>
  </mergeCells>
  <phoneticPr fontId="0" type="noConversion"/>
  <pageMargins left="0.9055118110236221" right="0.31496062992125984" top="0.35433070866141736" bottom="0.51181102362204722" header="0.39370078740157483" footer="0.31496062992125984"/>
  <pageSetup paperSize="9" scale="67" orientation="landscape" r:id="rId1"/>
  <headerFooter alignWithMargins="0">
    <oddFooter>&amp;R&amp;P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>
  <dimension ref="A2:J119"/>
  <sheetViews>
    <sheetView topLeftCell="A37" zoomScaleNormal="100" zoomScaleSheetLayoutView="100" workbookViewId="0">
      <selection activeCell="O19" sqref="O19"/>
    </sheetView>
  </sheetViews>
  <sheetFormatPr defaultRowHeight="12.75"/>
  <cols>
    <col min="1" max="1" width="6.140625" style="269" customWidth="1"/>
    <col min="2" max="2" width="6.85546875" customWidth="1"/>
    <col min="3" max="3" width="11.5703125" customWidth="1"/>
    <col min="4" max="4" width="72.7109375" customWidth="1"/>
    <col min="5" max="5" width="20.140625" customWidth="1"/>
    <col min="6" max="6" width="17.7109375" customWidth="1"/>
    <col min="7" max="7" width="8.85546875" customWidth="1"/>
    <col min="9" max="10" width="10.140625" bestFit="1" customWidth="1"/>
  </cols>
  <sheetData>
    <row r="2" spans="2:10" ht="15">
      <c r="B2" s="1076" t="s">
        <v>834</v>
      </c>
      <c r="C2" s="975"/>
      <c r="D2" s="975"/>
      <c r="E2" s="975"/>
      <c r="F2" s="975"/>
      <c r="G2" s="975"/>
    </row>
    <row r="3" spans="2:10" ht="15">
      <c r="B3" s="101"/>
      <c r="C3" s="103"/>
      <c r="D3" s="102"/>
      <c r="E3" s="102"/>
      <c r="F3" s="102"/>
    </row>
    <row r="4" spans="2:10">
      <c r="B4" s="104"/>
      <c r="C4" s="104"/>
      <c r="D4" s="105"/>
      <c r="E4" s="106"/>
      <c r="F4" s="106"/>
    </row>
    <row r="5" spans="2:10" ht="66" customHeight="1">
      <c r="B5" s="107" t="s">
        <v>193</v>
      </c>
      <c r="C5" s="108" t="s">
        <v>347</v>
      </c>
      <c r="D5" s="108" t="s">
        <v>348</v>
      </c>
      <c r="E5" s="107" t="s">
        <v>908</v>
      </c>
      <c r="F5" s="109" t="s">
        <v>902</v>
      </c>
      <c r="G5" s="109" t="s">
        <v>819</v>
      </c>
    </row>
    <row r="6" spans="2:10">
      <c r="B6" s="110"/>
      <c r="C6" s="111">
        <v>1</v>
      </c>
      <c r="D6" s="111">
        <v>2</v>
      </c>
      <c r="E6" s="112">
        <v>3</v>
      </c>
      <c r="F6" s="112">
        <v>4</v>
      </c>
      <c r="G6" s="146" t="s">
        <v>820</v>
      </c>
    </row>
    <row r="7" spans="2:10">
      <c r="B7" s="336">
        <v>1</v>
      </c>
      <c r="C7" s="337"/>
      <c r="D7" s="337" t="s">
        <v>54</v>
      </c>
      <c r="E7" s="338">
        <f>E8+E17+E23+E30+E40+E47+E54+E61+E68+E77</f>
        <v>57611610</v>
      </c>
      <c r="F7" s="338">
        <f>F8+F17+F23+F30+F40+F47+F54+F61+F68+F77</f>
        <v>56103944</v>
      </c>
      <c r="G7" s="339">
        <f>IF(E7=0,"",F7/E7*100)</f>
        <v>97.38305178418031</v>
      </c>
      <c r="I7" s="57"/>
      <c r="J7" s="57"/>
    </row>
    <row r="8" spans="2:10">
      <c r="B8" s="336">
        <v>2</v>
      </c>
      <c r="C8" s="340" t="s">
        <v>79</v>
      </c>
      <c r="D8" s="341" t="s">
        <v>57</v>
      </c>
      <c r="E8" s="338">
        <f>SUM(E9:E16)</f>
        <v>7353870</v>
      </c>
      <c r="F8" s="338">
        <f>SUM(F9:F16)</f>
        <v>7074851</v>
      </c>
      <c r="G8" s="342">
        <f>IF(E8=0,"",F8/E8*100)</f>
        <v>96.205820880706355</v>
      </c>
      <c r="I8" s="57"/>
    </row>
    <row r="9" spans="2:10" ht="14.1" customHeight="1">
      <c r="B9" s="110">
        <v>3</v>
      </c>
      <c r="C9" s="113" t="s">
        <v>349</v>
      </c>
      <c r="D9" s="114" t="s">
        <v>58</v>
      </c>
      <c r="E9" s="87">
        <f>'1'!J34+'2'!J52-'2'!J8+'3'!J33+'4'!J33+'5'!J33+'6'!J36+'16'!J50-'16'!J8</f>
        <v>6387910</v>
      </c>
      <c r="F9" s="87">
        <f>'1'!N34+'2'!N52-'2'!N8+'4 (S)'!N36+'3'!N33+'4'!N33+'5'!N33+'6'!N36+'16'!N50-'16'!N8</f>
        <v>6162986</v>
      </c>
      <c r="G9" s="115">
        <f>IF(E9=0,"",F9/E9*100)</f>
        <v>96.478910942702697</v>
      </c>
      <c r="J9" s="57"/>
    </row>
    <row r="10" spans="2:10" ht="14.1" customHeight="1">
      <c r="B10" s="110">
        <v>4</v>
      </c>
      <c r="C10" s="113" t="s">
        <v>350</v>
      </c>
      <c r="D10" s="114" t="s">
        <v>351</v>
      </c>
      <c r="E10" s="87">
        <v>0</v>
      </c>
      <c r="F10" s="87">
        <v>0</v>
      </c>
      <c r="G10" s="115" t="str">
        <f t="shared" ref="G10:G73" si="0">IF(E10=0,"",F10/E10*100)</f>
        <v/>
      </c>
      <c r="I10" s="57"/>
    </row>
    <row r="11" spans="2:10" ht="14.1" customHeight="1">
      <c r="B11" s="110">
        <v>5</v>
      </c>
      <c r="C11" s="113" t="s">
        <v>352</v>
      </c>
      <c r="D11" s="114" t="s">
        <v>353</v>
      </c>
      <c r="E11" s="87">
        <f>'7'!J33+'14'!J33</f>
        <v>965960</v>
      </c>
      <c r="F11" s="87">
        <f>'7'!N33+'14'!N33</f>
        <v>911865</v>
      </c>
      <c r="G11" s="115">
        <f t="shared" si="0"/>
        <v>94.399871630295252</v>
      </c>
    </row>
    <row r="12" spans="2:10" ht="14.1" customHeight="1">
      <c r="B12" s="110">
        <v>6</v>
      </c>
      <c r="C12" s="113" t="s">
        <v>354</v>
      </c>
      <c r="D12" s="114" t="s">
        <v>355</v>
      </c>
      <c r="E12" s="87">
        <v>0</v>
      </c>
      <c r="F12" s="87">
        <v>0</v>
      </c>
      <c r="G12" s="115" t="str">
        <f t="shared" si="0"/>
        <v/>
      </c>
    </row>
    <row r="13" spans="2:10" ht="14.1" customHeight="1">
      <c r="B13" s="110">
        <v>7</v>
      </c>
      <c r="C13" s="113" t="s">
        <v>356</v>
      </c>
      <c r="D13" s="114" t="s">
        <v>357</v>
      </c>
      <c r="E13" s="87">
        <v>0</v>
      </c>
      <c r="F13" s="87">
        <v>0</v>
      </c>
      <c r="G13" s="115" t="str">
        <f t="shared" si="0"/>
        <v/>
      </c>
    </row>
    <row r="14" spans="2:10" ht="14.1" customHeight="1">
      <c r="B14" s="110">
        <v>8</v>
      </c>
      <c r="C14" s="113" t="s">
        <v>358</v>
      </c>
      <c r="D14" s="114" t="s">
        <v>359</v>
      </c>
      <c r="E14" s="87">
        <v>0</v>
      </c>
      <c r="F14" s="87">
        <v>0</v>
      </c>
      <c r="G14" s="115" t="str">
        <f t="shared" si="0"/>
        <v/>
      </c>
    </row>
    <row r="15" spans="2:10" ht="14.1" customHeight="1">
      <c r="B15" s="110">
        <v>9</v>
      </c>
      <c r="C15" s="113" t="s">
        <v>360</v>
      </c>
      <c r="D15" s="114" t="s">
        <v>361</v>
      </c>
      <c r="E15" s="87">
        <v>0</v>
      </c>
      <c r="F15" s="87">
        <v>0</v>
      </c>
      <c r="G15" s="115" t="str">
        <f t="shared" si="0"/>
        <v/>
      </c>
    </row>
    <row r="16" spans="2:10" ht="14.1" customHeight="1">
      <c r="B16" s="110">
        <v>10</v>
      </c>
      <c r="C16" s="113" t="s">
        <v>362</v>
      </c>
      <c r="D16" s="114" t="s">
        <v>59</v>
      </c>
      <c r="E16" s="87">
        <v>0</v>
      </c>
      <c r="F16" s="87">
        <v>0</v>
      </c>
      <c r="G16" s="115" t="str">
        <f t="shared" si="0"/>
        <v/>
      </c>
    </row>
    <row r="17" spans="2:7" ht="14.1" customHeight="1">
      <c r="B17" s="336">
        <v>11</v>
      </c>
      <c r="C17" s="340" t="s">
        <v>119</v>
      </c>
      <c r="D17" s="341" t="s">
        <v>60</v>
      </c>
      <c r="E17" s="338">
        <f>SUM(E18:E22)</f>
        <v>0</v>
      </c>
      <c r="F17" s="338">
        <f>SUM(F18:F22)</f>
        <v>0</v>
      </c>
      <c r="G17" s="342" t="str">
        <f t="shared" si="0"/>
        <v/>
      </c>
    </row>
    <row r="18" spans="2:7" ht="14.1" customHeight="1">
      <c r="B18" s="110">
        <v>12</v>
      </c>
      <c r="C18" s="113" t="s">
        <v>363</v>
      </c>
      <c r="D18" s="114" t="s">
        <v>61</v>
      </c>
      <c r="E18" s="87">
        <v>0</v>
      </c>
      <c r="F18" s="87">
        <v>0</v>
      </c>
      <c r="G18" s="115" t="str">
        <f t="shared" si="0"/>
        <v/>
      </c>
    </row>
    <row r="19" spans="2:7" ht="14.1" customHeight="1">
      <c r="B19" s="110">
        <v>13</v>
      </c>
      <c r="C19" s="113" t="s">
        <v>364</v>
      </c>
      <c r="D19" s="114" t="s">
        <v>62</v>
      </c>
      <c r="E19" s="87">
        <v>0</v>
      </c>
      <c r="F19" s="87">
        <v>0</v>
      </c>
      <c r="G19" s="115" t="str">
        <f t="shared" si="0"/>
        <v/>
      </c>
    </row>
    <row r="20" spans="2:7" ht="14.1" customHeight="1">
      <c r="B20" s="110">
        <v>14</v>
      </c>
      <c r="C20" s="113" t="s">
        <v>365</v>
      </c>
      <c r="D20" s="114" t="s">
        <v>63</v>
      </c>
      <c r="E20" s="87">
        <v>0</v>
      </c>
      <c r="F20" s="87">
        <v>0</v>
      </c>
      <c r="G20" s="115" t="str">
        <f t="shared" si="0"/>
        <v/>
      </c>
    </row>
    <row r="21" spans="2:7" ht="14.1" customHeight="1">
      <c r="B21" s="110">
        <v>15</v>
      </c>
      <c r="C21" s="113" t="s">
        <v>366</v>
      </c>
      <c r="D21" s="114" t="s">
        <v>64</v>
      </c>
      <c r="E21" s="87">
        <v>0</v>
      </c>
      <c r="F21" s="87">
        <v>0</v>
      </c>
      <c r="G21" s="115" t="str">
        <f t="shared" si="0"/>
        <v/>
      </c>
    </row>
    <row r="22" spans="2:7" ht="14.1" customHeight="1">
      <c r="B22" s="110">
        <v>16</v>
      </c>
      <c r="C22" s="113" t="s">
        <v>367</v>
      </c>
      <c r="D22" s="114" t="s">
        <v>65</v>
      </c>
      <c r="E22" s="87">
        <v>0</v>
      </c>
      <c r="F22" s="87">
        <v>0</v>
      </c>
      <c r="G22" s="115" t="str">
        <f t="shared" si="0"/>
        <v/>
      </c>
    </row>
    <row r="23" spans="2:7" ht="14.1" customHeight="1">
      <c r="B23" s="336">
        <v>17</v>
      </c>
      <c r="C23" s="340" t="s">
        <v>127</v>
      </c>
      <c r="D23" s="341" t="s">
        <v>470</v>
      </c>
      <c r="E23" s="338">
        <f>SUM(E24:E29)</f>
        <v>13596430</v>
      </c>
      <c r="F23" s="338">
        <f>SUM(F24:F29)</f>
        <v>13206465</v>
      </c>
      <c r="G23" s="342">
        <f t="shared" si="0"/>
        <v>97.131857406686905</v>
      </c>
    </row>
    <row r="24" spans="2:7" ht="14.1" customHeight="1">
      <c r="B24" s="110">
        <v>18</v>
      </c>
      <c r="C24" s="113" t="s">
        <v>368</v>
      </c>
      <c r="D24" s="114" t="s">
        <v>369</v>
      </c>
      <c r="E24" s="87">
        <f>'8'!J34</f>
        <v>8811850</v>
      </c>
      <c r="F24" s="87">
        <f>'8'!N34</f>
        <v>8705734</v>
      </c>
      <c r="G24" s="115">
        <f t="shared" si="0"/>
        <v>98.795757984986125</v>
      </c>
    </row>
    <row r="25" spans="2:7" ht="14.1" customHeight="1">
      <c r="B25" s="110">
        <v>19</v>
      </c>
      <c r="C25" s="113" t="s">
        <v>370</v>
      </c>
      <c r="D25" s="114" t="s">
        <v>471</v>
      </c>
      <c r="E25" s="87">
        <f>'33'!J38</f>
        <v>959510</v>
      </c>
      <c r="F25" s="87">
        <f>'33'!N38</f>
        <v>809922</v>
      </c>
      <c r="G25" s="115">
        <f t="shared" si="0"/>
        <v>84.409959250033879</v>
      </c>
    </row>
    <row r="26" spans="2:7" ht="14.1" customHeight="1">
      <c r="B26" s="110">
        <v>20</v>
      </c>
      <c r="C26" s="113" t="s">
        <v>371</v>
      </c>
      <c r="D26" s="114" t="s">
        <v>372</v>
      </c>
      <c r="E26" s="87">
        <f>'10'!J34+'11'!J33+'12'!J33+'13'!J33+'34'!J33+'35'!J33+'36'!J33</f>
        <v>3477510</v>
      </c>
      <c r="F26" s="87">
        <f>'10'!N34+'11'!N33+'12'!N33+'13'!N33+'34'!N33+'35'!N33+'36'!N33</f>
        <v>3345011</v>
      </c>
      <c r="G26" s="115">
        <f t="shared" si="0"/>
        <v>96.189831229816733</v>
      </c>
    </row>
    <row r="27" spans="2:7" ht="14.1" customHeight="1">
      <c r="B27" s="110">
        <v>21</v>
      </c>
      <c r="C27" s="113" t="s">
        <v>373</v>
      </c>
      <c r="D27" s="114" t="s">
        <v>374</v>
      </c>
      <c r="E27" s="87">
        <v>0</v>
      </c>
      <c r="F27" s="87">
        <v>0</v>
      </c>
      <c r="G27" s="115" t="str">
        <f t="shared" si="0"/>
        <v/>
      </c>
    </row>
    <row r="28" spans="2:7" ht="14.1" customHeight="1">
      <c r="B28" s="110">
        <v>22</v>
      </c>
      <c r="C28" s="113" t="s">
        <v>375</v>
      </c>
      <c r="D28" s="114" t="s">
        <v>376</v>
      </c>
      <c r="E28" s="87">
        <v>0</v>
      </c>
      <c r="F28" s="87">
        <v>0</v>
      </c>
      <c r="G28" s="115" t="str">
        <f t="shared" si="0"/>
        <v/>
      </c>
    </row>
    <row r="29" spans="2:7" ht="14.1" customHeight="1">
      <c r="B29" s="110">
        <v>23</v>
      </c>
      <c r="C29" s="113" t="s">
        <v>377</v>
      </c>
      <c r="D29" s="114" t="s">
        <v>378</v>
      </c>
      <c r="E29" s="87">
        <f>'9'!J35</f>
        <v>347560</v>
      </c>
      <c r="F29" s="87">
        <f>'9'!N35</f>
        <v>345798</v>
      </c>
      <c r="G29" s="115">
        <f t="shared" si="0"/>
        <v>99.493037173437685</v>
      </c>
    </row>
    <row r="30" spans="2:7" ht="14.1" customHeight="1">
      <c r="B30" s="336">
        <v>24</v>
      </c>
      <c r="C30" s="340" t="s">
        <v>379</v>
      </c>
      <c r="D30" s="341" t="s">
        <v>380</v>
      </c>
      <c r="E30" s="338">
        <f>SUM(E31:E39)</f>
        <v>10817540</v>
      </c>
      <c r="F30" s="338">
        <f>SUM(F31:F39)</f>
        <v>10387734</v>
      </c>
      <c r="G30" s="342">
        <f t="shared" si="0"/>
        <v>96.02676763848342</v>
      </c>
    </row>
    <row r="31" spans="2:7" ht="14.1" customHeight="1">
      <c r="B31" s="110">
        <v>25</v>
      </c>
      <c r="C31" s="113" t="s">
        <v>381</v>
      </c>
      <c r="D31" s="114" t="s">
        <v>382</v>
      </c>
      <c r="E31" s="87">
        <v>0</v>
      </c>
      <c r="F31" s="87">
        <v>0</v>
      </c>
      <c r="G31" s="115" t="str">
        <f t="shared" si="0"/>
        <v/>
      </c>
    </row>
    <row r="32" spans="2:7" ht="14.1" customHeight="1">
      <c r="B32" s="110">
        <v>26</v>
      </c>
      <c r="C32" s="113" t="s">
        <v>383</v>
      </c>
      <c r="D32" s="114" t="s">
        <v>384</v>
      </c>
      <c r="E32" s="87">
        <f>'19'!J43</f>
        <v>4554780</v>
      </c>
      <c r="F32" s="87">
        <f>'19'!N43</f>
        <v>4214598</v>
      </c>
      <c r="G32" s="115">
        <f t="shared" si="0"/>
        <v>92.53131874645976</v>
      </c>
    </row>
    <row r="33" spans="2:7" ht="14.1" customHeight="1">
      <c r="B33" s="110">
        <v>27</v>
      </c>
      <c r="C33" s="113" t="s">
        <v>385</v>
      </c>
      <c r="D33" s="114" t="s">
        <v>386</v>
      </c>
      <c r="E33" s="87">
        <v>0</v>
      </c>
      <c r="F33" s="87">
        <v>0</v>
      </c>
      <c r="G33" s="115" t="str">
        <f t="shared" si="0"/>
        <v/>
      </c>
    </row>
    <row r="34" spans="2:7" ht="14.1" customHeight="1">
      <c r="B34" s="110">
        <v>28</v>
      </c>
      <c r="C34" s="113" t="s">
        <v>387</v>
      </c>
      <c r="D34" s="114" t="s">
        <v>388</v>
      </c>
      <c r="E34" s="87">
        <v>0</v>
      </c>
      <c r="F34" s="87">
        <v>0</v>
      </c>
      <c r="G34" s="115" t="str">
        <f t="shared" si="0"/>
        <v/>
      </c>
    </row>
    <row r="35" spans="2:7" ht="14.1" customHeight="1">
      <c r="B35" s="110">
        <v>29</v>
      </c>
      <c r="C35" s="113" t="s">
        <v>389</v>
      </c>
      <c r="D35" s="114" t="s">
        <v>66</v>
      </c>
      <c r="E35" s="87">
        <v>0</v>
      </c>
      <c r="F35" s="87">
        <v>0</v>
      </c>
      <c r="G35" s="115" t="str">
        <f t="shared" si="0"/>
        <v/>
      </c>
    </row>
    <row r="36" spans="2:7" ht="14.1" customHeight="1">
      <c r="B36" s="110">
        <v>30</v>
      </c>
      <c r="C36" s="113" t="s">
        <v>390</v>
      </c>
      <c r="D36" s="114" t="s">
        <v>391</v>
      </c>
      <c r="E36" s="87">
        <v>0</v>
      </c>
      <c r="F36" s="87">
        <v>0</v>
      </c>
      <c r="G36" s="115" t="str">
        <f t="shared" si="0"/>
        <v/>
      </c>
    </row>
    <row r="37" spans="2:7" ht="14.1" customHeight="1">
      <c r="B37" s="110">
        <v>31</v>
      </c>
      <c r="C37" s="113" t="s">
        <v>392</v>
      </c>
      <c r="D37" s="114" t="s">
        <v>393</v>
      </c>
      <c r="E37" s="87">
        <v>0</v>
      </c>
      <c r="F37" s="87">
        <v>0</v>
      </c>
      <c r="G37" s="115" t="str">
        <f t="shared" si="0"/>
        <v/>
      </c>
    </row>
    <row r="38" spans="2:7" ht="14.1" customHeight="1">
      <c r="B38" s="110">
        <v>32</v>
      </c>
      <c r="C38" s="113" t="s">
        <v>394</v>
      </c>
      <c r="D38" s="114" t="s">
        <v>395</v>
      </c>
      <c r="E38" s="87">
        <v>0</v>
      </c>
      <c r="F38" s="87">
        <v>0</v>
      </c>
      <c r="G38" s="115" t="str">
        <f t="shared" si="0"/>
        <v/>
      </c>
    </row>
    <row r="39" spans="2:7" ht="14.1" customHeight="1">
      <c r="B39" s="110">
        <v>33</v>
      </c>
      <c r="C39" s="113" t="s">
        <v>396</v>
      </c>
      <c r="D39" s="114" t="s">
        <v>397</v>
      </c>
      <c r="E39" s="87">
        <f>'15'!J42+'18'!J39+'32'!J33+'37'!J33</f>
        <v>6262760</v>
      </c>
      <c r="F39" s="87">
        <f>'15'!N42+'18'!N39+'32'!N33+'37'!N33</f>
        <v>6173136</v>
      </c>
      <c r="G39" s="115">
        <f t="shared" si="0"/>
        <v>98.568937656879712</v>
      </c>
    </row>
    <row r="40" spans="2:7" ht="14.1" customHeight="1">
      <c r="B40" s="336">
        <v>34</v>
      </c>
      <c r="C40" s="340" t="s">
        <v>120</v>
      </c>
      <c r="D40" s="341" t="s">
        <v>398</v>
      </c>
      <c r="E40" s="338">
        <f>SUM(E41:E46)</f>
        <v>0</v>
      </c>
      <c r="F40" s="338">
        <f>SUM(F41:F46)</f>
        <v>0</v>
      </c>
      <c r="G40" s="342" t="str">
        <f t="shared" si="0"/>
        <v/>
      </c>
    </row>
    <row r="41" spans="2:7" ht="14.1" customHeight="1">
      <c r="B41" s="110">
        <v>35</v>
      </c>
      <c r="C41" s="113" t="s">
        <v>399</v>
      </c>
      <c r="D41" s="114" t="s">
        <v>400</v>
      </c>
      <c r="E41" s="87">
        <v>0</v>
      </c>
      <c r="F41" s="87">
        <v>0</v>
      </c>
      <c r="G41" s="115" t="str">
        <f t="shared" si="0"/>
        <v/>
      </c>
    </row>
    <row r="42" spans="2:7" ht="14.1" customHeight="1">
      <c r="B42" s="110">
        <v>36</v>
      </c>
      <c r="C42" s="113" t="s">
        <v>401</v>
      </c>
      <c r="D42" s="114" t="s">
        <v>402</v>
      </c>
      <c r="E42" s="87">
        <v>0</v>
      </c>
      <c r="F42" s="87">
        <v>0</v>
      </c>
      <c r="G42" s="115" t="str">
        <f t="shared" si="0"/>
        <v/>
      </c>
    </row>
    <row r="43" spans="2:7" ht="14.1" customHeight="1">
      <c r="B43" s="110">
        <v>37</v>
      </c>
      <c r="C43" s="113" t="s">
        <v>403</v>
      </c>
      <c r="D43" s="114" t="s">
        <v>404</v>
      </c>
      <c r="E43" s="87">
        <v>0</v>
      </c>
      <c r="F43" s="87">
        <v>0</v>
      </c>
      <c r="G43" s="115" t="str">
        <f t="shared" si="0"/>
        <v/>
      </c>
    </row>
    <row r="44" spans="2:7" ht="14.1" customHeight="1">
      <c r="B44" s="110">
        <v>38</v>
      </c>
      <c r="C44" s="113" t="s">
        <v>405</v>
      </c>
      <c r="D44" s="114" t="s">
        <v>67</v>
      </c>
      <c r="E44" s="87">
        <v>0</v>
      </c>
      <c r="F44" s="87">
        <v>0</v>
      </c>
      <c r="G44" s="115" t="str">
        <f t="shared" si="0"/>
        <v/>
      </c>
    </row>
    <row r="45" spans="2:7" ht="14.1" customHeight="1">
      <c r="B45" s="110">
        <v>39</v>
      </c>
      <c r="C45" s="113" t="s">
        <v>406</v>
      </c>
      <c r="D45" s="114" t="s">
        <v>55</v>
      </c>
      <c r="E45" s="87">
        <v>0</v>
      </c>
      <c r="F45" s="87">
        <v>0</v>
      </c>
      <c r="G45" s="115" t="str">
        <f t="shared" si="0"/>
        <v/>
      </c>
    </row>
    <row r="46" spans="2:7" ht="14.1" customHeight="1">
      <c r="B46" s="110">
        <v>40</v>
      </c>
      <c r="C46" s="113" t="s">
        <v>407</v>
      </c>
      <c r="D46" s="114" t="s">
        <v>408</v>
      </c>
      <c r="E46" s="87">
        <v>0</v>
      </c>
      <c r="F46" s="87">
        <v>0</v>
      </c>
      <c r="G46" s="115" t="str">
        <f t="shared" si="0"/>
        <v/>
      </c>
    </row>
    <row r="47" spans="2:7" ht="14.1" customHeight="1">
      <c r="B47" s="336">
        <v>41</v>
      </c>
      <c r="C47" s="340" t="s">
        <v>160</v>
      </c>
      <c r="D47" s="341" t="s">
        <v>409</v>
      </c>
      <c r="E47" s="338">
        <f>SUM(E48:E53)</f>
        <v>0</v>
      </c>
      <c r="F47" s="338">
        <f>SUM(F48:F53)</f>
        <v>0</v>
      </c>
      <c r="G47" s="342" t="str">
        <f t="shared" si="0"/>
        <v/>
      </c>
    </row>
    <row r="48" spans="2:7" ht="14.1" customHeight="1">
      <c r="B48" s="110">
        <v>42</v>
      </c>
      <c r="C48" s="113" t="s">
        <v>410</v>
      </c>
      <c r="D48" s="114" t="s">
        <v>411</v>
      </c>
      <c r="E48" s="87">
        <v>0</v>
      </c>
      <c r="F48" s="87">
        <v>0</v>
      </c>
      <c r="G48" s="115" t="str">
        <f t="shared" si="0"/>
        <v/>
      </c>
    </row>
    <row r="49" spans="2:7" ht="14.1" customHeight="1">
      <c r="B49" s="110">
        <v>43</v>
      </c>
      <c r="C49" s="113" t="s">
        <v>412</v>
      </c>
      <c r="D49" s="114" t="s">
        <v>413</v>
      </c>
      <c r="E49" s="87">
        <v>0</v>
      </c>
      <c r="F49" s="87">
        <v>0</v>
      </c>
      <c r="G49" s="115" t="str">
        <f t="shared" si="0"/>
        <v/>
      </c>
    </row>
    <row r="50" spans="2:7" ht="14.1" customHeight="1">
      <c r="B50" s="110">
        <v>44</v>
      </c>
      <c r="C50" s="113" t="s">
        <v>414</v>
      </c>
      <c r="D50" s="114" t="s">
        <v>68</v>
      </c>
      <c r="E50" s="87">
        <v>0</v>
      </c>
      <c r="F50" s="87">
        <v>0</v>
      </c>
      <c r="G50" s="115" t="str">
        <f t="shared" si="0"/>
        <v/>
      </c>
    </row>
    <row r="51" spans="2:7" ht="14.1" customHeight="1">
      <c r="B51" s="110">
        <v>45</v>
      </c>
      <c r="C51" s="113" t="s">
        <v>415</v>
      </c>
      <c r="D51" s="114" t="s">
        <v>416</v>
      </c>
      <c r="E51" s="87">
        <v>0</v>
      </c>
      <c r="F51" s="87">
        <v>0</v>
      </c>
      <c r="G51" s="115" t="str">
        <f t="shared" si="0"/>
        <v/>
      </c>
    </row>
    <row r="52" spans="2:7" ht="14.1" customHeight="1">
      <c r="B52" s="110">
        <v>46</v>
      </c>
      <c r="C52" s="113" t="s">
        <v>417</v>
      </c>
      <c r="D52" s="114" t="s">
        <v>418</v>
      </c>
      <c r="E52" s="87">
        <v>0</v>
      </c>
      <c r="F52" s="87">
        <v>0</v>
      </c>
      <c r="G52" s="115" t="str">
        <f t="shared" si="0"/>
        <v/>
      </c>
    </row>
    <row r="53" spans="2:7" ht="14.1" customHeight="1">
      <c r="B53" s="110">
        <v>47</v>
      </c>
      <c r="C53" s="113" t="s">
        <v>419</v>
      </c>
      <c r="D53" s="114" t="s">
        <v>420</v>
      </c>
      <c r="E53" s="87">
        <v>0</v>
      </c>
      <c r="F53" s="87">
        <v>0</v>
      </c>
      <c r="G53" s="115" t="str">
        <f t="shared" si="0"/>
        <v/>
      </c>
    </row>
    <row r="54" spans="2:7" ht="14.1" customHeight="1">
      <c r="B54" s="336">
        <v>48</v>
      </c>
      <c r="C54" s="340" t="s">
        <v>421</v>
      </c>
      <c r="D54" s="341" t="s">
        <v>422</v>
      </c>
      <c r="E54" s="338">
        <f>SUM(E55:E60)</f>
        <v>0</v>
      </c>
      <c r="F54" s="338">
        <f>SUM(F55:F60)</f>
        <v>0</v>
      </c>
      <c r="G54" s="342" t="str">
        <f t="shared" si="0"/>
        <v/>
      </c>
    </row>
    <row r="55" spans="2:7" ht="14.1" customHeight="1">
      <c r="B55" s="110">
        <v>49</v>
      </c>
      <c r="C55" s="113" t="s">
        <v>423</v>
      </c>
      <c r="D55" s="114" t="s">
        <v>424</v>
      </c>
      <c r="E55" s="87">
        <v>0</v>
      </c>
      <c r="F55" s="87">
        <v>0</v>
      </c>
      <c r="G55" s="115" t="str">
        <f t="shared" si="0"/>
        <v/>
      </c>
    </row>
    <row r="56" spans="2:7" ht="14.1" customHeight="1">
      <c r="B56" s="110">
        <v>50</v>
      </c>
      <c r="C56" s="113" t="s">
        <v>425</v>
      </c>
      <c r="D56" s="114" t="s">
        <v>69</v>
      </c>
      <c r="E56" s="87">
        <v>0</v>
      </c>
      <c r="F56" s="87">
        <v>0</v>
      </c>
      <c r="G56" s="115" t="str">
        <f t="shared" si="0"/>
        <v/>
      </c>
    </row>
    <row r="57" spans="2:7" ht="14.1" customHeight="1">
      <c r="B57" s="110">
        <v>51</v>
      </c>
      <c r="C57" s="113" t="s">
        <v>0</v>
      </c>
      <c r="D57" s="114" t="s">
        <v>1</v>
      </c>
      <c r="E57" s="87">
        <v>0</v>
      </c>
      <c r="F57" s="87">
        <v>0</v>
      </c>
      <c r="G57" s="115" t="str">
        <f t="shared" si="0"/>
        <v/>
      </c>
    </row>
    <row r="58" spans="2:7" ht="14.1" customHeight="1">
      <c r="B58" s="110">
        <v>52</v>
      </c>
      <c r="C58" s="113" t="s">
        <v>2</v>
      </c>
      <c r="D58" s="114" t="s">
        <v>3</v>
      </c>
      <c r="E58" s="87">
        <v>0</v>
      </c>
      <c r="F58" s="87">
        <v>0</v>
      </c>
      <c r="G58" s="115" t="str">
        <f t="shared" si="0"/>
        <v/>
      </c>
    </row>
    <row r="59" spans="2:7" ht="14.1" customHeight="1">
      <c r="B59" s="110">
        <v>53</v>
      </c>
      <c r="C59" s="113" t="s">
        <v>4</v>
      </c>
      <c r="D59" s="114" t="s">
        <v>5</v>
      </c>
      <c r="E59" s="87">
        <v>0</v>
      </c>
      <c r="F59" s="87">
        <v>0</v>
      </c>
      <c r="G59" s="115" t="str">
        <f t="shared" si="0"/>
        <v/>
      </c>
    </row>
    <row r="60" spans="2:7" ht="14.1" customHeight="1">
      <c r="B60" s="110">
        <v>54</v>
      </c>
      <c r="C60" s="113" t="s">
        <v>6</v>
      </c>
      <c r="D60" s="114" t="s">
        <v>7</v>
      </c>
      <c r="E60" s="87">
        <v>0</v>
      </c>
      <c r="F60" s="87">
        <v>0</v>
      </c>
      <c r="G60" s="115" t="str">
        <f t="shared" si="0"/>
        <v/>
      </c>
    </row>
    <row r="61" spans="2:7">
      <c r="B61" s="336">
        <v>55</v>
      </c>
      <c r="C61" s="340" t="s">
        <v>8</v>
      </c>
      <c r="D61" s="341" t="s">
        <v>9</v>
      </c>
      <c r="E61" s="338">
        <f>SUM(E62:E67)</f>
        <v>1270000</v>
      </c>
      <c r="F61" s="338">
        <f>SUM(F62:F67)</f>
        <v>1270000</v>
      </c>
      <c r="G61" s="342">
        <f t="shared" si="0"/>
        <v>100</v>
      </c>
    </row>
    <row r="62" spans="2:7">
      <c r="B62" s="110">
        <v>56</v>
      </c>
      <c r="C62" s="113" t="s">
        <v>10</v>
      </c>
      <c r="D62" s="114" t="s">
        <v>603</v>
      </c>
      <c r="E62" s="87">
        <f>'20'!J38</f>
        <v>350000</v>
      </c>
      <c r="F62" s="87">
        <f>'20'!N38</f>
        <v>350000</v>
      </c>
      <c r="G62" s="116">
        <f t="shared" si="0"/>
        <v>100</v>
      </c>
    </row>
    <row r="63" spans="2:7">
      <c r="B63" s="110">
        <v>57</v>
      </c>
      <c r="C63" s="113" t="s">
        <v>11</v>
      </c>
      <c r="D63" s="114" t="s">
        <v>12</v>
      </c>
      <c r="E63" s="87">
        <f>'20'!J39</f>
        <v>160000</v>
      </c>
      <c r="F63" s="87">
        <f>'20'!N39</f>
        <v>160000</v>
      </c>
      <c r="G63" s="116">
        <f t="shared" si="0"/>
        <v>100</v>
      </c>
    </row>
    <row r="64" spans="2:7">
      <c r="B64" s="110">
        <v>58</v>
      </c>
      <c r="C64" s="113" t="s">
        <v>13</v>
      </c>
      <c r="D64" s="114" t="s">
        <v>70</v>
      </c>
      <c r="E64" s="87">
        <f>'20'!J36</f>
        <v>370000</v>
      </c>
      <c r="F64" s="87">
        <f>'20'!N36</f>
        <v>370000</v>
      </c>
      <c r="G64" s="116">
        <f t="shared" si="0"/>
        <v>100</v>
      </c>
    </row>
    <row r="65" spans="2:7">
      <c r="B65" s="110">
        <v>59</v>
      </c>
      <c r="C65" s="113" t="s">
        <v>14</v>
      </c>
      <c r="D65" s="114" t="s">
        <v>56</v>
      </c>
      <c r="E65" s="87">
        <f>'20'!J37</f>
        <v>390000</v>
      </c>
      <c r="F65" s="87">
        <f>'20'!N37</f>
        <v>390000</v>
      </c>
      <c r="G65" s="116">
        <f t="shared" si="0"/>
        <v>100</v>
      </c>
    </row>
    <row r="66" spans="2:7">
      <c r="B66" s="110">
        <v>60</v>
      </c>
      <c r="C66" s="113" t="s">
        <v>15</v>
      </c>
      <c r="D66" s="114" t="s">
        <v>16</v>
      </c>
      <c r="E66" s="87">
        <v>0</v>
      </c>
      <c r="F66" s="87">
        <v>0</v>
      </c>
      <c r="G66" s="116" t="str">
        <f t="shared" si="0"/>
        <v/>
      </c>
    </row>
    <row r="67" spans="2:7">
      <c r="B67" s="110">
        <v>61</v>
      </c>
      <c r="C67" s="113" t="s">
        <v>17</v>
      </c>
      <c r="D67" s="114" t="s">
        <v>18</v>
      </c>
      <c r="E67" s="87">
        <v>0</v>
      </c>
      <c r="F67" s="87">
        <v>0</v>
      </c>
      <c r="G67" s="116" t="str">
        <f t="shared" si="0"/>
        <v/>
      </c>
    </row>
    <row r="68" spans="2:7">
      <c r="B68" s="336">
        <v>62</v>
      </c>
      <c r="C68" s="340" t="s">
        <v>19</v>
      </c>
      <c r="D68" s="341" t="s">
        <v>20</v>
      </c>
      <c r="E68" s="338">
        <f>SUM(E69:E76)</f>
        <v>16167700</v>
      </c>
      <c r="F68" s="338">
        <f>SUM(F69:F76)</f>
        <v>15777084</v>
      </c>
      <c r="G68" s="342">
        <f t="shared" si="0"/>
        <v>97.583972983170156</v>
      </c>
    </row>
    <row r="69" spans="2:7">
      <c r="B69" s="110">
        <v>63</v>
      </c>
      <c r="C69" s="113" t="s">
        <v>21</v>
      </c>
      <c r="D69" s="114" t="s">
        <v>22</v>
      </c>
      <c r="E69" s="87">
        <f>'24'!J33+'25'!J33+'26'!J33+'27'!J33+'28'!J33+'29'!J33+'30'!J33+'20'!J21+15000</f>
        <v>9792790</v>
      </c>
      <c r="F69" s="87">
        <f>'24'!N33+'25'!N33+'26'!N33+'27'!N33+'28'!N33+'29'!N33+'30'!N33+'20'!L21</f>
        <v>9634961</v>
      </c>
      <c r="G69" s="116">
        <f t="shared" si="0"/>
        <v>98.388314259776834</v>
      </c>
    </row>
    <row r="70" spans="2:7">
      <c r="B70" s="110">
        <v>64</v>
      </c>
      <c r="C70" s="113" t="s">
        <v>23</v>
      </c>
      <c r="D70" s="114" t="s">
        <v>24</v>
      </c>
      <c r="E70" s="87">
        <f>'21'!J33+'22'!J33+'23'!J33+5000</f>
        <v>4536770</v>
      </c>
      <c r="F70" s="87">
        <f>'21'!N33+'22'!N33+'23'!N33</f>
        <v>4362935</v>
      </c>
      <c r="G70" s="116">
        <f t="shared" si="0"/>
        <v>96.168309171503068</v>
      </c>
    </row>
    <row r="71" spans="2:7">
      <c r="B71" s="110">
        <v>65</v>
      </c>
      <c r="C71" s="113" t="s">
        <v>25</v>
      </c>
      <c r="D71" s="114" t="s">
        <v>26</v>
      </c>
      <c r="E71" s="87">
        <v>0</v>
      </c>
      <c r="F71" s="87">
        <v>0</v>
      </c>
      <c r="G71" s="116" t="str">
        <f t="shared" si="0"/>
        <v/>
      </c>
    </row>
    <row r="72" spans="2:7">
      <c r="B72" s="110">
        <v>66</v>
      </c>
      <c r="C72" s="113" t="s">
        <v>27</v>
      </c>
      <c r="D72" s="114" t="s">
        <v>28</v>
      </c>
      <c r="E72" s="87">
        <f>'20'!J32+'20'!J34</f>
        <v>317500</v>
      </c>
      <c r="F72" s="87">
        <f>'20'!N32+'20'!N34</f>
        <v>301827</v>
      </c>
      <c r="G72" s="116">
        <f t="shared" si="0"/>
        <v>95.063622047244095</v>
      </c>
    </row>
    <row r="73" spans="2:7">
      <c r="B73" s="110">
        <v>67</v>
      </c>
      <c r="C73" s="113" t="s">
        <v>29</v>
      </c>
      <c r="D73" s="114" t="s">
        <v>71</v>
      </c>
      <c r="E73" s="87">
        <v>0</v>
      </c>
      <c r="F73" s="87">
        <v>0</v>
      </c>
      <c r="G73" s="116" t="str">
        <f t="shared" si="0"/>
        <v/>
      </c>
    </row>
    <row r="74" spans="2:7">
      <c r="B74" s="110">
        <v>68</v>
      </c>
      <c r="C74" s="113" t="s">
        <v>30</v>
      </c>
      <c r="D74" s="114" t="s">
        <v>31</v>
      </c>
      <c r="E74" s="87">
        <v>0</v>
      </c>
      <c r="F74" s="87">
        <v>0</v>
      </c>
      <c r="G74" s="116" t="str">
        <f t="shared" ref="G74:G86" si="1">IF(E74=0,"",F74/E74*100)</f>
        <v/>
      </c>
    </row>
    <row r="75" spans="2:7">
      <c r="B75" s="110">
        <v>69</v>
      </c>
      <c r="C75" s="113" t="s">
        <v>32</v>
      </c>
      <c r="D75" s="114" t="s">
        <v>33</v>
      </c>
      <c r="E75" s="87">
        <v>0</v>
      </c>
      <c r="F75" s="87">
        <v>0</v>
      </c>
      <c r="G75" s="116" t="str">
        <f t="shared" si="1"/>
        <v/>
      </c>
    </row>
    <row r="76" spans="2:7">
      <c r="B76" s="110">
        <v>70</v>
      </c>
      <c r="C76" s="113" t="s">
        <v>34</v>
      </c>
      <c r="D76" s="114" t="s">
        <v>35</v>
      </c>
      <c r="E76" s="87">
        <f>'20'!J46-'20'!J32-'20'!J34-'20'!J35-'20'!J36-'20'!J37-'20'!J38-'20'!J39-'20'!J21</f>
        <v>1520640</v>
      </c>
      <c r="F76" s="87">
        <f>'20'!N46-'20'!N32-'20'!N34-'20'!N35-'20'!N36-'20'!N37-'20'!N38-'20'!N39-'20'!L21</f>
        <v>1477361</v>
      </c>
      <c r="G76" s="116">
        <f t="shared" si="1"/>
        <v>97.153895728114477</v>
      </c>
    </row>
    <row r="77" spans="2:7">
      <c r="B77" s="336">
        <v>71</v>
      </c>
      <c r="C77" s="340" t="s">
        <v>36</v>
      </c>
      <c r="D77" s="337" t="s">
        <v>37</v>
      </c>
      <c r="E77" s="338">
        <f>SUM(E78:E86)</f>
        <v>8406070</v>
      </c>
      <c r="F77" s="338">
        <f>SUM(F78:F86)</f>
        <v>8387810</v>
      </c>
      <c r="G77" s="342">
        <f t="shared" si="1"/>
        <v>99.782776017806185</v>
      </c>
    </row>
    <row r="78" spans="2:7">
      <c r="B78" s="110">
        <v>72</v>
      </c>
      <c r="C78" s="113" t="s">
        <v>38</v>
      </c>
      <c r="D78" s="114" t="s">
        <v>39</v>
      </c>
      <c r="E78" s="87">
        <v>0</v>
      </c>
      <c r="F78" s="87">
        <v>0</v>
      </c>
      <c r="G78" s="116" t="str">
        <f t="shared" si="1"/>
        <v/>
      </c>
    </row>
    <row r="79" spans="2:7">
      <c r="B79" s="110">
        <v>73</v>
      </c>
      <c r="C79" s="113" t="s">
        <v>40</v>
      </c>
      <c r="D79" s="114" t="s">
        <v>41</v>
      </c>
      <c r="E79" s="87">
        <v>0</v>
      </c>
      <c r="F79" s="87">
        <v>0</v>
      </c>
      <c r="G79" s="116" t="str">
        <f t="shared" si="1"/>
        <v/>
      </c>
    </row>
    <row r="80" spans="2:7">
      <c r="B80" s="110">
        <v>74</v>
      </c>
      <c r="C80" s="113" t="s">
        <v>42</v>
      </c>
      <c r="D80" s="114" t="s">
        <v>43</v>
      </c>
      <c r="E80" s="87">
        <v>0</v>
      </c>
      <c r="F80" s="87">
        <v>0</v>
      </c>
      <c r="G80" s="116" t="str">
        <f t="shared" si="1"/>
        <v/>
      </c>
    </row>
    <row r="81" spans="2:7">
      <c r="B81" s="110">
        <v>75</v>
      </c>
      <c r="C81" s="113" t="s">
        <v>44</v>
      </c>
      <c r="D81" s="114" t="s">
        <v>72</v>
      </c>
      <c r="E81" s="87">
        <v>0</v>
      </c>
      <c r="F81" s="87">
        <v>0</v>
      </c>
      <c r="G81" s="116" t="str">
        <f t="shared" si="1"/>
        <v/>
      </c>
    </row>
    <row r="82" spans="2:7">
      <c r="B82" s="110">
        <v>76</v>
      </c>
      <c r="C82" s="113" t="s">
        <v>45</v>
      </c>
      <c r="D82" s="114" t="s">
        <v>73</v>
      </c>
      <c r="E82" s="87">
        <v>0</v>
      </c>
      <c r="F82" s="87">
        <v>0</v>
      </c>
      <c r="G82" s="116" t="str">
        <f t="shared" si="1"/>
        <v/>
      </c>
    </row>
    <row r="83" spans="2:7">
      <c r="B83" s="110">
        <v>77</v>
      </c>
      <c r="C83" s="113" t="s">
        <v>46</v>
      </c>
      <c r="D83" s="114" t="s">
        <v>47</v>
      </c>
      <c r="E83" s="87">
        <v>0</v>
      </c>
      <c r="F83" s="87">
        <v>0</v>
      </c>
      <c r="G83" s="116" t="str">
        <f t="shared" si="1"/>
        <v/>
      </c>
    </row>
    <row r="84" spans="2:7">
      <c r="B84" s="110">
        <v>78</v>
      </c>
      <c r="C84" s="113" t="s">
        <v>48</v>
      </c>
      <c r="D84" s="114" t="s">
        <v>49</v>
      </c>
      <c r="E84" s="87">
        <v>0</v>
      </c>
      <c r="F84" s="87">
        <v>0</v>
      </c>
      <c r="G84" s="116" t="str">
        <f t="shared" si="1"/>
        <v/>
      </c>
    </row>
    <row r="85" spans="2:7">
      <c r="B85" s="110">
        <v>79</v>
      </c>
      <c r="C85" s="113" t="s">
        <v>50</v>
      </c>
      <c r="D85" s="114" t="s">
        <v>51</v>
      </c>
      <c r="E85" s="87">
        <v>0</v>
      </c>
      <c r="F85" s="87">
        <v>0</v>
      </c>
      <c r="G85" s="116" t="str">
        <f t="shared" si="1"/>
        <v/>
      </c>
    </row>
    <row r="86" spans="2:7">
      <c r="B86" s="110">
        <v>80</v>
      </c>
      <c r="C86" s="113" t="s">
        <v>52</v>
      </c>
      <c r="D86" s="114" t="s">
        <v>53</v>
      </c>
      <c r="E86" s="87">
        <f>'17'!J39+'31'!J36</f>
        <v>8406070</v>
      </c>
      <c r="F86" s="87">
        <f>'17'!N39+'31'!N36</f>
        <v>8387810</v>
      </c>
      <c r="G86" s="116">
        <f t="shared" si="1"/>
        <v>99.782776017806185</v>
      </c>
    </row>
    <row r="87" spans="2:7">
      <c r="B87" s="56"/>
      <c r="C87" s="56"/>
      <c r="D87" s="56"/>
      <c r="E87" s="56"/>
      <c r="F87" s="56"/>
      <c r="G87" s="56"/>
    </row>
    <row r="88" spans="2:7">
      <c r="B88" s="56"/>
      <c r="C88" s="56"/>
      <c r="D88" s="56"/>
      <c r="E88" s="56"/>
      <c r="F88" s="56"/>
      <c r="G88" s="56"/>
    </row>
    <row r="89" spans="2:7">
      <c r="B89" s="56"/>
      <c r="C89" s="56"/>
      <c r="D89" s="56"/>
      <c r="E89" s="56"/>
      <c r="F89" s="56"/>
      <c r="G89" s="56"/>
    </row>
    <row r="90" spans="2:7">
      <c r="B90" s="56"/>
      <c r="C90" s="56"/>
      <c r="D90" s="56"/>
      <c r="E90" s="56"/>
      <c r="F90" s="56"/>
      <c r="G90" s="56"/>
    </row>
    <row r="91" spans="2:7">
      <c r="B91" s="56"/>
      <c r="C91" s="56"/>
      <c r="D91" s="56"/>
      <c r="E91" s="56"/>
      <c r="F91" s="56"/>
      <c r="G91" s="56"/>
    </row>
    <row r="92" spans="2:7">
      <c r="B92" s="56"/>
      <c r="C92" s="56"/>
      <c r="D92" s="56"/>
      <c r="E92" s="56"/>
      <c r="F92" s="56"/>
      <c r="G92" s="56"/>
    </row>
    <row r="93" spans="2:7">
      <c r="B93" s="56"/>
      <c r="C93" s="56"/>
      <c r="D93" s="56"/>
      <c r="E93" s="56"/>
      <c r="F93" s="56"/>
      <c r="G93" s="56"/>
    </row>
    <row r="94" spans="2:7">
      <c r="B94" s="56"/>
      <c r="C94" s="56"/>
      <c r="D94" s="56"/>
      <c r="E94" s="56"/>
      <c r="F94" s="56"/>
      <c r="G94" s="56"/>
    </row>
    <row r="95" spans="2:7">
      <c r="B95" s="56"/>
      <c r="C95" s="56"/>
      <c r="D95" s="56"/>
      <c r="E95" s="56"/>
      <c r="F95" s="56"/>
      <c r="G95" s="56"/>
    </row>
    <row r="96" spans="2:7">
      <c r="B96" s="56"/>
      <c r="C96" s="56"/>
      <c r="D96" s="56"/>
      <c r="E96" s="56"/>
      <c r="F96" s="56"/>
      <c r="G96" s="56"/>
    </row>
    <row r="97" spans="2:7">
      <c r="B97" s="56"/>
      <c r="C97" s="56"/>
      <c r="D97" s="56"/>
      <c r="E97" s="56"/>
      <c r="F97" s="56"/>
      <c r="G97" s="56"/>
    </row>
    <row r="98" spans="2:7">
      <c r="B98" s="56"/>
      <c r="C98" s="56"/>
      <c r="D98" s="56"/>
      <c r="E98" s="56"/>
      <c r="F98" s="56"/>
      <c r="G98" s="56"/>
    </row>
    <row r="99" spans="2:7">
      <c r="B99" s="56"/>
      <c r="C99" s="56"/>
      <c r="D99" s="56"/>
      <c r="E99" s="56"/>
      <c r="F99" s="56"/>
      <c r="G99" s="56"/>
    </row>
    <row r="100" spans="2:7">
      <c r="B100" s="56"/>
      <c r="C100" s="56"/>
      <c r="D100" s="56"/>
      <c r="E100" s="56"/>
      <c r="F100" s="56"/>
      <c r="G100" s="56"/>
    </row>
    <row r="101" spans="2:7">
      <c r="B101" s="56"/>
      <c r="C101" s="56"/>
      <c r="D101" s="56"/>
      <c r="E101" s="56"/>
      <c r="F101" s="56"/>
      <c r="G101" s="56"/>
    </row>
    <row r="102" spans="2:7">
      <c r="B102" s="56"/>
      <c r="C102" s="56"/>
      <c r="D102" s="56"/>
      <c r="E102" s="56"/>
      <c r="F102" s="56"/>
      <c r="G102" s="56"/>
    </row>
    <row r="103" spans="2:7">
      <c r="B103" s="56"/>
      <c r="C103" s="56"/>
      <c r="D103" s="56"/>
      <c r="E103" s="56"/>
      <c r="F103" s="56"/>
      <c r="G103" s="56"/>
    </row>
    <row r="104" spans="2:7">
      <c r="B104" s="56"/>
      <c r="C104" s="56"/>
      <c r="D104" s="56"/>
      <c r="E104" s="56"/>
      <c r="F104" s="56"/>
      <c r="G104" s="56"/>
    </row>
    <row r="105" spans="2:7">
      <c r="B105" s="56"/>
      <c r="C105" s="56"/>
      <c r="D105" s="56"/>
      <c r="E105" s="56"/>
      <c r="F105" s="56"/>
      <c r="G105" s="56"/>
    </row>
    <row r="106" spans="2:7">
      <c r="B106" s="56"/>
      <c r="C106" s="56"/>
      <c r="D106" s="56"/>
      <c r="E106" s="56"/>
      <c r="F106" s="56"/>
      <c r="G106" s="56"/>
    </row>
    <row r="107" spans="2:7">
      <c r="B107" s="56"/>
      <c r="C107" s="56"/>
      <c r="D107" s="56"/>
      <c r="E107" s="56"/>
      <c r="F107" s="56"/>
      <c r="G107" s="56"/>
    </row>
    <row r="108" spans="2:7">
      <c r="B108" s="56"/>
      <c r="C108" s="56"/>
      <c r="D108" s="56"/>
      <c r="E108" s="56"/>
      <c r="F108" s="56"/>
      <c r="G108" s="56"/>
    </row>
    <row r="109" spans="2:7">
      <c r="B109" s="56"/>
      <c r="C109" s="56"/>
      <c r="D109" s="56"/>
      <c r="E109" s="56"/>
      <c r="F109" s="56"/>
      <c r="G109" s="56"/>
    </row>
    <row r="110" spans="2:7">
      <c r="B110" s="56"/>
      <c r="C110" s="56"/>
      <c r="D110" s="56"/>
      <c r="E110" s="56"/>
      <c r="F110" s="56"/>
      <c r="G110" s="56"/>
    </row>
    <row r="111" spans="2:7">
      <c r="B111" s="56"/>
      <c r="C111" s="56"/>
      <c r="D111" s="56"/>
      <c r="E111" s="56"/>
      <c r="F111" s="56"/>
      <c r="G111" s="56"/>
    </row>
    <row r="112" spans="2:7">
      <c r="B112" s="56"/>
      <c r="C112" s="56"/>
      <c r="D112" s="56"/>
      <c r="E112" s="56"/>
      <c r="F112" s="56"/>
      <c r="G112" s="56"/>
    </row>
    <row r="113" spans="2:7">
      <c r="B113" s="56"/>
      <c r="C113" s="56"/>
      <c r="D113" s="56"/>
      <c r="E113" s="56"/>
      <c r="F113" s="56"/>
      <c r="G113" s="56"/>
    </row>
    <row r="114" spans="2:7">
      <c r="B114" s="56"/>
      <c r="C114" s="56"/>
      <c r="D114" s="56"/>
      <c r="E114" s="56"/>
      <c r="F114" s="56"/>
      <c r="G114" s="56"/>
    </row>
    <row r="115" spans="2:7">
      <c r="B115" s="56"/>
      <c r="C115" s="56"/>
      <c r="D115" s="56"/>
      <c r="E115" s="56"/>
      <c r="F115" s="56"/>
      <c r="G115" s="56"/>
    </row>
    <row r="116" spans="2:7">
      <c r="B116" s="56"/>
      <c r="C116" s="56"/>
      <c r="D116" s="56"/>
      <c r="E116" s="56"/>
      <c r="F116" s="56"/>
      <c r="G116" s="56"/>
    </row>
    <row r="117" spans="2:7">
      <c r="B117" s="56"/>
      <c r="C117" s="56"/>
      <c r="D117" s="56"/>
      <c r="E117" s="56"/>
      <c r="F117" s="56"/>
      <c r="G117" s="56"/>
    </row>
    <row r="118" spans="2:7">
      <c r="B118" s="56"/>
      <c r="C118" s="56"/>
      <c r="D118" s="56"/>
      <c r="E118" s="56"/>
      <c r="F118" s="56"/>
      <c r="G118" s="56"/>
    </row>
    <row r="119" spans="2:7">
      <c r="B119" s="56"/>
      <c r="C119" s="56"/>
      <c r="D119" s="56"/>
      <c r="E119" s="56"/>
      <c r="F119" s="56"/>
      <c r="G119" s="56"/>
    </row>
  </sheetData>
  <mergeCells count="1">
    <mergeCell ref="B2:G2"/>
  </mergeCells>
  <phoneticPr fontId="0" type="noConversion"/>
  <pageMargins left="0.9055118110236221" right="0.31496062992125984" top="0.35433070866141736" bottom="0.51181102362204722" header="0.39370078740157483" footer="0.31496062992125984"/>
  <pageSetup paperSize="9" scale="87" firstPageNumber="46" orientation="landscape" r:id="rId1"/>
  <headerFooter alignWithMargins="0">
    <oddFooter>&amp;R&amp;P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>
  <dimension ref="A1:J45"/>
  <sheetViews>
    <sheetView topLeftCell="A15" zoomScaleNormal="100" workbookViewId="0">
      <selection activeCell="O19" sqref="O19"/>
    </sheetView>
  </sheetViews>
  <sheetFormatPr defaultRowHeight="12.75"/>
  <cols>
    <col min="1" max="1" width="15.7109375" style="36" customWidth="1"/>
    <col min="2" max="2" width="82.28515625" customWidth="1"/>
    <col min="3" max="6" width="18.7109375" customWidth="1"/>
  </cols>
  <sheetData>
    <row r="1" spans="1:6" ht="7.5" customHeight="1"/>
    <row r="2" spans="1:6" ht="15.75">
      <c r="A2" s="1001" t="s">
        <v>824</v>
      </c>
      <c r="B2" s="1075"/>
      <c r="C2" s="1075"/>
      <c r="D2" s="1075"/>
      <c r="E2" s="1075"/>
      <c r="F2" s="1075"/>
    </row>
    <row r="3" spans="1:6" ht="6.75" customHeight="1"/>
    <row r="4" spans="1:6" s="41" customFormat="1" ht="12.75" customHeight="1">
      <c r="A4" s="1080" t="s">
        <v>312</v>
      </c>
      <c r="B4" s="1080" t="s">
        <v>320</v>
      </c>
      <c r="C4" s="1080" t="s">
        <v>909</v>
      </c>
      <c r="D4" s="1077" t="s">
        <v>327</v>
      </c>
      <c r="E4" s="1078"/>
      <c r="F4" s="1079"/>
    </row>
    <row r="5" spans="1:6" s="41" customFormat="1" ht="57.75" customHeight="1">
      <c r="A5" s="1081"/>
      <c r="B5" s="1081"/>
      <c r="C5" s="1081"/>
      <c r="D5" s="96" t="s">
        <v>326</v>
      </c>
      <c r="E5" s="96" t="s">
        <v>438</v>
      </c>
      <c r="F5" s="96" t="s">
        <v>439</v>
      </c>
    </row>
    <row r="6" spans="1:6" s="41" customFormat="1">
      <c r="A6" s="96">
        <v>1</v>
      </c>
      <c r="B6" s="97">
        <v>2</v>
      </c>
      <c r="C6" s="96" t="s">
        <v>328</v>
      </c>
      <c r="D6" s="96">
        <v>4</v>
      </c>
      <c r="E6" s="96">
        <v>5</v>
      </c>
      <c r="F6" s="96">
        <v>6</v>
      </c>
    </row>
    <row r="7" spans="1:6" ht="20.100000000000001" customHeight="1">
      <c r="A7" s="90">
        <v>10010001</v>
      </c>
      <c r="B7" s="23" t="s">
        <v>185</v>
      </c>
      <c r="C7" s="88">
        <f>D7+E7+F7</f>
        <v>35602</v>
      </c>
      <c r="D7" s="88">
        <f>'1'!N28-E7-F7</f>
        <v>35602</v>
      </c>
      <c r="E7" s="88">
        <v>0</v>
      </c>
      <c r="F7" s="88">
        <v>0</v>
      </c>
    </row>
    <row r="8" spans="1:6" ht="20.100000000000001" customHeight="1">
      <c r="A8" s="90">
        <v>11010001</v>
      </c>
      <c r="B8" s="23" t="s">
        <v>186</v>
      </c>
      <c r="C8" s="88">
        <f t="shared" ref="C8:C43" si="0">D8+E8+F8</f>
        <v>25846</v>
      </c>
      <c r="D8" s="88">
        <f>'2'!N46-E8-F8</f>
        <v>25846</v>
      </c>
      <c r="E8" s="88">
        <v>0</v>
      </c>
      <c r="F8" s="88">
        <v>0</v>
      </c>
    </row>
    <row r="9" spans="1:6" ht="20.100000000000001" customHeight="1">
      <c r="A9" s="90">
        <v>11010003</v>
      </c>
      <c r="B9" s="23" t="s">
        <v>863</v>
      </c>
      <c r="C9" s="88">
        <f t="shared" si="0"/>
        <v>346</v>
      </c>
      <c r="D9" s="88">
        <f>'3'!N28-E9-F9</f>
        <v>346</v>
      </c>
      <c r="E9" s="88">
        <v>0</v>
      </c>
      <c r="F9" s="88">
        <v>0</v>
      </c>
    </row>
    <row r="10" spans="1:6" ht="20.100000000000001" customHeight="1">
      <c r="A10" s="90">
        <v>11010004</v>
      </c>
      <c r="B10" s="23" t="s">
        <v>871</v>
      </c>
      <c r="C10" s="88">
        <f t="shared" si="0"/>
        <v>3280</v>
      </c>
      <c r="D10" s="88">
        <f>'4'!N28-E10-F10</f>
        <v>3280</v>
      </c>
      <c r="E10" s="88">
        <v>0</v>
      </c>
      <c r="F10" s="88">
        <v>0</v>
      </c>
    </row>
    <row r="11" spans="1:6" ht="20.100000000000001" customHeight="1">
      <c r="A11" s="90">
        <v>11010005</v>
      </c>
      <c r="B11" s="347" t="s">
        <v>872</v>
      </c>
      <c r="C11" s="88">
        <f t="shared" si="0"/>
        <v>5000</v>
      </c>
      <c r="D11" s="88">
        <f>'5'!N28-E11-F11</f>
        <v>5000</v>
      </c>
      <c r="E11" s="88">
        <v>0</v>
      </c>
      <c r="F11" s="88">
        <v>0</v>
      </c>
    </row>
    <row r="12" spans="1:6" s="406" customFormat="1" ht="20.100000000000001" customHeight="1">
      <c r="A12" s="90">
        <v>11010006</v>
      </c>
      <c r="B12" s="347" t="s">
        <v>873</v>
      </c>
      <c r="C12" s="88">
        <f t="shared" ref="C12" si="1">D12+E12+F12</f>
        <v>2494</v>
      </c>
      <c r="D12" s="88">
        <f>'6'!N31-E12-F12</f>
        <v>2494</v>
      </c>
      <c r="E12" s="88">
        <v>0</v>
      </c>
      <c r="F12" s="88">
        <v>0</v>
      </c>
    </row>
    <row r="13" spans="1:6" ht="20.100000000000001" customHeight="1">
      <c r="A13" s="90">
        <v>12010001</v>
      </c>
      <c r="B13" s="23" t="s">
        <v>618</v>
      </c>
      <c r="C13" s="88">
        <f t="shared" si="0"/>
        <v>11983</v>
      </c>
      <c r="D13" s="88">
        <f>'7'!N28-E13-F13</f>
        <v>11983</v>
      </c>
      <c r="E13" s="88">
        <v>0</v>
      </c>
      <c r="F13" s="88">
        <v>0</v>
      </c>
    </row>
    <row r="14" spans="1:6" ht="20.100000000000001" customHeight="1">
      <c r="A14" s="90">
        <v>13010001</v>
      </c>
      <c r="B14" s="347" t="s">
        <v>187</v>
      </c>
      <c r="C14" s="88">
        <f t="shared" si="0"/>
        <v>202661</v>
      </c>
      <c r="D14" s="88">
        <f>'8'!N29-E14-F14</f>
        <v>202661</v>
      </c>
      <c r="E14" s="88">
        <v>0</v>
      </c>
      <c r="F14" s="88">
        <v>0</v>
      </c>
    </row>
    <row r="15" spans="1:6" ht="20.100000000000001" customHeight="1">
      <c r="A15" s="90">
        <v>14010001</v>
      </c>
      <c r="B15" s="347" t="s">
        <v>620</v>
      </c>
      <c r="C15" s="88">
        <f t="shared" si="0"/>
        <v>5106</v>
      </c>
      <c r="D15" s="88">
        <f>'9'!N30-E15-F15</f>
        <v>5106</v>
      </c>
      <c r="E15" s="88">
        <v>0</v>
      </c>
      <c r="F15" s="88">
        <v>0</v>
      </c>
    </row>
    <row r="16" spans="1:6" ht="20.100000000000001" customHeight="1">
      <c r="A16" s="90">
        <v>14020003</v>
      </c>
      <c r="B16" s="347" t="s">
        <v>647</v>
      </c>
      <c r="C16" s="88">
        <f t="shared" si="0"/>
        <v>51914</v>
      </c>
      <c r="D16" s="88">
        <f>'10'!N29-E16-F16</f>
        <v>51914</v>
      </c>
      <c r="E16" s="88">
        <v>0</v>
      </c>
      <c r="F16" s="88">
        <v>0</v>
      </c>
    </row>
    <row r="17" spans="1:10" ht="20.100000000000001" customHeight="1">
      <c r="A17" s="90">
        <v>14050001</v>
      </c>
      <c r="B17" s="347" t="s">
        <v>643</v>
      </c>
      <c r="C17" s="88">
        <f t="shared" si="0"/>
        <v>0</v>
      </c>
      <c r="D17" s="88">
        <f>'11'!N28-E17-F17</f>
        <v>0</v>
      </c>
      <c r="E17" s="88">
        <v>0</v>
      </c>
      <c r="F17" s="88">
        <v>0</v>
      </c>
      <c r="J17" s="870" t="s">
        <v>145</v>
      </c>
    </row>
    <row r="18" spans="1:10" ht="20.100000000000001" customHeight="1">
      <c r="A18" s="90">
        <v>14050002</v>
      </c>
      <c r="B18" s="347" t="s">
        <v>644</v>
      </c>
      <c r="C18" s="88">
        <f t="shared" si="0"/>
        <v>2971</v>
      </c>
      <c r="D18" s="88">
        <f>'12'!N28-E18-F18</f>
        <v>2971</v>
      </c>
      <c r="E18" s="88">
        <v>0</v>
      </c>
      <c r="F18" s="88">
        <v>0</v>
      </c>
    </row>
    <row r="19" spans="1:10" ht="20.100000000000001" customHeight="1">
      <c r="A19" s="90">
        <v>14060001</v>
      </c>
      <c r="B19" s="347" t="s">
        <v>645</v>
      </c>
      <c r="C19" s="88">
        <f t="shared" si="0"/>
        <v>0</v>
      </c>
      <c r="D19" s="88">
        <f>'13'!N28-E19-F19</f>
        <v>0</v>
      </c>
      <c r="E19" s="88">
        <v>0</v>
      </c>
      <c r="F19" s="88">
        <v>0</v>
      </c>
    </row>
    <row r="20" spans="1:10" s="530" customFormat="1" ht="20.100000000000001" customHeight="1">
      <c r="A20" s="90">
        <v>14070001</v>
      </c>
      <c r="B20" s="347" t="s">
        <v>798</v>
      </c>
      <c r="C20" s="88">
        <f t="shared" ref="C20" si="2">D20+E20+F20</f>
        <v>0</v>
      </c>
      <c r="D20" s="88">
        <f>'14'!N28-E20-F20</f>
        <v>0</v>
      </c>
      <c r="E20" s="88">
        <v>0</v>
      </c>
      <c r="F20" s="88">
        <v>0</v>
      </c>
    </row>
    <row r="21" spans="1:10" ht="20.100000000000001" customHeight="1">
      <c r="A21" s="90">
        <v>15010001</v>
      </c>
      <c r="B21" s="347" t="s">
        <v>621</v>
      </c>
      <c r="C21" s="88">
        <f t="shared" si="0"/>
        <v>3999</v>
      </c>
      <c r="D21" s="88">
        <f>'15'!N37-E21-F21</f>
        <v>3999</v>
      </c>
      <c r="E21" s="88">
        <v>0</v>
      </c>
      <c r="F21" s="88">
        <v>0</v>
      </c>
    </row>
    <row r="22" spans="1:10" ht="20.100000000000001" customHeight="1">
      <c r="A22" s="90">
        <v>16010001</v>
      </c>
      <c r="B22" s="347" t="s">
        <v>622</v>
      </c>
      <c r="C22" s="88">
        <f t="shared" si="0"/>
        <v>26785</v>
      </c>
      <c r="D22" s="88">
        <f>'16'!N41-E22-F22</f>
        <v>26785</v>
      </c>
      <c r="E22" s="88">
        <v>0</v>
      </c>
      <c r="F22" s="88">
        <v>0</v>
      </c>
    </row>
    <row r="23" spans="1:10" ht="20.100000000000001" customHeight="1">
      <c r="A23" s="90">
        <v>17010001</v>
      </c>
      <c r="B23" s="347" t="s">
        <v>623</v>
      </c>
      <c r="C23" s="88">
        <f t="shared" si="0"/>
        <v>3378</v>
      </c>
      <c r="D23" s="88">
        <f>'17'!N34-E23-F23</f>
        <v>3378</v>
      </c>
      <c r="E23" s="88">
        <v>0</v>
      </c>
      <c r="F23" s="88">
        <v>0</v>
      </c>
    </row>
    <row r="24" spans="1:10" ht="20.100000000000001" customHeight="1">
      <c r="A24" s="90">
        <v>18010001</v>
      </c>
      <c r="B24" s="347" t="s">
        <v>624</v>
      </c>
      <c r="C24" s="88">
        <f t="shared" si="0"/>
        <v>1968350</v>
      </c>
      <c r="D24" s="88">
        <f>'18'!N32-E24-F24</f>
        <v>1968350</v>
      </c>
      <c r="E24" s="88">
        <v>0</v>
      </c>
      <c r="F24" s="88">
        <v>0</v>
      </c>
    </row>
    <row r="25" spans="1:10" ht="20.100000000000001" customHeight="1">
      <c r="A25" s="90">
        <v>19010001</v>
      </c>
      <c r="B25" s="347" t="s">
        <v>625</v>
      </c>
      <c r="C25" s="88">
        <f t="shared" si="0"/>
        <v>14751</v>
      </c>
      <c r="D25" s="88">
        <f>'19'!N38-E25-F25</f>
        <v>14751</v>
      </c>
      <c r="E25" s="88">
        <v>0</v>
      </c>
      <c r="F25" s="88">
        <v>0</v>
      </c>
    </row>
    <row r="26" spans="1:10" ht="20.100000000000001" customHeight="1">
      <c r="A26" s="90">
        <v>20010001</v>
      </c>
      <c r="B26" s="347" t="s">
        <v>626</v>
      </c>
      <c r="C26" s="88">
        <f t="shared" si="0"/>
        <v>521332</v>
      </c>
      <c r="D26" s="88">
        <f>'20'!N41-E26-F26</f>
        <v>521332</v>
      </c>
      <c r="E26" s="88">
        <v>0</v>
      </c>
      <c r="F26" s="88">
        <v>0</v>
      </c>
    </row>
    <row r="27" spans="1:10" ht="20.100000000000001" customHeight="1">
      <c r="A27" s="90">
        <v>20020002</v>
      </c>
      <c r="B27" s="347" t="s">
        <v>672</v>
      </c>
      <c r="C27" s="88">
        <f t="shared" si="0"/>
        <v>94492</v>
      </c>
      <c r="D27" s="88">
        <f>'21'!N28-E27-F27</f>
        <v>94492</v>
      </c>
      <c r="E27" s="88">
        <v>0</v>
      </c>
      <c r="F27" s="88">
        <v>0</v>
      </c>
    </row>
    <row r="28" spans="1:10" ht="20.100000000000001" customHeight="1">
      <c r="A28" s="90">
        <v>20020003</v>
      </c>
      <c r="B28" s="347" t="s">
        <v>673</v>
      </c>
      <c r="C28" s="88">
        <f t="shared" si="0"/>
        <v>46651</v>
      </c>
      <c r="D28" s="88">
        <f>'22'!N28-E28-F28</f>
        <v>46651</v>
      </c>
      <c r="E28" s="88">
        <v>0</v>
      </c>
      <c r="F28" s="88">
        <v>0</v>
      </c>
    </row>
    <row r="29" spans="1:10" ht="20.100000000000001" customHeight="1">
      <c r="A29" s="90">
        <v>20020004</v>
      </c>
      <c r="B29" s="347" t="s">
        <v>674</v>
      </c>
      <c r="C29" s="88">
        <f t="shared" si="0"/>
        <v>26586</v>
      </c>
      <c r="D29" s="88">
        <f>'23'!N28-E29-F29</f>
        <v>26586</v>
      </c>
      <c r="E29" s="88">
        <v>0</v>
      </c>
      <c r="F29" s="147">
        <v>0</v>
      </c>
    </row>
    <row r="30" spans="1:10" ht="20.100000000000001" customHeight="1">
      <c r="A30" s="90">
        <v>20030001</v>
      </c>
      <c r="B30" s="347" t="s">
        <v>653</v>
      </c>
      <c r="C30" s="88">
        <f t="shared" si="0"/>
        <v>14574</v>
      </c>
      <c r="D30" s="88">
        <f>'24'!N28-E30-F30</f>
        <v>14574</v>
      </c>
      <c r="E30" s="88">
        <v>0</v>
      </c>
      <c r="F30" s="88">
        <v>0</v>
      </c>
    </row>
    <row r="31" spans="1:10" ht="20.100000000000001" customHeight="1">
      <c r="A31" s="90">
        <v>20030002</v>
      </c>
      <c r="B31" s="347" t="s">
        <v>675</v>
      </c>
      <c r="C31" s="88">
        <f t="shared" si="0"/>
        <v>41949</v>
      </c>
      <c r="D31" s="88">
        <f>'25'!N28-E31-F31</f>
        <v>41949</v>
      </c>
      <c r="E31" s="88">
        <v>0</v>
      </c>
      <c r="F31" s="88">
        <v>0</v>
      </c>
    </row>
    <row r="32" spans="1:10" ht="20.100000000000001" customHeight="1">
      <c r="A32" s="90">
        <v>20030003</v>
      </c>
      <c r="B32" s="347" t="s">
        <v>676</v>
      </c>
      <c r="C32" s="88">
        <f t="shared" si="0"/>
        <v>14959</v>
      </c>
      <c r="D32" s="88">
        <f>'26'!N28-E32-F32</f>
        <v>14959</v>
      </c>
      <c r="E32" s="88">
        <v>0</v>
      </c>
      <c r="F32" s="88">
        <v>0</v>
      </c>
    </row>
    <row r="33" spans="1:6" ht="20.100000000000001" customHeight="1">
      <c r="A33" s="90">
        <v>20030004</v>
      </c>
      <c r="B33" s="347" t="s">
        <v>677</v>
      </c>
      <c r="C33" s="88">
        <f t="shared" si="0"/>
        <v>29403</v>
      </c>
      <c r="D33" s="88">
        <f>'27'!N28-E33-F33</f>
        <v>29403</v>
      </c>
      <c r="E33" s="88">
        <v>0</v>
      </c>
      <c r="F33" s="88">
        <v>0</v>
      </c>
    </row>
    <row r="34" spans="1:6" ht="20.100000000000001" customHeight="1">
      <c r="A34" s="90">
        <v>20030005</v>
      </c>
      <c r="B34" s="347" t="s">
        <v>682</v>
      </c>
      <c r="C34" s="88">
        <f t="shared" si="0"/>
        <v>20401</v>
      </c>
      <c r="D34" s="88">
        <f>'28'!N28-E34-F34</f>
        <v>20401</v>
      </c>
      <c r="E34" s="88">
        <v>0</v>
      </c>
      <c r="F34" s="88">
        <v>0</v>
      </c>
    </row>
    <row r="35" spans="1:6" ht="20.100000000000001" customHeight="1">
      <c r="A35" s="90">
        <v>20030006</v>
      </c>
      <c r="B35" s="347" t="s">
        <v>679</v>
      </c>
      <c r="C35" s="88">
        <f t="shared" si="0"/>
        <v>3491</v>
      </c>
      <c r="D35" s="88">
        <f>'29'!N28-E35-F35</f>
        <v>3491</v>
      </c>
      <c r="E35" s="88">
        <v>0</v>
      </c>
      <c r="F35" s="88">
        <v>0</v>
      </c>
    </row>
    <row r="36" spans="1:6" ht="20.100000000000001" customHeight="1">
      <c r="A36" s="90">
        <v>20030007</v>
      </c>
      <c r="B36" s="347" t="s">
        <v>680</v>
      </c>
      <c r="C36" s="88">
        <f t="shared" si="0"/>
        <v>4994</v>
      </c>
      <c r="D36" s="88">
        <f>'30'!N28-E36-F36</f>
        <v>4994</v>
      </c>
      <c r="E36" s="88">
        <v>0</v>
      </c>
      <c r="F36" s="88">
        <v>0</v>
      </c>
    </row>
    <row r="37" spans="1:6" ht="20.100000000000001" customHeight="1">
      <c r="A37" s="90">
        <v>21010001</v>
      </c>
      <c r="B37" s="347" t="s">
        <v>627</v>
      </c>
      <c r="C37" s="88">
        <f t="shared" si="0"/>
        <v>6185</v>
      </c>
      <c r="D37" s="88">
        <f>'31'!N31-E37-F37</f>
        <v>6185</v>
      </c>
      <c r="E37" s="88">
        <v>0</v>
      </c>
      <c r="F37" s="88">
        <v>0</v>
      </c>
    </row>
    <row r="38" spans="1:6" ht="20.100000000000001" customHeight="1">
      <c r="A38" s="90">
        <v>22010001</v>
      </c>
      <c r="B38" s="347" t="s">
        <v>640</v>
      </c>
      <c r="C38" s="88">
        <f t="shared" si="0"/>
        <v>0</v>
      </c>
      <c r="D38" s="88">
        <f>'32'!N28-E38-F38</f>
        <v>0</v>
      </c>
      <c r="E38" s="88">
        <v>0</v>
      </c>
      <c r="F38" s="88">
        <v>0</v>
      </c>
    </row>
    <row r="39" spans="1:6" ht="20.100000000000001" customHeight="1">
      <c r="A39" s="90">
        <v>23010001</v>
      </c>
      <c r="B39" s="347" t="s">
        <v>639</v>
      </c>
      <c r="C39" s="88">
        <f t="shared" si="0"/>
        <v>77528</v>
      </c>
      <c r="D39" s="88">
        <f>'33'!N32-E39-F39</f>
        <v>77528</v>
      </c>
      <c r="E39" s="88">
        <v>0</v>
      </c>
      <c r="F39" s="88">
        <v>0</v>
      </c>
    </row>
    <row r="40" spans="1:6" ht="20.100000000000001" customHeight="1">
      <c r="A40" s="90">
        <v>24010001</v>
      </c>
      <c r="B40" s="23" t="s">
        <v>189</v>
      </c>
      <c r="C40" s="88">
        <f t="shared" si="0"/>
        <v>11841</v>
      </c>
      <c r="D40" s="88">
        <f>'34'!N28-E40-F40</f>
        <v>11841</v>
      </c>
      <c r="E40" s="88">
        <v>0</v>
      </c>
      <c r="F40" s="88">
        <v>0</v>
      </c>
    </row>
    <row r="41" spans="1:6" ht="20.100000000000001" customHeight="1">
      <c r="A41" s="90">
        <v>26010001</v>
      </c>
      <c r="B41" s="23" t="s">
        <v>190</v>
      </c>
      <c r="C41" s="88">
        <f t="shared" si="0"/>
        <v>2677</v>
      </c>
      <c r="D41" s="88">
        <f>'35'!N28-E41-F41</f>
        <v>2677</v>
      </c>
      <c r="E41" s="88">
        <v>0</v>
      </c>
      <c r="F41" s="88">
        <v>0</v>
      </c>
    </row>
    <row r="42" spans="1:6" ht="20.100000000000001" customHeight="1">
      <c r="A42" s="90">
        <v>27010001</v>
      </c>
      <c r="B42" s="347" t="s">
        <v>646</v>
      </c>
      <c r="C42" s="88">
        <f t="shared" si="0"/>
        <v>10873</v>
      </c>
      <c r="D42" s="88">
        <f>'36'!N28-E42-F42</f>
        <v>10873</v>
      </c>
      <c r="E42" s="88">
        <v>0</v>
      </c>
      <c r="F42" s="88">
        <v>0</v>
      </c>
    </row>
    <row r="43" spans="1:6" ht="20.100000000000001" customHeight="1">
      <c r="A43" s="90">
        <v>28010001</v>
      </c>
      <c r="B43" s="23" t="s">
        <v>191</v>
      </c>
      <c r="C43" s="88">
        <f t="shared" si="0"/>
        <v>34989</v>
      </c>
      <c r="D43" s="88">
        <f>'37'!N28-E43-F43</f>
        <v>34989</v>
      </c>
      <c r="E43" s="88">
        <v>0</v>
      </c>
      <c r="F43" s="88">
        <v>0</v>
      </c>
    </row>
    <row r="44" spans="1:6" s="41" customFormat="1" ht="20.100000000000001" customHeight="1">
      <c r="A44" s="62"/>
      <c r="B44" s="94" t="s">
        <v>324</v>
      </c>
      <c r="C44" s="95">
        <f>SUM(C7:C43)</f>
        <v>3327391</v>
      </c>
      <c r="D44" s="95">
        <f>SUM(D7:D43)</f>
        <v>3327391</v>
      </c>
      <c r="E44" s="95">
        <f>SUM(E7:E43)</f>
        <v>0</v>
      </c>
      <c r="F44" s="95">
        <f>SUM(F7:F43)</f>
        <v>0</v>
      </c>
    </row>
    <row r="45" spans="1:6" ht="18" customHeight="1"/>
  </sheetData>
  <mergeCells count="5">
    <mergeCell ref="A2:F2"/>
    <mergeCell ref="D4:F4"/>
    <mergeCell ref="A4:A5"/>
    <mergeCell ref="B4:B5"/>
    <mergeCell ref="C4:C5"/>
  </mergeCells>
  <phoneticPr fontId="0" type="noConversion"/>
  <pageMargins left="0.9055118110236221" right="0.31496062992125984" top="0.35433070866141736" bottom="0.33" header="0.39370078740157483" footer="0.31496062992125984"/>
  <pageSetup paperSize="9" scale="78" orientation="landscape" r:id="rId1"/>
  <headerFooter alignWithMargins="0">
    <oddFooter>&amp;R&amp;P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>
  <sheetPr codeName="Sheet47"/>
  <dimension ref="A1:H38"/>
  <sheetViews>
    <sheetView zoomScaleNormal="100" workbookViewId="0">
      <selection activeCell="O19" sqref="O19"/>
    </sheetView>
  </sheetViews>
  <sheetFormatPr defaultRowHeight="15" customHeight="1"/>
  <cols>
    <col min="1" max="1" width="9.140625" style="882"/>
    <col min="2" max="2" width="46.7109375" style="882" customWidth="1"/>
    <col min="3" max="3" width="18" style="882" customWidth="1"/>
    <col min="4" max="4" width="12.42578125" style="882" customWidth="1"/>
    <col min="5" max="6" width="9.140625" style="882"/>
    <col min="7" max="7" width="15.7109375" style="882" customWidth="1"/>
    <col min="8" max="8" width="9.28515625" style="882" customWidth="1"/>
    <col min="9" max="9" width="8.7109375" style="882" customWidth="1"/>
    <col min="10" max="16384" width="9.140625" style="882"/>
  </cols>
  <sheetData>
    <row r="1" spans="1:8" ht="15" customHeight="1">
      <c r="A1" s="35"/>
      <c r="C1" s="35"/>
    </row>
    <row r="2" spans="1:8" ht="15" customHeight="1">
      <c r="A2" s="35"/>
      <c r="C2" s="805"/>
    </row>
    <row r="3" spans="1:8" ht="15.75" customHeight="1">
      <c r="A3" s="1082" t="s">
        <v>632</v>
      </c>
      <c r="B3" s="1083"/>
      <c r="C3" s="1083"/>
      <c r="D3" s="1083"/>
      <c r="E3" s="1083"/>
      <c r="F3" s="1083"/>
      <c r="G3" s="1083"/>
      <c r="H3" s="1083"/>
    </row>
    <row r="4" spans="1:8" ht="27" customHeight="1">
      <c r="A4" s="884"/>
      <c r="B4" s="885"/>
      <c r="C4" s="885"/>
      <c r="D4" s="881"/>
      <c r="E4" s="881"/>
      <c r="F4" s="881"/>
      <c r="G4" s="881"/>
    </row>
    <row r="5" spans="1:8" ht="15" customHeight="1">
      <c r="G5" s="41"/>
      <c r="H5" s="41"/>
    </row>
    <row r="6" spans="1:8" ht="15" customHeight="1">
      <c r="A6" s="35"/>
      <c r="C6" s="35"/>
    </row>
    <row r="7" spans="1:8" ht="15" customHeight="1">
      <c r="A7" s="35"/>
      <c r="C7" s="35"/>
      <c r="E7" s="123"/>
    </row>
    <row r="8" spans="1:8" ht="15" customHeight="1">
      <c r="A8" s="997" t="s">
        <v>910</v>
      </c>
      <c r="B8" s="1087"/>
      <c r="C8" s="1087"/>
      <c r="D8" s="1088"/>
      <c r="E8" s="1088"/>
      <c r="F8" s="1088"/>
      <c r="G8" s="1088"/>
      <c r="H8" s="975"/>
    </row>
    <row r="9" spans="1:8" ht="12" customHeight="1">
      <c r="A9" s="1087"/>
      <c r="B9" s="1087"/>
      <c r="C9" s="1087"/>
      <c r="D9" s="1088"/>
      <c r="E9" s="1088"/>
      <c r="F9" s="1088"/>
      <c r="G9" s="1088"/>
      <c r="H9" s="975"/>
    </row>
    <row r="21" spans="3:8" ht="15" customHeight="1">
      <c r="G21" s="1086"/>
      <c r="H21" s="1085"/>
    </row>
    <row r="22" spans="3:8" ht="15" customHeight="1">
      <c r="G22" s="1086"/>
      <c r="H22" s="1085"/>
    </row>
    <row r="23" spans="3:8" ht="15" customHeight="1">
      <c r="G23" s="1084"/>
      <c r="H23" s="1085"/>
    </row>
    <row r="24" spans="3:8" ht="15" customHeight="1">
      <c r="G24" s="886"/>
      <c r="H24" s="886"/>
    </row>
    <row r="25" spans="3:8" ht="15" customHeight="1">
      <c r="C25" s="844"/>
    </row>
    <row r="28" spans="3:8" ht="15" customHeight="1">
      <c r="C28" s="844"/>
    </row>
    <row r="38" ht="12.75"/>
  </sheetData>
  <mergeCells count="5">
    <mergeCell ref="A3:H3"/>
    <mergeCell ref="G23:H23"/>
    <mergeCell ref="G22:H22"/>
    <mergeCell ref="G21:H21"/>
    <mergeCell ref="A8:H9"/>
  </mergeCells>
  <phoneticPr fontId="0" type="noConversion"/>
  <pageMargins left="0.9055118110236221" right="0.31496062992125984" top="0.35433070866141736" bottom="0.51181102362204722" header="0.39370078740157483" footer="0.31496062992125984"/>
  <pageSetup paperSize="9" scale="88" orientation="landscape" r:id="rId1"/>
  <headerFooter alignWithMargins="0">
    <oddFooter>&amp;R&amp;P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4"/>
  <dimension ref="A2:P267"/>
  <sheetViews>
    <sheetView topLeftCell="B1" zoomScaleNormal="100" workbookViewId="0">
      <selection activeCell="P11" sqref="P11"/>
    </sheetView>
  </sheetViews>
  <sheetFormatPr defaultRowHeight="14.25"/>
  <cols>
    <col min="1" max="1" width="0.42578125" style="481" hidden="1" customWidth="1"/>
    <col min="2" max="2" width="13.28515625" style="472" customWidth="1"/>
    <col min="3" max="3" width="62.7109375" style="481" customWidth="1"/>
    <col min="4" max="5" width="15.7109375" style="481" customWidth="1"/>
    <col min="6" max="6" width="14.28515625" style="715" customWidth="1"/>
    <col min="7" max="7" width="19" style="268" customWidth="1"/>
    <col min="8" max="8" width="9" style="481" customWidth="1"/>
    <col min="9" max="9" width="9" style="906" customWidth="1"/>
    <col min="10" max="10" width="11" style="117" customWidth="1"/>
    <col min="11" max="11" width="17.28515625" style="523" customWidth="1"/>
    <col min="12" max="12" width="19.85546875" style="117" customWidth="1"/>
    <col min="13" max="13" width="16.42578125" style="117" customWidth="1"/>
    <col min="14" max="14" width="16.42578125" style="481" bestFit="1" customWidth="1"/>
    <col min="15" max="16384" width="9.140625" style="481"/>
  </cols>
  <sheetData>
    <row r="2" spans="2:14" ht="18.75" customHeight="1" thickBot="1">
      <c r="B2" s="1006" t="s">
        <v>74</v>
      </c>
      <c r="C2" s="1006"/>
      <c r="D2" s="1006"/>
      <c r="E2" s="1006"/>
      <c r="F2" s="1006"/>
      <c r="G2" s="1007"/>
      <c r="H2" s="1007"/>
      <c r="I2" s="910"/>
    </row>
    <row r="3" spans="2:14" ht="76.5" customHeight="1">
      <c r="B3" s="516" t="s">
        <v>151</v>
      </c>
      <c r="C3" s="517" t="s">
        <v>78</v>
      </c>
      <c r="D3" s="801" t="s">
        <v>901</v>
      </c>
      <c r="E3" s="801" t="s">
        <v>815</v>
      </c>
      <c r="F3" s="801" t="s">
        <v>903</v>
      </c>
      <c r="G3" s="267" t="s">
        <v>902</v>
      </c>
      <c r="H3" s="911" t="s">
        <v>945</v>
      </c>
      <c r="I3" s="847" t="s">
        <v>946</v>
      </c>
      <c r="J3" s="140"/>
      <c r="L3" s="348"/>
      <c r="M3" s="348"/>
      <c r="N3" s="346"/>
    </row>
    <row r="4" spans="2:14" ht="12.75" customHeight="1">
      <c r="B4" s="518">
        <v>1</v>
      </c>
      <c r="C4" s="519">
        <v>2</v>
      </c>
      <c r="D4" s="802">
        <v>3</v>
      </c>
      <c r="E4" s="802">
        <v>4</v>
      </c>
      <c r="F4" s="803">
        <v>5</v>
      </c>
      <c r="G4" s="512">
        <v>6</v>
      </c>
      <c r="H4" s="912" t="s">
        <v>817</v>
      </c>
      <c r="I4" s="804" t="s">
        <v>942</v>
      </c>
    </row>
    <row r="5" spans="2:14" s="33" customFormat="1" ht="17.25" customHeight="1">
      <c r="B5" s="649">
        <v>710000</v>
      </c>
      <c r="C5" s="650" t="s">
        <v>150</v>
      </c>
      <c r="D5" s="651">
        <f>D6+D16+D20+D28+D38+D47+D56</f>
        <v>46068700</v>
      </c>
      <c r="E5" s="651">
        <f>E6+E16+E20+E28+E38+E47+E56</f>
        <v>46068700</v>
      </c>
      <c r="F5" s="651">
        <f>F6+F16+F20+F28+F38+F47+F56</f>
        <v>38888289</v>
      </c>
      <c r="G5" s="652">
        <f>G6+G16+G20+G28+G38+G47+G56</f>
        <v>45780656</v>
      </c>
      <c r="H5" s="913">
        <f t="shared" ref="H5:H68" si="0">IF(E5=0,"",G5/E5*100)</f>
        <v>99.374751186814464</v>
      </c>
      <c r="I5" s="848">
        <f>IF(F5=0,"",G5/F5*100)</f>
        <v>117.72350282626216</v>
      </c>
      <c r="J5" s="141"/>
      <c r="K5" s="525"/>
      <c r="L5" s="118"/>
      <c r="M5" s="118"/>
    </row>
    <row r="6" spans="2:14" s="84" customFormat="1" ht="17.100000000000001" customHeight="1">
      <c r="B6" s="649">
        <v>711000</v>
      </c>
      <c r="C6" s="653" t="s">
        <v>154</v>
      </c>
      <c r="D6" s="654">
        <f>D7+D13</f>
        <v>4984810</v>
      </c>
      <c r="E6" s="654">
        <f>E7+E13</f>
        <v>4984810</v>
      </c>
      <c r="F6" s="654">
        <f>F7+F13</f>
        <v>3489750</v>
      </c>
      <c r="G6" s="655">
        <f>G7+G13</f>
        <v>4713439</v>
      </c>
      <c r="H6" s="914">
        <f t="shared" si="0"/>
        <v>94.556041253327606</v>
      </c>
      <c r="I6" s="849">
        <f t="shared" ref="I6:I69" si="1">IF(F6=0,"",G6/F6*100)</f>
        <v>135.06523389927645</v>
      </c>
      <c r="J6" s="142"/>
      <c r="K6" s="143"/>
      <c r="L6" s="142"/>
      <c r="M6" s="143"/>
    </row>
    <row r="7" spans="2:14" s="84" customFormat="1" ht="15" customHeight="1">
      <c r="B7" s="656">
        <v>711100</v>
      </c>
      <c r="C7" s="657" t="s">
        <v>197</v>
      </c>
      <c r="D7" s="658">
        <f>SUM(D8:D12)</f>
        <v>5160</v>
      </c>
      <c r="E7" s="658">
        <f>SUM(E8:E12)</f>
        <v>5160</v>
      </c>
      <c r="F7" s="658">
        <f>SUM(F8:F12)</f>
        <v>946</v>
      </c>
      <c r="G7" s="659">
        <f>SUM(G8:G12)</f>
        <v>4296</v>
      </c>
      <c r="H7" s="915">
        <f t="shared" si="0"/>
        <v>83.255813953488371</v>
      </c>
      <c r="I7" s="850">
        <f t="shared" si="1"/>
        <v>454.12262156448202</v>
      </c>
      <c r="J7" s="142"/>
      <c r="K7" s="143"/>
      <c r="L7" s="119"/>
      <c r="M7" s="119"/>
    </row>
    <row r="8" spans="2:14" ht="15" customHeight="1">
      <c r="B8" s="660">
        <v>711111</v>
      </c>
      <c r="C8" s="661" t="s">
        <v>198</v>
      </c>
      <c r="D8" s="662">
        <v>5080</v>
      </c>
      <c r="E8" s="662">
        <v>5080</v>
      </c>
      <c r="F8" s="662">
        <v>861</v>
      </c>
      <c r="G8" s="663">
        <v>4255</v>
      </c>
      <c r="H8" s="916">
        <f t="shared" si="0"/>
        <v>83.759842519685037</v>
      </c>
      <c r="I8" s="851">
        <f t="shared" si="1"/>
        <v>494.19279907084785</v>
      </c>
      <c r="J8" s="142"/>
      <c r="L8" s="128"/>
    </row>
    <row r="9" spans="2:14" ht="15" customHeight="1">
      <c r="B9" s="660">
        <v>711112</v>
      </c>
      <c r="C9" s="661" t="s">
        <v>735</v>
      </c>
      <c r="D9" s="662">
        <v>40</v>
      </c>
      <c r="E9" s="662">
        <v>40</v>
      </c>
      <c r="F9" s="662">
        <v>65</v>
      </c>
      <c r="G9" s="663">
        <v>33</v>
      </c>
      <c r="H9" s="916">
        <f t="shared" si="0"/>
        <v>82.5</v>
      </c>
      <c r="I9" s="851">
        <f t="shared" si="1"/>
        <v>50.769230769230766</v>
      </c>
      <c r="J9" s="142"/>
      <c r="L9" s="128"/>
    </row>
    <row r="10" spans="2:14" ht="15" customHeight="1">
      <c r="B10" s="660">
        <v>711113</v>
      </c>
      <c r="C10" s="661" t="s">
        <v>486</v>
      </c>
      <c r="D10" s="662">
        <v>0</v>
      </c>
      <c r="E10" s="662">
        <v>0</v>
      </c>
      <c r="F10" s="662">
        <v>0</v>
      </c>
      <c r="G10" s="663">
        <v>0</v>
      </c>
      <c r="H10" s="916" t="str">
        <f t="shared" si="0"/>
        <v/>
      </c>
      <c r="I10" s="851" t="str">
        <f t="shared" si="1"/>
        <v/>
      </c>
      <c r="J10" s="142"/>
      <c r="L10" s="128"/>
    </row>
    <row r="11" spans="2:14" ht="15" customHeight="1">
      <c r="B11" s="660">
        <v>711114</v>
      </c>
      <c r="C11" s="661" t="s">
        <v>427</v>
      </c>
      <c r="D11" s="662">
        <v>30</v>
      </c>
      <c r="E11" s="662">
        <v>30</v>
      </c>
      <c r="F11" s="662">
        <v>20</v>
      </c>
      <c r="G11" s="663">
        <v>0</v>
      </c>
      <c r="H11" s="916">
        <f t="shared" si="0"/>
        <v>0</v>
      </c>
      <c r="I11" s="851">
        <f t="shared" si="1"/>
        <v>0</v>
      </c>
      <c r="J11" s="142"/>
      <c r="L11" s="128"/>
    </row>
    <row r="12" spans="2:14" ht="15" customHeight="1">
      <c r="B12" s="660">
        <v>711115</v>
      </c>
      <c r="C12" s="661" t="s">
        <v>199</v>
      </c>
      <c r="D12" s="664">
        <v>10</v>
      </c>
      <c r="E12" s="664">
        <v>10</v>
      </c>
      <c r="F12" s="664">
        <v>0</v>
      </c>
      <c r="G12" s="665">
        <v>8</v>
      </c>
      <c r="H12" s="916">
        <f t="shared" si="0"/>
        <v>80</v>
      </c>
      <c r="I12" s="851" t="str">
        <f t="shared" si="1"/>
        <v/>
      </c>
      <c r="J12" s="142"/>
      <c r="L12" s="128"/>
    </row>
    <row r="13" spans="2:14" s="84" customFormat="1" ht="15" customHeight="1">
      <c r="B13" s="656">
        <v>711200</v>
      </c>
      <c r="C13" s="657" t="s">
        <v>202</v>
      </c>
      <c r="D13" s="658">
        <f>SUM(D14:D15)</f>
        <v>4979650</v>
      </c>
      <c r="E13" s="658">
        <f>SUM(E14:E15)</f>
        <v>4979650</v>
      </c>
      <c r="F13" s="658">
        <f>SUM(F14:F15)</f>
        <v>3488804</v>
      </c>
      <c r="G13" s="659">
        <f>SUM(G14:G15)</f>
        <v>4709143</v>
      </c>
      <c r="H13" s="915">
        <f t="shared" si="0"/>
        <v>94.567750745534326</v>
      </c>
      <c r="I13" s="850">
        <f t="shared" si="1"/>
        <v>134.97872050135234</v>
      </c>
      <c r="J13" s="142"/>
      <c r="K13" s="143"/>
      <c r="L13" s="128"/>
      <c r="M13" s="119"/>
      <c r="N13" s="481"/>
    </row>
    <row r="14" spans="2:14" ht="15" customHeight="1">
      <c r="B14" s="660">
        <v>711211</v>
      </c>
      <c r="C14" s="661" t="s">
        <v>200</v>
      </c>
      <c r="D14" s="664">
        <v>4876050</v>
      </c>
      <c r="E14" s="664">
        <v>4876050</v>
      </c>
      <c r="F14" s="664">
        <v>3430909</v>
      </c>
      <c r="G14" s="665">
        <v>4612490</v>
      </c>
      <c r="H14" s="916">
        <f t="shared" si="0"/>
        <v>94.594805221439486</v>
      </c>
      <c r="I14" s="851">
        <f t="shared" si="1"/>
        <v>134.43929873978004</v>
      </c>
      <c r="J14" s="142"/>
      <c r="L14" s="523"/>
      <c r="M14" s="524"/>
    </row>
    <row r="15" spans="2:14" ht="15" customHeight="1">
      <c r="B15" s="660">
        <v>711212</v>
      </c>
      <c r="C15" s="661" t="s">
        <v>201</v>
      </c>
      <c r="D15" s="664">
        <v>103600</v>
      </c>
      <c r="E15" s="664">
        <v>103600</v>
      </c>
      <c r="F15" s="664">
        <v>57895</v>
      </c>
      <c r="G15" s="665">
        <v>96653</v>
      </c>
      <c r="H15" s="916">
        <f t="shared" si="0"/>
        <v>93.294401544401538</v>
      </c>
      <c r="I15" s="851">
        <f t="shared" si="1"/>
        <v>166.94533206667242</v>
      </c>
      <c r="J15" s="142"/>
      <c r="L15" s="523"/>
      <c r="M15" s="524"/>
    </row>
    <row r="16" spans="2:14" s="84" customFormat="1" ht="17.100000000000001" customHeight="1">
      <c r="B16" s="649">
        <v>713000</v>
      </c>
      <c r="C16" s="650" t="s">
        <v>203</v>
      </c>
      <c r="D16" s="654">
        <f>D17</f>
        <v>2990</v>
      </c>
      <c r="E16" s="654">
        <f>E17</f>
        <v>2990</v>
      </c>
      <c r="F16" s="654">
        <f>F17</f>
        <v>841</v>
      </c>
      <c r="G16" s="655">
        <f>G17</f>
        <v>2753</v>
      </c>
      <c r="H16" s="914">
        <f t="shared" si="0"/>
        <v>92.073578595317727</v>
      </c>
      <c r="I16" s="849">
        <f t="shared" si="1"/>
        <v>327.34839476813318</v>
      </c>
      <c r="J16" s="142"/>
      <c r="K16" s="143"/>
      <c r="L16" s="128"/>
      <c r="M16" s="119"/>
      <c r="N16" s="481"/>
    </row>
    <row r="17" spans="2:14" s="84" customFormat="1" ht="15" customHeight="1">
      <c r="B17" s="656">
        <v>713100</v>
      </c>
      <c r="C17" s="666" t="s">
        <v>302</v>
      </c>
      <c r="D17" s="667">
        <f>SUM(D18:D19)</f>
        <v>2990</v>
      </c>
      <c r="E17" s="667">
        <f>SUM(E18:E19)</f>
        <v>2990</v>
      </c>
      <c r="F17" s="667">
        <f>SUM(F18:F19)</f>
        <v>841</v>
      </c>
      <c r="G17" s="668">
        <f>SUM(G18:G19)</f>
        <v>2753</v>
      </c>
      <c r="H17" s="915">
        <f t="shared" si="0"/>
        <v>92.073578595317727</v>
      </c>
      <c r="I17" s="850">
        <f t="shared" si="1"/>
        <v>327.34839476813318</v>
      </c>
      <c r="J17" s="142"/>
      <c r="K17" s="143"/>
      <c r="L17" s="128"/>
      <c r="M17" s="119"/>
      <c r="N17" s="481"/>
    </row>
    <row r="18" spans="2:14" ht="15" customHeight="1">
      <c r="B18" s="660">
        <v>713111</v>
      </c>
      <c r="C18" s="661" t="s">
        <v>204</v>
      </c>
      <c r="D18" s="662">
        <v>2860</v>
      </c>
      <c r="E18" s="662">
        <v>2860</v>
      </c>
      <c r="F18" s="662">
        <v>389</v>
      </c>
      <c r="G18" s="663">
        <v>2650</v>
      </c>
      <c r="H18" s="916">
        <f t="shared" si="0"/>
        <v>92.657342657342653</v>
      </c>
      <c r="I18" s="851">
        <f t="shared" si="1"/>
        <v>681.2339331619537</v>
      </c>
      <c r="J18" s="128"/>
      <c r="L18" s="128"/>
    </row>
    <row r="19" spans="2:14" ht="15" customHeight="1">
      <c r="B19" s="660">
        <v>713113</v>
      </c>
      <c r="C19" s="661" t="s">
        <v>205</v>
      </c>
      <c r="D19" s="662">
        <v>130</v>
      </c>
      <c r="E19" s="662">
        <v>130</v>
      </c>
      <c r="F19" s="662">
        <v>452</v>
      </c>
      <c r="G19" s="665">
        <v>103</v>
      </c>
      <c r="H19" s="916">
        <f t="shared" si="0"/>
        <v>79.230769230769226</v>
      </c>
      <c r="I19" s="851">
        <f t="shared" si="1"/>
        <v>22.787610619469024</v>
      </c>
      <c r="J19" s="128"/>
      <c r="L19" s="128"/>
    </row>
    <row r="20" spans="2:14" s="84" customFormat="1" ht="17.100000000000001" customHeight="1">
      <c r="B20" s="649">
        <v>714000</v>
      </c>
      <c r="C20" s="650" t="s">
        <v>155</v>
      </c>
      <c r="D20" s="654">
        <f>D21</f>
        <v>404000</v>
      </c>
      <c r="E20" s="654">
        <f>E21</f>
        <v>404000</v>
      </c>
      <c r="F20" s="654">
        <f>F21</f>
        <v>375757</v>
      </c>
      <c r="G20" s="655">
        <f>G21</f>
        <v>403440</v>
      </c>
      <c r="H20" s="914">
        <f t="shared" si="0"/>
        <v>99.861386138613867</v>
      </c>
      <c r="I20" s="849">
        <f t="shared" si="1"/>
        <v>107.36726128854552</v>
      </c>
      <c r="J20" s="142"/>
      <c r="K20" s="143"/>
      <c r="L20" s="128"/>
      <c r="M20" s="119"/>
      <c r="N20" s="481"/>
    </row>
    <row r="21" spans="2:14" s="84" customFormat="1" ht="15" customHeight="1">
      <c r="B21" s="656">
        <v>714100</v>
      </c>
      <c r="C21" s="666" t="s">
        <v>301</v>
      </c>
      <c r="D21" s="667">
        <f>SUM(D22:D27)</f>
        <v>404000</v>
      </c>
      <c r="E21" s="667">
        <f>SUM(E22:E27)</f>
        <v>404000</v>
      </c>
      <c r="F21" s="667">
        <f>SUM(F22:F27)</f>
        <v>375757</v>
      </c>
      <c r="G21" s="668">
        <f>SUM(G22:G27)</f>
        <v>403440</v>
      </c>
      <c r="H21" s="915">
        <f t="shared" si="0"/>
        <v>99.861386138613867</v>
      </c>
      <c r="I21" s="850">
        <f t="shared" si="1"/>
        <v>107.36726128854552</v>
      </c>
      <c r="J21" s="142"/>
      <c r="K21" s="143"/>
      <c r="L21" s="128"/>
      <c r="M21" s="119"/>
      <c r="N21" s="481"/>
    </row>
    <row r="22" spans="2:14" ht="15" customHeight="1">
      <c r="B22" s="660">
        <v>714111</v>
      </c>
      <c r="C22" s="661" t="s">
        <v>206</v>
      </c>
      <c r="D22" s="662">
        <v>41410</v>
      </c>
      <c r="E22" s="662">
        <v>41410</v>
      </c>
      <c r="F22" s="662">
        <v>37558</v>
      </c>
      <c r="G22" s="665">
        <v>37516</v>
      </c>
      <c r="H22" s="916">
        <f t="shared" si="0"/>
        <v>90.596474281574501</v>
      </c>
      <c r="I22" s="851">
        <f t="shared" si="1"/>
        <v>99.888172959156506</v>
      </c>
      <c r="J22" s="128"/>
      <c r="L22" s="128"/>
    </row>
    <row r="23" spans="2:14" ht="15" customHeight="1">
      <c r="B23" s="660">
        <v>714112</v>
      </c>
      <c r="C23" s="661" t="s">
        <v>207</v>
      </c>
      <c r="D23" s="664">
        <v>10800</v>
      </c>
      <c r="E23" s="664">
        <v>10800</v>
      </c>
      <c r="F23" s="664">
        <v>7564</v>
      </c>
      <c r="G23" s="663">
        <v>8999</v>
      </c>
      <c r="H23" s="916">
        <f t="shared" si="0"/>
        <v>83.324074074074076</v>
      </c>
      <c r="I23" s="851">
        <f t="shared" si="1"/>
        <v>118.97144368059227</v>
      </c>
      <c r="J23" s="128"/>
      <c r="L23" s="128"/>
    </row>
    <row r="24" spans="2:14" ht="15" customHeight="1">
      <c r="B24" s="660">
        <v>714113</v>
      </c>
      <c r="C24" s="661" t="s">
        <v>208</v>
      </c>
      <c r="D24" s="662">
        <v>3830</v>
      </c>
      <c r="E24" s="662">
        <v>3830</v>
      </c>
      <c r="F24" s="662">
        <v>3507</v>
      </c>
      <c r="G24" s="663">
        <v>3905</v>
      </c>
      <c r="H24" s="916">
        <f t="shared" si="0"/>
        <v>101.95822454308095</v>
      </c>
      <c r="I24" s="851">
        <f t="shared" si="1"/>
        <v>111.34873110921015</v>
      </c>
      <c r="J24" s="128"/>
      <c r="L24" s="128"/>
    </row>
    <row r="25" spans="2:14" ht="15" customHeight="1">
      <c r="B25" s="660">
        <v>714121</v>
      </c>
      <c r="C25" s="661" t="s">
        <v>209</v>
      </c>
      <c r="D25" s="664">
        <v>28870</v>
      </c>
      <c r="E25" s="664">
        <v>28870</v>
      </c>
      <c r="F25" s="664">
        <v>11438</v>
      </c>
      <c r="G25" s="663">
        <v>35527</v>
      </c>
      <c r="H25" s="916">
        <f t="shared" si="0"/>
        <v>123.05853827502598</v>
      </c>
      <c r="I25" s="851">
        <f t="shared" si="1"/>
        <v>310.60500087427869</v>
      </c>
      <c r="J25" s="128"/>
      <c r="L25" s="128"/>
    </row>
    <row r="26" spans="2:14" ht="15" customHeight="1">
      <c r="B26" s="660">
        <v>714131</v>
      </c>
      <c r="C26" s="661" t="s">
        <v>210</v>
      </c>
      <c r="D26" s="664">
        <v>183150</v>
      </c>
      <c r="E26" s="664">
        <v>183150</v>
      </c>
      <c r="F26" s="664">
        <v>135923</v>
      </c>
      <c r="G26" s="663">
        <v>182357</v>
      </c>
      <c r="H26" s="916">
        <f t="shared" si="0"/>
        <v>99.56702156702157</v>
      </c>
      <c r="I26" s="851">
        <f t="shared" si="1"/>
        <v>134.16198877305533</v>
      </c>
      <c r="J26" s="128"/>
      <c r="L26" s="128"/>
    </row>
    <row r="27" spans="2:14" ht="15" customHeight="1">
      <c r="B27" s="660">
        <v>714132</v>
      </c>
      <c r="C27" s="661" t="s">
        <v>211</v>
      </c>
      <c r="D27" s="664">
        <v>135940</v>
      </c>
      <c r="E27" s="664">
        <v>135940</v>
      </c>
      <c r="F27" s="664">
        <v>179767</v>
      </c>
      <c r="G27" s="663">
        <v>135136</v>
      </c>
      <c r="H27" s="916">
        <f t="shared" si="0"/>
        <v>99.408562601147565</v>
      </c>
      <c r="I27" s="851">
        <f t="shared" si="1"/>
        <v>75.172862649985817</v>
      </c>
      <c r="J27" s="128"/>
      <c r="L27" s="128"/>
    </row>
    <row r="28" spans="2:14" s="84" customFormat="1" ht="25.5" customHeight="1">
      <c r="B28" s="649">
        <v>715000</v>
      </c>
      <c r="C28" s="653" t="s">
        <v>212</v>
      </c>
      <c r="D28" s="654">
        <f>D29+D34+D36</f>
        <v>5050</v>
      </c>
      <c r="E28" s="654">
        <f>E29+E34+E36</f>
        <v>5050</v>
      </c>
      <c r="F28" s="654">
        <f>F29+F34+F36</f>
        <v>7416</v>
      </c>
      <c r="G28" s="655">
        <f>G29+G34+G36</f>
        <v>4963</v>
      </c>
      <c r="H28" s="914">
        <f t="shared" si="0"/>
        <v>98.277227722772281</v>
      </c>
      <c r="I28" s="849">
        <f t="shared" si="1"/>
        <v>66.922869471413165</v>
      </c>
      <c r="J28" s="142"/>
      <c r="K28" s="143"/>
      <c r="L28" s="128"/>
      <c r="M28" s="119"/>
      <c r="N28" s="481"/>
    </row>
    <row r="29" spans="2:14" s="84" customFormat="1" ht="26.25" customHeight="1">
      <c r="B29" s="656">
        <v>715100</v>
      </c>
      <c r="C29" s="669" t="s">
        <v>216</v>
      </c>
      <c r="D29" s="658">
        <f t="shared" ref="D29:E29" si="2">SUM(D30:D33)</f>
        <v>3770</v>
      </c>
      <c r="E29" s="658">
        <f t="shared" si="2"/>
        <v>3770</v>
      </c>
      <c r="F29" s="658">
        <f>SUM(F30:F33)</f>
        <v>5241</v>
      </c>
      <c r="G29" s="659">
        <f>SUM(G30:G33)</f>
        <v>3689</v>
      </c>
      <c r="H29" s="915">
        <f t="shared" si="0"/>
        <v>97.851458885941639</v>
      </c>
      <c r="I29" s="850">
        <f t="shared" si="1"/>
        <v>70.387330662087393</v>
      </c>
      <c r="J29" s="142"/>
      <c r="K29" s="143"/>
      <c r="L29" s="128"/>
      <c r="M29" s="119"/>
      <c r="N29" s="481"/>
    </row>
    <row r="30" spans="2:14" ht="15" customHeight="1">
      <c r="B30" s="660">
        <v>715131</v>
      </c>
      <c r="C30" s="661" t="s">
        <v>213</v>
      </c>
      <c r="D30" s="662">
        <v>1310</v>
      </c>
      <c r="E30" s="662">
        <v>1310</v>
      </c>
      <c r="F30" s="662">
        <v>688</v>
      </c>
      <c r="G30" s="663">
        <v>1416</v>
      </c>
      <c r="H30" s="916">
        <f t="shared" si="0"/>
        <v>108.09160305343511</v>
      </c>
      <c r="I30" s="851">
        <f t="shared" si="1"/>
        <v>205.81395348837211</v>
      </c>
      <c r="J30" s="128"/>
      <c r="L30" s="128"/>
    </row>
    <row r="31" spans="2:14" ht="15" customHeight="1">
      <c r="B31" s="660">
        <v>715132</v>
      </c>
      <c r="C31" s="661" t="s">
        <v>428</v>
      </c>
      <c r="D31" s="662">
        <v>10</v>
      </c>
      <c r="E31" s="662">
        <v>10</v>
      </c>
      <c r="F31" s="662">
        <v>0</v>
      </c>
      <c r="G31" s="663">
        <v>0</v>
      </c>
      <c r="H31" s="916">
        <f t="shared" si="0"/>
        <v>0</v>
      </c>
      <c r="I31" s="851" t="str">
        <f t="shared" si="1"/>
        <v/>
      </c>
      <c r="J31" s="128"/>
      <c r="L31" s="128"/>
    </row>
    <row r="32" spans="2:14" ht="15" customHeight="1">
      <c r="B32" s="660">
        <v>715137</v>
      </c>
      <c r="C32" s="661" t="s">
        <v>214</v>
      </c>
      <c r="D32" s="662">
        <v>10</v>
      </c>
      <c r="E32" s="662">
        <v>10</v>
      </c>
      <c r="F32" s="662">
        <v>0</v>
      </c>
      <c r="G32" s="663">
        <v>0</v>
      </c>
      <c r="H32" s="916">
        <f t="shared" si="0"/>
        <v>0</v>
      </c>
      <c r="I32" s="851" t="str">
        <f t="shared" si="1"/>
        <v/>
      </c>
      <c r="J32" s="128"/>
      <c r="L32" s="128"/>
    </row>
    <row r="33" spans="2:14" ht="15" customHeight="1">
      <c r="B33" s="660">
        <v>715141</v>
      </c>
      <c r="C33" s="661" t="s">
        <v>215</v>
      </c>
      <c r="D33" s="662">
        <v>2440</v>
      </c>
      <c r="E33" s="662">
        <v>2440</v>
      </c>
      <c r="F33" s="662">
        <v>4553</v>
      </c>
      <c r="G33" s="663">
        <v>2273</v>
      </c>
      <c r="H33" s="916">
        <f t="shared" si="0"/>
        <v>93.155737704918025</v>
      </c>
      <c r="I33" s="851">
        <f t="shared" si="1"/>
        <v>49.923127608170439</v>
      </c>
      <c r="J33" s="128"/>
      <c r="L33" s="128"/>
    </row>
    <row r="34" spans="2:14" s="84" customFormat="1" ht="15" customHeight="1">
      <c r="B34" s="656">
        <v>715200</v>
      </c>
      <c r="C34" s="670" t="s">
        <v>217</v>
      </c>
      <c r="D34" s="658">
        <f t="shared" ref="D34:E34" si="3">D35</f>
        <v>1090</v>
      </c>
      <c r="E34" s="658">
        <f t="shared" si="3"/>
        <v>1090</v>
      </c>
      <c r="F34" s="658">
        <f>F35</f>
        <v>2041</v>
      </c>
      <c r="G34" s="659">
        <f>G35</f>
        <v>1110</v>
      </c>
      <c r="H34" s="915">
        <f t="shared" si="0"/>
        <v>101.83486238532109</v>
      </c>
      <c r="I34" s="850">
        <f t="shared" si="1"/>
        <v>54.38510534051936</v>
      </c>
      <c r="J34" s="142"/>
      <c r="K34" s="143"/>
      <c r="L34" s="128"/>
      <c r="M34" s="119"/>
      <c r="N34" s="481"/>
    </row>
    <row r="35" spans="2:14" ht="15" customHeight="1">
      <c r="B35" s="660">
        <v>715211</v>
      </c>
      <c r="C35" s="661" t="s">
        <v>218</v>
      </c>
      <c r="D35" s="662">
        <v>1090</v>
      </c>
      <c r="E35" s="662">
        <v>1090</v>
      </c>
      <c r="F35" s="662">
        <v>2041</v>
      </c>
      <c r="G35" s="663">
        <v>1110</v>
      </c>
      <c r="H35" s="916">
        <f t="shared" si="0"/>
        <v>101.83486238532109</v>
      </c>
      <c r="I35" s="851">
        <f t="shared" si="1"/>
        <v>54.38510534051936</v>
      </c>
      <c r="J35" s="128"/>
      <c r="L35" s="128"/>
    </row>
    <row r="36" spans="2:14" s="84" customFormat="1" ht="15" customHeight="1">
      <c r="B36" s="656">
        <v>715900</v>
      </c>
      <c r="C36" s="670" t="s">
        <v>219</v>
      </c>
      <c r="D36" s="658">
        <f t="shared" ref="D36:E36" si="4">D37</f>
        <v>190</v>
      </c>
      <c r="E36" s="658">
        <f t="shared" si="4"/>
        <v>190</v>
      </c>
      <c r="F36" s="658">
        <f>F37</f>
        <v>134</v>
      </c>
      <c r="G36" s="659">
        <f>G37</f>
        <v>164</v>
      </c>
      <c r="H36" s="915">
        <f t="shared" si="0"/>
        <v>86.31578947368422</v>
      </c>
      <c r="I36" s="850">
        <f t="shared" si="1"/>
        <v>122.38805970149254</v>
      </c>
      <c r="J36" s="142"/>
      <c r="K36" s="143"/>
      <c r="L36" s="128"/>
      <c r="M36" s="119"/>
      <c r="N36" s="481"/>
    </row>
    <row r="37" spans="2:14" ht="27" customHeight="1">
      <c r="B37" s="660">
        <v>715914</v>
      </c>
      <c r="C37" s="671" t="s">
        <v>220</v>
      </c>
      <c r="D37" s="664">
        <v>190</v>
      </c>
      <c r="E37" s="664">
        <v>190</v>
      </c>
      <c r="F37" s="664">
        <v>134</v>
      </c>
      <c r="G37" s="665">
        <v>164</v>
      </c>
      <c r="H37" s="916">
        <f t="shared" si="0"/>
        <v>86.31578947368422</v>
      </c>
      <c r="I37" s="851">
        <f t="shared" si="1"/>
        <v>122.38805970149254</v>
      </c>
      <c r="J37" s="128"/>
      <c r="L37" s="128"/>
    </row>
    <row r="38" spans="2:14" s="84" customFormat="1" ht="17.100000000000001" customHeight="1">
      <c r="B38" s="649">
        <v>716000</v>
      </c>
      <c r="C38" s="650" t="s">
        <v>156</v>
      </c>
      <c r="D38" s="654">
        <f>D39</f>
        <v>4130740</v>
      </c>
      <c r="E38" s="654">
        <f>E39</f>
        <v>4130740</v>
      </c>
      <c r="F38" s="654">
        <f>F39</f>
        <v>3398340</v>
      </c>
      <c r="G38" s="655">
        <f>G39</f>
        <v>4158743</v>
      </c>
      <c r="H38" s="914">
        <f t="shared" si="0"/>
        <v>100.67791727390249</v>
      </c>
      <c r="I38" s="849">
        <f t="shared" si="1"/>
        <v>122.37571873326389</v>
      </c>
      <c r="J38" s="142"/>
      <c r="K38" s="142"/>
      <c r="L38" s="128"/>
      <c r="M38" s="119"/>
      <c r="N38" s="481"/>
    </row>
    <row r="39" spans="2:14" s="84" customFormat="1" ht="15" customHeight="1">
      <c r="B39" s="656">
        <v>716100</v>
      </c>
      <c r="C39" s="670" t="s">
        <v>221</v>
      </c>
      <c r="D39" s="658">
        <f t="shared" ref="D39:E39" si="5">SUM(D40:D46)</f>
        <v>4130740</v>
      </c>
      <c r="E39" s="658">
        <f t="shared" si="5"/>
        <v>4130740</v>
      </c>
      <c r="F39" s="658">
        <f>SUM(F40:F46)</f>
        <v>3398340</v>
      </c>
      <c r="G39" s="659">
        <f>SUM(G40:G46)</f>
        <v>4158743</v>
      </c>
      <c r="H39" s="915">
        <f t="shared" si="0"/>
        <v>100.67791727390249</v>
      </c>
      <c r="I39" s="850">
        <f t="shared" si="1"/>
        <v>122.37571873326389</v>
      </c>
      <c r="J39" s="143"/>
      <c r="K39" s="522"/>
      <c r="L39" s="128"/>
      <c r="M39" s="119"/>
      <c r="N39" s="481"/>
    </row>
    <row r="40" spans="2:14" ht="15" customHeight="1">
      <c r="B40" s="660">
        <v>716111</v>
      </c>
      <c r="C40" s="661" t="s">
        <v>223</v>
      </c>
      <c r="D40" s="664">
        <v>3069780</v>
      </c>
      <c r="E40" s="664">
        <v>3069780</v>
      </c>
      <c r="F40" s="664">
        <v>2430934</v>
      </c>
      <c r="G40" s="665">
        <v>3096382</v>
      </c>
      <c r="H40" s="916">
        <f t="shared" si="0"/>
        <v>100.86657675794358</v>
      </c>
      <c r="I40" s="851">
        <f t="shared" si="1"/>
        <v>127.37416976355591</v>
      </c>
      <c r="J40" s="877"/>
      <c r="K40" s="522"/>
      <c r="L40" s="523"/>
      <c r="M40" s="119"/>
    </row>
    <row r="41" spans="2:14" ht="15" customHeight="1">
      <c r="B41" s="660">
        <v>716112</v>
      </c>
      <c r="C41" s="661" t="s">
        <v>224</v>
      </c>
      <c r="D41" s="664">
        <v>183990</v>
      </c>
      <c r="E41" s="664">
        <v>183990</v>
      </c>
      <c r="F41" s="664">
        <v>173096</v>
      </c>
      <c r="G41" s="665">
        <v>192106</v>
      </c>
      <c r="H41" s="916">
        <f t="shared" si="0"/>
        <v>104.41110929941844</v>
      </c>
      <c r="I41" s="851">
        <f t="shared" si="1"/>
        <v>110.98234505707816</v>
      </c>
      <c r="J41" s="877"/>
      <c r="K41" s="522"/>
      <c r="L41" s="523"/>
      <c r="M41" s="119"/>
    </row>
    <row r="42" spans="2:14" ht="15" customHeight="1">
      <c r="B42" s="660">
        <v>716113</v>
      </c>
      <c r="C42" s="661" t="s">
        <v>225</v>
      </c>
      <c r="D42" s="664">
        <v>28180</v>
      </c>
      <c r="E42" s="664">
        <v>28180</v>
      </c>
      <c r="F42" s="664">
        <v>35340</v>
      </c>
      <c r="G42" s="665">
        <v>32758</v>
      </c>
      <c r="H42" s="916">
        <f t="shared" si="0"/>
        <v>116.24556422995032</v>
      </c>
      <c r="I42" s="851">
        <f t="shared" si="1"/>
        <v>92.693831352574989</v>
      </c>
      <c r="J42" s="877"/>
      <c r="K42" s="522"/>
      <c r="L42" s="523"/>
      <c r="M42" s="119"/>
    </row>
    <row r="43" spans="2:14" ht="15" customHeight="1">
      <c r="B43" s="660">
        <v>716114</v>
      </c>
      <c r="C43" s="661" t="s">
        <v>226</v>
      </c>
      <c r="D43" s="664">
        <v>520</v>
      </c>
      <c r="E43" s="664">
        <v>520</v>
      </c>
      <c r="F43" s="664">
        <v>383</v>
      </c>
      <c r="G43" s="665">
        <v>518</v>
      </c>
      <c r="H43" s="916">
        <f t="shared" si="0"/>
        <v>99.615384615384613</v>
      </c>
      <c r="I43" s="851">
        <f t="shared" si="1"/>
        <v>135.24804177545693</v>
      </c>
      <c r="J43" s="877"/>
      <c r="K43" s="522"/>
      <c r="L43" s="523"/>
      <c r="M43" s="119"/>
    </row>
    <row r="44" spans="2:14" ht="25.5" customHeight="1">
      <c r="B44" s="660">
        <v>716115</v>
      </c>
      <c r="C44" s="671" t="s">
        <v>227</v>
      </c>
      <c r="D44" s="664">
        <v>360190</v>
      </c>
      <c r="E44" s="664">
        <v>360190</v>
      </c>
      <c r="F44" s="664">
        <v>358244</v>
      </c>
      <c r="G44" s="665">
        <v>353459</v>
      </c>
      <c r="H44" s="916">
        <f t="shared" si="0"/>
        <v>98.131264055082028</v>
      </c>
      <c r="I44" s="851">
        <f t="shared" si="1"/>
        <v>98.664318174205292</v>
      </c>
      <c r="J44" s="877"/>
      <c r="K44" s="522"/>
      <c r="L44" s="523"/>
      <c r="M44" s="119"/>
    </row>
    <row r="45" spans="2:14" ht="15" customHeight="1">
      <c r="B45" s="660">
        <v>716116</v>
      </c>
      <c r="C45" s="661" t="s">
        <v>228</v>
      </c>
      <c r="D45" s="664">
        <v>275310</v>
      </c>
      <c r="E45" s="664">
        <v>275310</v>
      </c>
      <c r="F45" s="664">
        <v>264355</v>
      </c>
      <c r="G45" s="665">
        <v>295407</v>
      </c>
      <c r="H45" s="916">
        <f t="shared" si="0"/>
        <v>107.29977116704805</v>
      </c>
      <c r="I45" s="851">
        <f t="shared" si="1"/>
        <v>111.74632596319343</v>
      </c>
      <c r="J45" s="877"/>
      <c r="K45" s="522"/>
      <c r="L45" s="523"/>
      <c r="M45" s="119"/>
    </row>
    <row r="46" spans="2:14" ht="15" customHeight="1">
      <c r="B46" s="660">
        <v>716117</v>
      </c>
      <c r="C46" s="661" t="s">
        <v>222</v>
      </c>
      <c r="D46" s="664">
        <v>212770</v>
      </c>
      <c r="E46" s="664">
        <v>212770</v>
      </c>
      <c r="F46" s="664">
        <v>135988</v>
      </c>
      <c r="G46" s="665">
        <v>188113</v>
      </c>
      <c r="H46" s="916">
        <f t="shared" si="0"/>
        <v>88.411430182826521</v>
      </c>
      <c r="I46" s="851">
        <f t="shared" si="1"/>
        <v>138.33058799305823</v>
      </c>
      <c r="J46" s="877"/>
      <c r="K46" s="522"/>
      <c r="L46" s="523"/>
      <c r="M46" s="119"/>
    </row>
    <row r="47" spans="2:14" s="84" customFormat="1" ht="17.100000000000001" customHeight="1">
      <c r="B47" s="649">
        <v>717000</v>
      </c>
      <c r="C47" s="650" t="s">
        <v>157</v>
      </c>
      <c r="D47" s="654">
        <f>D48</f>
        <v>36540950</v>
      </c>
      <c r="E47" s="654">
        <f>E48</f>
        <v>36540950</v>
      </c>
      <c r="F47" s="654">
        <f>F48</f>
        <v>31616173</v>
      </c>
      <c r="G47" s="655">
        <f>G48</f>
        <v>36497178</v>
      </c>
      <c r="H47" s="914">
        <f t="shared" si="0"/>
        <v>99.880211105622593</v>
      </c>
      <c r="I47" s="849">
        <f t="shared" si="1"/>
        <v>115.43831696518107</v>
      </c>
      <c r="J47" s="142"/>
      <c r="K47" s="526"/>
      <c r="L47" s="128"/>
      <c r="M47" s="119"/>
      <c r="N47" s="481"/>
    </row>
    <row r="48" spans="2:14" s="84" customFormat="1" ht="15" customHeight="1">
      <c r="B48" s="656">
        <v>717100</v>
      </c>
      <c r="C48" s="670" t="s">
        <v>229</v>
      </c>
      <c r="D48" s="658">
        <f t="shared" ref="D48:E48" si="6">D49+D52+D53</f>
        <v>36540950</v>
      </c>
      <c r="E48" s="658">
        <f t="shared" si="6"/>
        <v>36540950</v>
      </c>
      <c r="F48" s="658">
        <f>F49+F52+F53</f>
        <v>31616173</v>
      </c>
      <c r="G48" s="659">
        <f>G49+G52+G53</f>
        <v>36497178</v>
      </c>
      <c r="H48" s="915">
        <f t="shared" si="0"/>
        <v>99.880211105622593</v>
      </c>
      <c r="I48" s="850">
        <f t="shared" si="1"/>
        <v>115.43831696518107</v>
      </c>
      <c r="J48" s="142"/>
      <c r="K48" s="526"/>
      <c r="L48" s="128"/>
      <c r="M48" s="119"/>
      <c r="N48" s="481"/>
    </row>
    <row r="49" spans="1:14" ht="15" customHeight="1">
      <c r="B49" s="660">
        <v>717114</v>
      </c>
      <c r="C49" s="661" t="s">
        <v>487</v>
      </c>
      <c r="D49" s="664">
        <f t="shared" ref="D49:E49" si="7">SUM(D50:D51)</f>
        <v>305370</v>
      </c>
      <c r="E49" s="664">
        <f t="shared" si="7"/>
        <v>305370</v>
      </c>
      <c r="F49" s="664">
        <f t="shared" ref="F49" si="8">SUM(F50:F51)</f>
        <v>317205</v>
      </c>
      <c r="G49" s="665">
        <f t="shared" ref="G49" si="9">SUM(G50:G51)</f>
        <v>306376</v>
      </c>
      <c r="H49" s="916">
        <f t="shared" si="0"/>
        <v>100.32943642139045</v>
      </c>
      <c r="I49" s="851">
        <f t="shared" si="1"/>
        <v>96.586119386516614</v>
      </c>
      <c r="J49" s="128"/>
      <c r="K49" s="522"/>
      <c r="L49" s="128"/>
    </row>
    <row r="50" spans="1:14" ht="15" customHeight="1">
      <c r="B50" s="672"/>
      <c r="C50" s="673" t="s">
        <v>755</v>
      </c>
      <c r="D50" s="674">
        <v>0</v>
      </c>
      <c r="E50" s="674">
        <v>0</v>
      </c>
      <c r="F50" s="674"/>
      <c r="G50" s="675">
        <v>0</v>
      </c>
      <c r="H50" s="917" t="str">
        <f t="shared" si="0"/>
        <v/>
      </c>
      <c r="I50" s="852" t="str">
        <f t="shared" si="1"/>
        <v/>
      </c>
      <c r="J50" s="128"/>
      <c r="K50" s="522"/>
      <c r="L50" s="128"/>
    </row>
    <row r="51" spans="1:14" ht="15" customHeight="1">
      <c r="B51" s="672"/>
      <c r="C51" s="673" t="s">
        <v>736</v>
      </c>
      <c r="D51" s="674">
        <v>305370</v>
      </c>
      <c r="E51" s="674">
        <v>305370</v>
      </c>
      <c r="F51" s="674">
        <v>317205</v>
      </c>
      <c r="G51" s="675">
        <v>306376</v>
      </c>
      <c r="H51" s="917">
        <f t="shared" si="0"/>
        <v>100.32943642139045</v>
      </c>
      <c r="I51" s="852">
        <f t="shared" si="1"/>
        <v>96.586119386516614</v>
      </c>
      <c r="J51" s="128"/>
      <c r="K51" s="522"/>
      <c r="L51" s="128"/>
    </row>
    <row r="52" spans="1:14" ht="15" customHeight="1">
      <c r="B52" s="660">
        <v>717121</v>
      </c>
      <c r="C52" s="661" t="s">
        <v>230</v>
      </c>
      <c r="D52" s="664">
        <v>35065760</v>
      </c>
      <c r="E52" s="664">
        <v>35065760</v>
      </c>
      <c r="F52" s="664">
        <v>30851267</v>
      </c>
      <c r="G52" s="665">
        <v>35057778</v>
      </c>
      <c r="H52" s="916">
        <f t="shared" si="0"/>
        <v>99.9772370540379</v>
      </c>
      <c r="I52" s="851">
        <f t="shared" si="1"/>
        <v>113.63480793187522</v>
      </c>
      <c r="J52" s="128"/>
      <c r="K52" s="522"/>
      <c r="L52" s="128"/>
    </row>
    <row r="53" spans="1:14" ht="15" customHeight="1">
      <c r="B53" s="660">
        <v>717131</v>
      </c>
      <c r="C53" s="661" t="s">
        <v>231</v>
      </c>
      <c r="D53" s="664">
        <f t="shared" ref="D53:E53" si="10">D54+D55</f>
        <v>1169820</v>
      </c>
      <c r="E53" s="664">
        <f t="shared" si="10"/>
        <v>1169820</v>
      </c>
      <c r="F53" s="664">
        <f t="shared" ref="F53" si="11">F54+F55</f>
        <v>447701</v>
      </c>
      <c r="G53" s="665">
        <f t="shared" ref="G53" si="12">G54+G55</f>
        <v>1133024</v>
      </c>
      <c r="H53" s="916">
        <f t="shared" si="0"/>
        <v>96.854558821015203</v>
      </c>
      <c r="I53" s="851">
        <f t="shared" si="1"/>
        <v>253.07604852345648</v>
      </c>
      <c r="J53" s="128"/>
      <c r="K53" s="526"/>
      <c r="L53" s="128"/>
    </row>
    <row r="54" spans="1:14" ht="15" customHeight="1">
      <c r="B54" s="672"/>
      <c r="C54" s="673" t="s">
        <v>756</v>
      </c>
      <c r="D54" s="674">
        <f t="shared" ref="D54:E54" si="13">1169820-1017190</f>
        <v>152630</v>
      </c>
      <c r="E54" s="674">
        <f t="shared" si="13"/>
        <v>152630</v>
      </c>
      <c r="F54" s="674">
        <v>0</v>
      </c>
      <c r="G54" s="888">
        <v>109458</v>
      </c>
      <c r="H54" s="917">
        <f t="shared" si="0"/>
        <v>71.714603944178734</v>
      </c>
      <c r="I54" s="852" t="str">
        <f t="shared" si="1"/>
        <v/>
      </c>
      <c r="J54" s="903"/>
      <c r="K54" s="522"/>
      <c r="L54" s="128"/>
    </row>
    <row r="55" spans="1:14" ht="15" customHeight="1">
      <c r="B55" s="672"/>
      <c r="C55" s="673" t="s">
        <v>737</v>
      </c>
      <c r="D55" s="674">
        <v>1017190</v>
      </c>
      <c r="E55" s="674">
        <v>1017190</v>
      </c>
      <c r="F55" s="674">
        <v>447701</v>
      </c>
      <c r="G55" s="675">
        <v>1023566</v>
      </c>
      <c r="H55" s="917">
        <f t="shared" si="0"/>
        <v>100.62682488030752</v>
      </c>
      <c r="I55" s="852">
        <f t="shared" si="1"/>
        <v>228.62714177542603</v>
      </c>
      <c r="J55" s="128"/>
      <c r="K55" s="522"/>
      <c r="L55" s="128"/>
    </row>
    <row r="56" spans="1:14" s="84" customFormat="1" ht="17.100000000000001" customHeight="1">
      <c r="B56" s="649">
        <v>719000</v>
      </c>
      <c r="C56" s="650" t="s">
        <v>158</v>
      </c>
      <c r="D56" s="654">
        <f>D57</f>
        <v>160</v>
      </c>
      <c r="E56" s="654">
        <f>E57</f>
        <v>160</v>
      </c>
      <c r="F56" s="654">
        <f>F57</f>
        <v>12</v>
      </c>
      <c r="G56" s="655">
        <f>G57</f>
        <v>140</v>
      </c>
      <c r="H56" s="914">
        <f t="shared" si="0"/>
        <v>87.5</v>
      </c>
      <c r="I56" s="849">
        <f t="shared" si="1"/>
        <v>1166.6666666666665</v>
      </c>
      <c r="J56" s="142"/>
      <c r="K56" s="527"/>
      <c r="L56" s="128"/>
      <c r="M56" s="119"/>
      <c r="N56" s="481"/>
    </row>
    <row r="57" spans="1:14" s="84" customFormat="1" ht="15" customHeight="1">
      <c r="B57" s="656">
        <v>719100</v>
      </c>
      <c r="C57" s="670" t="s">
        <v>232</v>
      </c>
      <c r="D57" s="658">
        <f>SUM(D58:D60)</f>
        <v>160</v>
      </c>
      <c r="E57" s="658">
        <f>SUM(E58:E60)</f>
        <v>160</v>
      </c>
      <c r="F57" s="658">
        <f>SUM(F58:F60)</f>
        <v>12</v>
      </c>
      <c r="G57" s="659">
        <f>SUM(G58:G60)</f>
        <v>140</v>
      </c>
      <c r="H57" s="915">
        <f t="shared" si="0"/>
        <v>87.5</v>
      </c>
      <c r="I57" s="850">
        <f t="shared" si="1"/>
        <v>1166.6666666666665</v>
      </c>
      <c r="J57" s="142"/>
      <c r="K57" s="526"/>
      <c r="L57" s="128"/>
      <c r="M57" s="119"/>
      <c r="N57" s="481"/>
    </row>
    <row r="58" spans="1:14" ht="15" customHeight="1" thickBot="1">
      <c r="A58" s="100"/>
      <c r="B58" s="660">
        <v>719111</v>
      </c>
      <c r="C58" s="661" t="s">
        <v>232</v>
      </c>
      <c r="D58" s="662">
        <v>140</v>
      </c>
      <c r="E58" s="662">
        <v>140</v>
      </c>
      <c r="F58" s="662">
        <v>0</v>
      </c>
      <c r="G58" s="663">
        <v>130</v>
      </c>
      <c r="H58" s="916">
        <f t="shared" si="0"/>
        <v>92.857142857142861</v>
      </c>
      <c r="I58" s="851" t="str">
        <f t="shared" si="1"/>
        <v/>
      </c>
      <c r="J58" s="128"/>
      <c r="K58" s="526"/>
      <c r="L58" s="128"/>
    </row>
    <row r="59" spans="1:14" ht="15" customHeight="1">
      <c r="B59" s="676">
        <v>719114</v>
      </c>
      <c r="C59" s="677" t="s">
        <v>233</v>
      </c>
      <c r="D59" s="678">
        <v>10</v>
      </c>
      <c r="E59" s="678">
        <v>10</v>
      </c>
      <c r="F59" s="678">
        <v>11</v>
      </c>
      <c r="G59" s="679">
        <v>9</v>
      </c>
      <c r="H59" s="918">
        <f t="shared" si="0"/>
        <v>90</v>
      </c>
      <c r="I59" s="853">
        <f t="shared" si="1"/>
        <v>81.818181818181827</v>
      </c>
      <c r="K59" s="526"/>
      <c r="L59" s="128"/>
    </row>
    <row r="60" spans="1:14" ht="25.5">
      <c r="B60" s="660">
        <v>719115</v>
      </c>
      <c r="C60" s="671" t="s">
        <v>234</v>
      </c>
      <c r="D60" s="664">
        <v>10</v>
      </c>
      <c r="E60" s="664">
        <v>10</v>
      </c>
      <c r="F60" s="664">
        <v>1</v>
      </c>
      <c r="G60" s="665">
        <v>1</v>
      </c>
      <c r="H60" s="919">
        <f t="shared" si="0"/>
        <v>10</v>
      </c>
      <c r="I60" s="854">
        <f t="shared" si="1"/>
        <v>100</v>
      </c>
      <c r="J60" s="144"/>
      <c r="K60" s="526"/>
      <c r="L60" s="128"/>
    </row>
    <row r="61" spans="1:14">
      <c r="B61" s="660"/>
      <c r="C61" s="680"/>
      <c r="D61" s="662"/>
      <c r="E61" s="662"/>
      <c r="F61" s="662"/>
      <c r="G61" s="663"/>
      <c r="H61" s="919" t="str">
        <f t="shared" si="0"/>
        <v/>
      </c>
      <c r="I61" s="854" t="str">
        <f t="shared" si="1"/>
        <v/>
      </c>
      <c r="J61" s="144"/>
      <c r="K61" s="526"/>
      <c r="L61" s="128"/>
    </row>
    <row r="62" spans="1:14" ht="17.100000000000001" customHeight="1">
      <c r="B62" s="649">
        <v>720000</v>
      </c>
      <c r="C62" s="650" t="s">
        <v>153</v>
      </c>
      <c r="D62" s="651">
        <f>D63+D82+D171</f>
        <v>3554000</v>
      </c>
      <c r="E62" s="651">
        <f>E63+E82+E171</f>
        <v>3554000</v>
      </c>
      <c r="F62" s="651">
        <f>F63+F82+F171</f>
        <v>2948110</v>
      </c>
      <c r="G62" s="652">
        <f>G63+G82+G171</f>
        <v>3431562</v>
      </c>
      <c r="H62" s="913">
        <f t="shared" si="0"/>
        <v>96.554924029262807</v>
      </c>
      <c r="I62" s="848">
        <f t="shared" si="1"/>
        <v>116.39870968179613</v>
      </c>
      <c r="J62" s="145"/>
      <c r="K62" s="526"/>
      <c r="L62" s="128"/>
    </row>
    <row r="63" spans="1:14" ht="25.5">
      <c r="B63" s="649">
        <v>721000</v>
      </c>
      <c r="C63" s="681" t="s">
        <v>171</v>
      </c>
      <c r="D63" s="654">
        <f t="shared" ref="D63:E63" si="14">D64+D68+D73+D76+D78+D80</f>
        <v>64980</v>
      </c>
      <c r="E63" s="654">
        <f t="shared" si="14"/>
        <v>64980</v>
      </c>
      <c r="F63" s="654">
        <f t="shared" ref="F63" si="15">F64+F68+F73+F76+F78+F80</f>
        <v>123737</v>
      </c>
      <c r="G63" s="655">
        <f t="shared" ref="G63" si="16">G64+G68+G73+G76+G78+G80</f>
        <v>100465</v>
      </c>
      <c r="H63" s="914">
        <f t="shared" si="0"/>
        <v>154.6091104955371</v>
      </c>
      <c r="I63" s="849">
        <f t="shared" si="1"/>
        <v>81.192367683069733</v>
      </c>
      <c r="K63" s="526"/>
      <c r="L63" s="128"/>
    </row>
    <row r="64" spans="1:14" ht="15" customHeight="1">
      <c r="B64" s="656">
        <v>721100</v>
      </c>
      <c r="C64" s="670" t="s">
        <v>235</v>
      </c>
      <c r="D64" s="658">
        <f t="shared" ref="D64:E64" si="17">SUM(D65:D67)</f>
        <v>50510</v>
      </c>
      <c r="E64" s="658">
        <f t="shared" si="17"/>
        <v>50510</v>
      </c>
      <c r="F64" s="658">
        <f t="shared" ref="F64" si="18">SUM(F65:F67)</f>
        <v>109166</v>
      </c>
      <c r="G64" s="659">
        <f t="shared" ref="G64" si="19">SUM(G65:G67)</f>
        <v>84586</v>
      </c>
      <c r="H64" s="920">
        <f t="shared" si="0"/>
        <v>167.463868540883</v>
      </c>
      <c r="I64" s="855">
        <f t="shared" si="1"/>
        <v>77.483831962332602</v>
      </c>
      <c r="K64" s="526"/>
      <c r="L64" s="128"/>
    </row>
    <row r="65" spans="2:13" ht="15" customHeight="1">
      <c r="B65" s="660">
        <v>721112</v>
      </c>
      <c r="C65" s="661" t="s">
        <v>236</v>
      </c>
      <c r="D65" s="664">
        <v>460</v>
      </c>
      <c r="E65" s="664">
        <v>460</v>
      </c>
      <c r="F65" s="664">
        <v>259</v>
      </c>
      <c r="G65" s="665">
        <v>475</v>
      </c>
      <c r="H65" s="919">
        <f t="shared" si="0"/>
        <v>103.26086956521738</v>
      </c>
      <c r="I65" s="854">
        <f t="shared" si="1"/>
        <v>183.39768339768341</v>
      </c>
      <c r="J65" s="348"/>
      <c r="K65" s="526"/>
      <c r="L65" s="128"/>
    </row>
    <row r="66" spans="2:13" ht="15" customHeight="1">
      <c r="B66" s="660">
        <v>721121</v>
      </c>
      <c r="C66" s="661" t="s">
        <v>600</v>
      </c>
      <c r="D66" s="664">
        <v>50000</v>
      </c>
      <c r="E66" s="664">
        <v>50000</v>
      </c>
      <c r="F66" s="664">
        <v>108907</v>
      </c>
      <c r="G66" s="665">
        <v>84061</v>
      </c>
      <c r="H66" s="919">
        <f t="shared" si="0"/>
        <v>168.12199999999999</v>
      </c>
      <c r="I66" s="854">
        <f t="shared" si="1"/>
        <v>77.186039464864521</v>
      </c>
      <c r="J66" s="348"/>
      <c r="K66" s="526"/>
      <c r="L66" s="128"/>
    </row>
    <row r="67" spans="2:13" ht="15" customHeight="1">
      <c r="B67" s="660">
        <v>721123</v>
      </c>
      <c r="C67" s="661" t="s">
        <v>738</v>
      </c>
      <c r="D67" s="664">
        <v>50</v>
      </c>
      <c r="E67" s="664">
        <v>50</v>
      </c>
      <c r="F67" s="664">
        <v>0</v>
      </c>
      <c r="G67" s="665">
        <v>50</v>
      </c>
      <c r="H67" s="919">
        <f t="shared" si="0"/>
        <v>100</v>
      </c>
      <c r="I67" s="854" t="str">
        <f t="shared" si="1"/>
        <v/>
      </c>
      <c r="J67" s="348"/>
      <c r="K67" s="526"/>
      <c r="L67" s="128"/>
    </row>
    <row r="68" spans="2:13" ht="15" customHeight="1">
      <c r="B68" s="656">
        <v>721200</v>
      </c>
      <c r="C68" s="670" t="s">
        <v>237</v>
      </c>
      <c r="D68" s="658">
        <f>SUM(D69:D72)</f>
        <v>14310</v>
      </c>
      <c r="E68" s="658">
        <f>SUM(E69:E72)</f>
        <v>14310</v>
      </c>
      <c r="F68" s="658">
        <f>SUM(F69:F72)</f>
        <v>14473</v>
      </c>
      <c r="G68" s="659">
        <f>SUM(G69:G72)</f>
        <v>15760</v>
      </c>
      <c r="H68" s="920">
        <f t="shared" si="0"/>
        <v>110.13277428371768</v>
      </c>
      <c r="I68" s="855">
        <f t="shared" si="1"/>
        <v>108.89242036896289</v>
      </c>
      <c r="K68" s="526"/>
      <c r="L68" s="128"/>
    </row>
    <row r="69" spans="2:13" ht="15" customHeight="1">
      <c r="B69" s="660">
        <v>721211</v>
      </c>
      <c r="C69" s="661" t="s">
        <v>238</v>
      </c>
      <c r="D69" s="662">
        <v>420</v>
      </c>
      <c r="E69" s="662">
        <v>420</v>
      </c>
      <c r="F69" s="662">
        <v>452</v>
      </c>
      <c r="G69" s="663">
        <v>443</v>
      </c>
      <c r="H69" s="919">
        <f t="shared" ref="H69:H137" si="20">IF(E69=0,"",G69/E69*100)</f>
        <v>105.47619047619048</v>
      </c>
      <c r="I69" s="854">
        <f t="shared" si="1"/>
        <v>98.008849557522126</v>
      </c>
      <c r="K69" s="526"/>
      <c r="L69" s="128"/>
    </row>
    <row r="70" spans="2:13" ht="15" customHeight="1">
      <c r="B70" s="660">
        <v>721225</v>
      </c>
      <c r="C70" s="661" t="s">
        <v>472</v>
      </c>
      <c r="D70" s="664">
        <v>8130</v>
      </c>
      <c r="E70" s="664">
        <v>8130</v>
      </c>
      <c r="F70" s="664">
        <v>8006</v>
      </c>
      <c r="G70" s="665">
        <v>8121</v>
      </c>
      <c r="H70" s="919">
        <f t="shared" si="20"/>
        <v>99.889298892988933</v>
      </c>
      <c r="I70" s="854">
        <f t="shared" ref="I70:I133" si="21">IF(F70=0,"",G70/F70*100)</f>
        <v>101.43642268298775</v>
      </c>
      <c r="K70" s="526"/>
      <c r="L70" s="128"/>
    </row>
    <row r="71" spans="2:13" ht="15" customHeight="1">
      <c r="B71" s="660">
        <v>721227</v>
      </c>
      <c r="C71" s="661" t="s">
        <v>488</v>
      </c>
      <c r="D71" s="664">
        <f t="shared" ref="D71:E71" si="22">2*2880</f>
        <v>5760</v>
      </c>
      <c r="E71" s="664">
        <f t="shared" si="22"/>
        <v>5760</v>
      </c>
      <c r="F71" s="664">
        <v>5965</v>
      </c>
      <c r="G71" s="665">
        <v>7196</v>
      </c>
      <c r="H71" s="919">
        <f t="shared" si="20"/>
        <v>124.93055555555554</v>
      </c>
      <c r="I71" s="854">
        <f t="shared" si="21"/>
        <v>120.63704945515508</v>
      </c>
      <c r="K71" s="526"/>
      <c r="L71" s="128"/>
    </row>
    <row r="72" spans="2:13" s="882" customFormat="1" ht="15" customHeight="1">
      <c r="B72" s="660">
        <v>721232</v>
      </c>
      <c r="C72" s="661" t="s">
        <v>912</v>
      </c>
      <c r="D72" s="664">
        <v>0</v>
      </c>
      <c r="E72" s="664">
        <v>0</v>
      </c>
      <c r="F72" s="664">
        <v>50</v>
      </c>
      <c r="G72" s="665">
        <v>0</v>
      </c>
      <c r="H72" s="919" t="str">
        <f t="shared" ref="H72" si="23">IF(E72=0,"",G72/E72*100)</f>
        <v/>
      </c>
      <c r="I72" s="854">
        <f t="shared" si="21"/>
        <v>0</v>
      </c>
      <c r="J72" s="117"/>
      <c r="K72" s="526"/>
      <c r="L72" s="128"/>
      <c r="M72" s="117"/>
    </row>
    <row r="73" spans="2:13" ht="15" customHeight="1">
      <c r="B73" s="656">
        <v>721300</v>
      </c>
      <c r="C73" s="670" t="s">
        <v>239</v>
      </c>
      <c r="D73" s="658">
        <f t="shared" ref="D73:E73" si="24">SUM(D74:D75)</f>
        <v>20</v>
      </c>
      <c r="E73" s="658">
        <f t="shared" si="24"/>
        <v>20</v>
      </c>
      <c r="F73" s="658">
        <f>SUM(F74:F75)</f>
        <v>0</v>
      </c>
      <c r="G73" s="659">
        <f>SUM(G74:G75)</f>
        <v>0</v>
      </c>
      <c r="H73" s="920">
        <f t="shared" si="20"/>
        <v>0</v>
      </c>
      <c r="I73" s="855" t="str">
        <f t="shared" si="21"/>
        <v/>
      </c>
      <c r="K73" s="526"/>
      <c r="L73" s="128"/>
    </row>
    <row r="74" spans="2:13" ht="15" customHeight="1">
      <c r="B74" s="660">
        <v>721311</v>
      </c>
      <c r="C74" s="661" t="s">
        <v>606</v>
      </c>
      <c r="D74" s="662">
        <v>10</v>
      </c>
      <c r="E74" s="662">
        <v>10</v>
      </c>
      <c r="F74" s="662">
        <v>0</v>
      </c>
      <c r="G74" s="663">
        <v>0</v>
      </c>
      <c r="H74" s="919">
        <f t="shared" si="20"/>
        <v>0</v>
      </c>
      <c r="I74" s="854" t="str">
        <f t="shared" si="21"/>
        <v/>
      </c>
      <c r="K74" s="526"/>
      <c r="L74" s="128"/>
    </row>
    <row r="75" spans="2:13" ht="15" customHeight="1">
      <c r="B75" s="660">
        <v>721312</v>
      </c>
      <c r="C75" s="661" t="s">
        <v>240</v>
      </c>
      <c r="D75" s="662">
        <v>10</v>
      </c>
      <c r="E75" s="662">
        <v>10</v>
      </c>
      <c r="F75" s="662">
        <v>0</v>
      </c>
      <c r="G75" s="663">
        <v>0</v>
      </c>
      <c r="H75" s="919">
        <f t="shared" si="20"/>
        <v>0</v>
      </c>
      <c r="I75" s="854" t="str">
        <f t="shared" si="21"/>
        <v/>
      </c>
      <c r="K75" s="526"/>
      <c r="L75" s="128"/>
    </row>
    <row r="76" spans="2:13" ht="15" customHeight="1">
      <c r="B76" s="656">
        <v>721500</v>
      </c>
      <c r="C76" s="670" t="s">
        <v>241</v>
      </c>
      <c r="D76" s="658">
        <f t="shared" ref="D76:E76" si="25">D77</f>
        <v>130</v>
      </c>
      <c r="E76" s="658">
        <f t="shared" si="25"/>
        <v>130</v>
      </c>
      <c r="F76" s="658">
        <f>F77</f>
        <v>98</v>
      </c>
      <c r="G76" s="659">
        <f>G77</f>
        <v>119</v>
      </c>
      <c r="H76" s="920">
        <f t="shared" si="20"/>
        <v>91.538461538461533</v>
      </c>
      <c r="I76" s="855">
        <f t="shared" si="21"/>
        <v>121.42857142857142</v>
      </c>
      <c r="K76" s="526"/>
      <c r="L76" s="128"/>
    </row>
    <row r="77" spans="2:13" ht="15" customHeight="1">
      <c r="B77" s="660">
        <v>721511</v>
      </c>
      <c r="C77" s="661" t="s">
        <v>241</v>
      </c>
      <c r="D77" s="662">
        <v>130</v>
      </c>
      <c r="E77" s="662">
        <v>130</v>
      </c>
      <c r="F77" s="662">
        <v>98</v>
      </c>
      <c r="G77" s="663">
        <v>119</v>
      </c>
      <c r="H77" s="919">
        <f t="shared" si="20"/>
        <v>91.538461538461533</v>
      </c>
      <c r="I77" s="854">
        <f t="shared" si="21"/>
        <v>121.42857142857142</v>
      </c>
      <c r="K77" s="526"/>
      <c r="L77" s="128"/>
    </row>
    <row r="78" spans="2:13" s="513" customFormat="1" ht="15" customHeight="1">
      <c r="B78" s="656">
        <v>721600</v>
      </c>
      <c r="C78" s="670" t="s">
        <v>751</v>
      </c>
      <c r="D78" s="658">
        <f t="shared" ref="D78:E78" si="26">D79</f>
        <v>0</v>
      </c>
      <c r="E78" s="658">
        <f t="shared" si="26"/>
        <v>0</v>
      </c>
      <c r="F78" s="658">
        <f>F79</f>
        <v>0</v>
      </c>
      <c r="G78" s="659">
        <f>G79</f>
        <v>0</v>
      </c>
      <c r="H78" s="920" t="str">
        <f t="shared" ref="H78:H79" si="27">IF(E78=0,"",G78/E78*100)</f>
        <v/>
      </c>
      <c r="I78" s="855" t="str">
        <f t="shared" si="21"/>
        <v/>
      </c>
      <c r="J78" s="117"/>
      <c r="K78" s="526"/>
      <c r="L78" s="128"/>
      <c r="M78" s="117"/>
    </row>
    <row r="79" spans="2:13" s="513" customFormat="1" ht="15" customHeight="1">
      <c r="B79" s="660">
        <v>721613</v>
      </c>
      <c r="C79" s="661" t="s">
        <v>752</v>
      </c>
      <c r="D79" s="664">
        <v>0</v>
      </c>
      <c r="E79" s="664">
        <v>0</v>
      </c>
      <c r="F79" s="664">
        <v>0</v>
      </c>
      <c r="G79" s="665">
        <v>0</v>
      </c>
      <c r="H79" s="919" t="str">
        <f t="shared" si="27"/>
        <v/>
      </c>
      <c r="I79" s="854" t="str">
        <f t="shared" si="21"/>
        <v/>
      </c>
      <c r="J79" s="117"/>
      <c r="K79" s="526"/>
      <c r="L79" s="128"/>
      <c r="M79" s="117"/>
    </row>
    <row r="80" spans="2:13" ht="15" customHeight="1">
      <c r="B80" s="656">
        <v>721700</v>
      </c>
      <c r="C80" s="670" t="s">
        <v>740</v>
      </c>
      <c r="D80" s="658">
        <f t="shared" ref="D80:E80" si="28">D81</f>
        <v>10</v>
      </c>
      <c r="E80" s="658">
        <f t="shared" si="28"/>
        <v>10</v>
      </c>
      <c r="F80" s="658">
        <f>F81</f>
        <v>0</v>
      </c>
      <c r="G80" s="659">
        <f>G81</f>
        <v>0</v>
      </c>
      <c r="H80" s="920">
        <f t="shared" si="20"/>
        <v>0</v>
      </c>
      <c r="I80" s="855" t="str">
        <f t="shared" si="21"/>
        <v/>
      </c>
      <c r="K80" s="526"/>
      <c r="L80" s="128"/>
    </row>
    <row r="81" spans="2:16" ht="15" customHeight="1">
      <c r="B81" s="660">
        <v>721712</v>
      </c>
      <c r="C81" s="661" t="s">
        <v>741</v>
      </c>
      <c r="D81" s="662">
        <v>10</v>
      </c>
      <c r="E81" s="662">
        <v>10</v>
      </c>
      <c r="F81" s="662">
        <v>0</v>
      </c>
      <c r="G81" s="663">
        <v>0</v>
      </c>
      <c r="H81" s="919">
        <f t="shared" si="20"/>
        <v>0</v>
      </c>
      <c r="I81" s="854" t="str">
        <f t="shared" si="21"/>
        <v/>
      </c>
      <c r="K81" s="526"/>
      <c r="L81" s="128"/>
    </row>
    <row r="82" spans="2:16" ht="15">
      <c r="B82" s="649">
        <v>722000</v>
      </c>
      <c r="C82" s="653" t="s">
        <v>303</v>
      </c>
      <c r="D82" s="651">
        <f>D83+D85+D87+D104+D156+D164</f>
        <v>2543360</v>
      </c>
      <c r="E82" s="651">
        <f>E83+E85+E87+E104+E156+E164</f>
        <v>2543360</v>
      </c>
      <c r="F82" s="651">
        <f>F83+F85+F87+F104+F156+F164</f>
        <v>2043934</v>
      </c>
      <c r="G82" s="652">
        <f>G83+G85+G87+G104+G156+G164</f>
        <v>2405437</v>
      </c>
      <c r="H82" s="914">
        <f t="shared" si="20"/>
        <v>94.577134184700554</v>
      </c>
      <c r="I82" s="849">
        <f t="shared" si="21"/>
        <v>117.68662784610461</v>
      </c>
      <c r="K82" s="526"/>
      <c r="L82" s="128"/>
    </row>
    <row r="83" spans="2:16" ht="15" customHeight="1">
      <c r="B83" s="656">
        <v>722100</v>
      </c>
      <c r="C83" s="682" t="s">
        <v>242</v>
      </c>
      <c r="D83" s="667">
        <f t="shared" ref="D83:E83" si="29">D84</f>
        <v>124180</v>
      </c>
      <c r="E83" s="667">
        <f t="shared" si="29"/>
        <v>124180</v>
      </c>
      <c r="F83" s="667">
        <f>F84</f>
        <v>114523</v>
      </c>
      <c r="G83" s="668">
        <f>G84</f>
        <v>121577</v>
      </c>
      <c r="H83" s="920">
        <f t="shared" si="20"/>
        <v>97.903849251087124</v>
      </c>
      <c r="I83" s="855">
        <f t="shared" si="21"/>
        <v>106.15946141823041</v>
      </c>
      <c r="K83" s="526"/>
      <c r="L83" s="128"/>
    </row>
    <row r="84" spans="2:16" ht="15" customHeight="1">
      <c r="B84" s="660">
        <v>722121</v>
      </c>
      <c r="C84" s="683" t="s">
        <v>243</v>
      </c>
      <c r="D84" s="664">
        <v>124180</v>
      </c>
      <c r="E84" s="664">
        <v>124180</v>
      </c>
      <c r="F84" s="664">
        <v>114523</v>
      </c>
      <c r="G84" s="665">
        <v>121577</v>
      </c>
      <c r="H84" s="919">
        <f t="shared" si="20"/>
        <v>97.903849251087124</v>
      </c>
      <c r="I84" s="854">
        <f t="shared" si="21"/>
        <v>106.15946141823041</v>
      </c>
      <c r="K84" s="526"/>
      <c r="L84" s="128"/>
    </row>
    <row r="85" spans="2:16" ht="15" customHeight="1">
      <c r="B85" s="656">
        <v>722200</v>
      </c>
      <c r="C85" s="682" t="s">
        <v>244</v>
      </c>
      <c r="D85" s="667">
        <f t="shared" ref="D85:E85" si="30">D86</f>
        <v>439490</v>
      </c>
      <c r="E85" s="667">
        <f t="shared" si="30"/>
        <v>439490</v>
      </c>
      <c r="F85" s="667">
        <f>F86</f>
        <v>381441</v>
      </c>
      <c r="G85" s="668">
        <f>G86</f>
        <v>434434</v>
      </c>
      <c r="H85" s="920">
        <f t="shared" si="20"/>
        <v>98.849575644497037</v>
      </c>
      <c r="I85" s="855">
        <f t="shared" si="21"/>
        <v>113.89284319200085</v>
      </c>
      <c r="K85" s="526"/>
      <c r="L85" s="128"/>
      <c r="M85" s="348"/>
    </row>
    <row r="86" spans="2:16" ht="15" customHeight="1">
      <c r="B86" s="660">
        <v>722221</v>
      </c>
      <c r="C86" s="683" t="s">
        <v>245</v>
      </c>
      <c r="D86" s="664">
        <v>439490</v>
      </c>
      <c r="E86" s="664">
        <v>439490</v>
      </c>
      <c r="F86" s="664">
        <v>381441</v>
      </c>
      <c r="G86" s="665">
        <v>434434</v>
      </c>
      <c r="H86" s="919">
        <f t="shared" si="20"/>
        <v>98.849575644497037</v>
      </c>
      <c r="I86" s="854">
        <f t="shared" si="21"/>
        <v>113.89284319200085</v>
      </c>
      <c r="K86" s="526"/>
      <c r="L86" s="128"/>
    </row>
    <row r="87" spans="2:16" ht="15" customHeight="1">
      <c r="B87" s="656">
        <v>722400</v>
      </c>
      <c r="C87" s="682" t="s">
        <v>246</v>
      </c>
      <c r="D87" s="667">
        <f t="shared" ref="D87:E87" si="31">D88+D95+D98</f>
        <v>432960</v>
      </c>
      <c r="E87" s="667">
        <f t="shared" si="31"/>
        <v>432960</v>
      </c>
      <c r="F87" s="667">
        <f>F88+F95+F98</f>
        <v>146702</v>
      </c>
      <c r="G87" s="668">
        <f>G88+G95+G98</f>
        <v>369779</v>
      </c>
      <c r="H87" s="920">
        <f t="shared" si="20"/>
        <v>85.407196969696969</v>
      </c>
      <c r="I87" s="855">
        <f t="shared" si="21"/>
        <v>252.06132159070771</v>
      </c>
      <c r="K87" s="526"/>
      <c r="L87" s="128"/>
      <c r="P87" s="57"/>
    </row>
    <row r="88" spans="2:16" ht="15" customHeight="1">
      <c r="B88" s="684">
        <v>722420</v>
      </c>
      <c r="C88" s="685" t="s">
        <v>247</v>
      </c>
      <c r="D88" s="686">
        <f t="shared" ref="D88:E88" si="32">D89+D90+D93+D94</f>
        <v>313320</v>
      </c>
      <c r="E88" s="686">
        <f t="shared" si="32"/>
        <v>313320</v>
      </c>
      <c r="F88" s="686">
        <f>F89+F90+F93+F94</f>
        <v>45836</v>
      </c>
      <c r="G88" s="687">
        <f>G89+G90+G93+G94</f>
        <v>270209</v>
      </c>
      <c r="H88" s="920">
        <f t="shared" si="20"/>
        <v>86.240584705732161</v>
      </c>
      <c r="I88" s="855">
        <f t="shared" si="21"/>
        <v>589.51261017540799</v>
      </c>
      <c r="K88" s="526"/>
      <c r="L88" s="128"/>
    </row>
    <row r="89" spans="2:16" ht="15" customHeight="1">
      <c r="B89" s="660">
        <v>722421</v>
      </c>
      <c r="C89" s="683" t="s">
        <v>247</v>
      </c>
      <c r="D89" s="664">
        <v>0</v>
      </c>
      <c r="E89" s="664">
        <v>0</v>
      </c>
      <c r="F89" s="664">
        <v>4199</v>
      </c>
      <c r="G89" s="665">
        <v>0</v>
      </c>
      <c r="H89" s="919" t="str">
        <f t="shared" si="20"/>
        <v/>
      </c>
      <c r="I89" s="854">
        <f t="shared" si="21"/>
        <v>0</v>
      </c>
      <c r="K89" s="526"/>
      <c r="L89" s="128"/>
    </row>
    <row r="90" spans="2:16" ht="15" customHeight="1">
      <c r="B90" s="660">
        <v>722422</v>
      </c>
      <c r="C90" s="683" t="s">
        <v>310</v>
      </c>
      <c r="D90" s="664">
        <f t="shared" ref="D90:E90" si="33">SUM(D91:D92)</f>
        <v>300000</v>
      </c>
      <c r="E90" s="664">
        <f t="shared" si="33"/>
        <v>300000</v>
      </c>
      <c r="F90" s="664">
        <f t="shared" ref="F90" si="34">SUM(F91:F92)</f>
        <v>32763</v>
      </c>
      <c r="G90" s="665">
        <f t="shared" ref="G90" si="35">SUM(G91:G92)</f>
        <v>257906</v>
      </c>
      <c r="H90" s="919">
        <f t="shared" si="20"/>
        <v>85.968666666666678</v>
      </c>
      <c r="I90" s="854">
        <f t="shared" si="21"/>
        <v>787.18676555870945</v>
      </c>
      <c r="K90" s="526"/>
      <c r="L90" s="128"/>
    </row>
    <row r="91" spans="2:16" s="461" customFormat="1" ht="15" customHeight="1">
      <c r="B91" s="672"/>
      <c r="C91" s="688" t="s">
        <v>757</v>
      </c>
      <c r="D91" s="674">
        <v>37260</v>
      </c>
      <c r="E91" s="674">
        <v>37260</v>
      </c>
      <c r="F91" s="674">
        <v>0</v>
      </c>
      <c r="G91" s="675">
        <v>0</v>
      </c>
      <c r="H91" s="921">
        <f t="shared" si="20"/>
        <v>0</v>
      </c>
      <c r="I91" s="856" t="str">
        <f t="shared" si="21"/>
        <v/>
      </c>
      <c r="J91" s="462"/>
      <c r="K91" s="528"/>
      <c r="L91" s="463"/>
      <c r="M91" s="462"/>
    </row>
    <row r="92" spans="2:16" s="461" customFormat="1" ht="15" customHeight="1">
      <c r="B92" s="672"/>
      <c r="C92" s="688" t="s">
        <v>739</v>
      </c>
      <c r="D92" s="674">
        <v>262740</v>
      </c>
      <c r="E92" s="674">
        <v>262740</v>
      </c>
      <c r="F92" s="674">
        <v>32763</v>
      </c>
      <c r="G92" s="888">
        <f>261867-3961</f>
        <v>257906</v>
      </c>
      <c r="H92" s="921">
        <f t="shared" si="20"/>
        <v>98.16015833143031</v>
      </c>
      <c r="I92" s="856">
        <f t="shared" si="21"/>
        <v>787.18676555870945</v>
      </c>
      <c r="J92" s="901"/>
      <c r="K92" s="528"/>
      <c r="L92" s="463"/>
      <c r="M92" s="462"/>
    </row>
    <row r="93" spans="2:16" ht="15" customHeight="1">
      <c r="B93" s="660">
        <v>722424</v>
      </c>
      <c r="C93" s="683" t="s">
        <v>250</v>
      </c>
      <c r="D93" s="664">
        <v>8310</v>
      </c>
      <c r="E93" s="664">
        <v>8310</v>
      </c>
      <c r="F93" s="664">
        <v>7374</v>
      </c>
      <c r="G93" s="665">
        <v>8003</v>
      </c>
      <c r="H93" s="919">
        <f t="shared" si="20"/>
        <v>96.305655836341757</v>
      </c>
      <c r="I93" s="854">
        <f t="shared" si="21"/>
        <v>108.52997016544617</v>
      </c>
      <c r="K93" s="526"/>
      <c r="L93" s="128"/>
    </row>
    <row r="94" spans="2:16" ht="15" customHeight="1">
      <c r="B94" s="660">
        <v>722429</v>
      </c>
      <c r="C94" s="683" t="s">
        <v>248</v>
      </c>
      <c r="D94" s="664">
        <v>5010</v>
      </c>
      <c r="E94" s="664">
        <v>5010</v>
      </c>
      <c r="F94" s="664">
        <v>1500</v>
      </c>
      <c r="G94" s="665">
        <v>4300</v>
      </c>
      <c r="H94" s="919">
        <f t="shared" si="20"/>
        <v>85.828343313373253</v>
      </c>
      <c r="I94" s="854">
        <f t="shared" si="21"/>
        <v>286.66666666666669</v>
      </c>
      <c r="K94" s="526"/>
      <c r="L94" s="128"/>
    </row>
    <row r="95" spans="2:16" ht="15" customHeight="1">
      <c r="B95" s="684">
        <v>722450</v>
      </c>
      <c r="C95" s="685" t="s">
        <v>249</v>
      </c>
      <c r="D95" s="686">
        <f t="shared" ref="D95:E95" si="36">SUM(D96:D97)</f>
        <v>7140</v>
      </c>
      <c r="E95" s="686">
        <f t="shared" si="36"/>
        <v>7140</v>
      </c>
      <c r="F95" s="686">
        <f>SUM(F96:F97)</f>
        <v>2429</v>
      </c>
      <c r="G95" s="687">
        <f>SUM(G96:G97)</f>
        <v>6938</v>
      </c>
      <c r="H95" s="920">
        <f t="shared" si="20"/>
        <v>97.170868347338939</v>
      </c>
      <c r="I95" s="855">
        <f t="shared" si="21"/>
        <v>285.63194730341706</v>
      </c>
      <c r="K95" s="526"/>
      <c r="L95" s="128"/>
    </row>
    <row r="96" spans="2:16" ht="15" customHeight="1">
      <c r="B96" s="660">
        <v>722451</v>
      </c>
      <c r="C96" s="683" t="s">
        <v>251</v>
      </c>
      <c r="D96" s="664">
        <v>7140</v>
      </c>
      <c r="E96" s="664">
        <v>7140</v>
      </c>
      <c r="F96" s="664">
        <v>2429</v>
      </c>
      <c r="G96" s="665">
        <v>6938</v>
      </c>
      <c r="H96" s="919">
        <f t="shared" si="20"/>
        <v>97.170868347338939</v>
      </c>
      <c r="I96" s="854">
        <f t="shared" si="21"/>
        <v>285.63194730341706</v>
      </c>
      <c r="K96" s="526"/>
      <c r="L96" s="128"/>
    </row>
    <row r="97" spans="2:13" ht="15" customHeight="1">
      <c r="B97" s="660">
        <v>722454</v>
      </c>
      <c r="C97" s="683" t="s">
        <v>252</v>
      </c>
      <c r="D97" s="664">
        <v>0</v>
      </c>
      <c r="E97" s="664">
        <v>0</v>
      </c>
      <c r="F97" s="664">
        <v>0</v>
      </c>
      <c r="G97" s="665">
        <v>0</v>
      </c>
      <c r="H97" s="919" t="str">
        <f t="shared" si="20"/>
        <v/>
      </c>
      <c r="I97" s="854" t="str">
        <f t="shared" si="21"/>
        <v/>
      </c>
      <c r="K97" s="526"/>
      <c r="L97" s="128"/>
    </row>
    <row r="98" spans="2:13" ht="25.5">
      <c r="B98" s="684">
        <v>722470</v>
      </c>
      <c r="C98" s="689" t="s">
        <v>304</v>
      </c>
      <c r="D98" s="686">
        <f t="shared" ref="D98:E98" si="37">D99+D102+D103</f>
        <v>112500</v>
      </c>
      <c r="E98" s="686">
        <f t="shared" si="37"/>
        <v>112500</v>
      </c>
      <c r="F98" s="686">
        <f>F99+F102+F103</f>
        <v>98437</v>
      </c>
      <c r="G98" s="687">
        <f>G99+G102+G103</f>
        <v>92632</v>
      </c>
      <c r="H98" s="920">
        <f t="shared" si="20"/>
        <v>82.339555555555549</v>
      </c>
      <c r="I98" s="855">
        <f t="shared" si="21"/>
        <v>94.102827188963502</v>
      </c>
      <c r="K98" s="526"/>
      <c r="L98" s="128"/>
    </row>
    <row r="99" spans="2:13" ht="15" customHeight="1">
      <c r="B99" s="660">
        <v>722471</v>
      </c>
      <c r="C99" s="683" t="s">
        <v>253</v>
      </c>
      <c r="D99" s="664">
        <f t="shared" ref="D99:E99" si="38">SUM(D100:D101)</f>
        <v>60440</v>
      </c>
      <c r="E99" s="664">
        <f t="shared" si="38"/>
        <v>60440</v>
      </c>
      <c r="F99" s="664">
        <f t="shared" ref="F99" si="39">SUM(F100:F101)</f>
        <v>61386</v>
      </c>
      <c r="G99" s="665">
        <f t="shared" ref="G99" si="40">SUM(G100:G101)</f>
        <v>44480</v>
      </c>
      <c r="H99" s="919">
        <f t="shared" si="20"/>
        <v>73.593646591661155</v>
      </c>
      <c r="I99" s="854">
        <f t="shared" si="21"/>
        <v>72.45951845697715</v>
      </c>
      <c r="K99" s="526"/>
      <c r="L99" s="128"/>
    </row>
    <row r="100" spans="2:13" s="461" customFormat="1" ht="15" customHeight="1">
      <c r="B100" s="672"/>
      <c r="C100" s="688" t="s">
        <v>758</v>
      </c>
      <c r="D100" s="674">
        <v>0</v>
      </c>
      <c r="E100" s="674">
        <v>0</v>
      </c>
      <c r="F100" s="674">
        <v>0</v>
      </c>
      <c r="G100" s="675">
        <v>0</v>
      </c>
      <c r="H100" s="921" t="str">
        <f t="shared" si="20"/>
        <v/>
      </c>
      <c r="I100" s="856" t="str">
        <f t="shared" si="21"/>
        <v/>
      </c>
      <c r="J100" s="462"/>
      <c r="K100" s="528"/>
      <c r="L100" s="463"/>
      <c r="M100" s="462"/>
    </row>
    <row r="101" spans="2:13" s="461" customFormat="1" ht="15" customHeight="1">
      <c r="B101" s="672"/>
      <c r="C101" s="688" t="s">
        <v>739</v>
      </c>
      <c r="D101" s="674">
        <v>60440</v>
      </c>
      <c r="E101" s="674">
        <v>60440</v>
      </c>
      <c r="F101" s="674">
        <v>61386</v>
      </c>
      <c r="G101" s="888">
        <f>125738-81258</f>
        <v>44480</v>
      </c>
      <c r="H101" s="921">
        <f t="shared" si="20"/>
        <v>73.593646591661155</v>
      </c>
      <c r="I101" s="856">
        <f t="shared" si="21"/>
        <v>72.45951845697715</v>
      </c>
      <c r="J101" s="901"/>
      <c r="K101" s="528"/>
      <c r="L101" s="463"/>
      <c r="M101" s="462"/>
    </row>
    <row r="102" spans="2:13" ht="25.5">
      <c r="B102" s="660">
        <v>722472</v>
      </c>
      <c r="C102" s="690" t="s">
        <v>254</v>
      </c>
      <c r="D102" s="664">
        <v>40460</v>
      </c>
      <c r="E102" s="664">
        <v>40460</v>
      </c>
      <c r="F102" s="664">
        <v>37051</v>
      </c>
      <c r="G102" s="665">
        <v>36597</v>
      </c>
      <c r="H102" s="919">
        <f t="shared" si="20"/>
        <v>90.452298566485425</v>
      </c>
      <c r="I102" s="854">
        <f t="shared" si="21"/>
        <v>98.774661952443935</v>
      </c>
      <c r="K102" s="526"/>
      <c r="L102" s="128"/>
    </row>
    <row r="103" spans="2:13" ht="17.100000000000001" customHeight="1">
      <c r="B103" s="660">
        <v>722479</v>
      </c>
      <c r="C103" s="690" t="s">
        <v>473</v>
      </c>
      <c r="D103" s="664">
        <v>11600</v>
      </c>
      <c r="E103" s="664">
        <v>11600</v>
      </c>
      <c r="F103" s="664">
        <v>0</v>
      </c>
      <c r="G103" s="665">
        <v>11555</v>
      </c>
      <c r="H103" s="919">
        <f t="shared" si="20"/>
        <v>99.612068965517238</v>
      </c>
      <c r="I103" s="854" t="str">
        <f t="shared" si="21"/>
        <v/>
      </c>
      <c r="K103" s="526"/>
      <c r="L103" s="128"/>
    </row>
    <row r="104" spans="2:13" ht="17.100000000000001" customHeight="1">
      <c r="B104" s="656">
        <v>722500</v>
      </c>
      <c r="C104" s="682" t="s">
        <v>479</v>
      </c>
      <c r="D104" s="667">
        <f t="shared" ref="D104:E104" si="41">D105+D110+D124+D129+D131+D141</f>
        <v>1122770</v>
      </c>
      <c r="E104" s="667">
        <f t="shared" si="41"/>
        <v>1122770</v>
      </c>
      <c r="F104" s="667">
        <f>F105+F110+F124+F129+F131+F141</f>
        <v>1015175</v>
      </c>
      <c r="G104" s="668">
        <f>G105+G110+G124+G129+G131+G141</f>
        <v>1069218</v>
      </c>
      <c r="H104" s="920">
        <f t="shared" si="20"/>
        <v>95.23036775118679</v>
      </c>
      <c r="I104" s="855">
        <f t="shared" si="21"/>
        <v>105.32351565001107</v>
      </c>
      <c r="K104" s="526"/>
      <c r="L104" s="128"/>
    </row>
    <row r="105" spans="2:13" ht="27" customHeight="1">
      <c r="B105" s="684">
        <v>722510</v>
      </c>
      <c r="C105" s="691" t="s">
        <v>305</v>
      </c>
      <c r="D105" s="686">
        <f t="shared" ref="D105:E105" si="42">SUM(D106:D109)</f>
        <v>12950</v>
      </c>
      <c r="E105" s="686">
        <f t="shared" si="42"/>
        <v>12950</v>
      </c>
      <c r="F105" s="686">
        <f t="shared" ref="F105" si="43">SUM(F106:F109)</f>
        <v>11366</v>
      </c>
      <c r="G105" s="687">
        <f t="shared" ref="G105" si="44">SUM(G106:G109)</f>
        <v>12985</v>
      </c>
      <c r="H105" s="920">
        <f t="shared" si="20"/>
        <v>100.27027027027027</v>
      </c>
      <c r="I105" s="855">
        <f t="shared" si="21"/>
        <v>114.24423719866267</v>
      </c>
      <c r="K105" s="526"/>
      <c r="L105" s="128"/>
    </row>
    <row r="106" spans="2:13" ht="25.5">
      <c r="B106" s="660">
        <v>722511</v>
      </c>
      <c r="C106" s="692" t="s">
        <v>489</v>
      </c>
      <c r="D106" s="664">
        <v>30</v>
      </c>
      <c r="E106" s="664">
        <v>30</v>
      </c>
      <c r="F106" s="664">
        <v>10</v>
      </c>
      <c r="G106" s="665">
        <v>24</v>
      </c>
      <c r="H106" s="919">
        <f t="shared" si="20"/>
        <v>80</v>
      </c>
      <c r="I106" s="854">
        <f t="shared" si="21"/>
        <v>240</v>
      </c>
      <c r="K106" s="526"/>
      <c r="L106" s="128"/>
    </row>
    <row r="107" spans="2:13" ht="25.5">
      <c r="B107" s="660">
        <v>722514</v>
      </c>
      <c r="C107" s="692" t="s">
        <v>269</v>
      </c>
      <c r="D107" s="664">
        <v>2080</v>
      </c>
      <c r="E107" s="664">
        <v>2080</v>
      </c>
      <c r="F107" s="664">
        <v>2240</v>
      </c>
      <c r="G107" s="665">
        <v>2011</v>
      </c>
      <c r="H107" s="919">
        <f t="shared" si="20"/>
        <v>96.682692307692307</v>
      </c>
      <c r="I107" s="854">
        <f t="shared" si="21"/>
        <v>89.776785714285708</v>
      </c>
      <c r="K107" s="526"/>
      <c r="L107" s="128"/>
    </row>
    <row r="108" spans="2:13" ht="15" customHeight="1">
      <c r="B108" s="660">
        <v>722515</v>
      </c>
      <c r="C108" s="693" t="s">
        <v>255</v>
      </c>
      <c r="D108" s="664">
        <v>10810</v>
      </c>
      <c r="E108" s="664">
        <v>10810</v>
      </c>
      <c r="F108" s="664">
        <v>9111</v>
      </c>
      <c r="G108" s="665">
        <v>10912</v>
      </c>
      <c r="H108" s="919">
        <f t="shared" si="20"/>
        <v>100.94357076780757</v>
      </c>
      <c r="I108" s="854">
        <f t="shared" si="21"/>
        <v>119.76731423553946</v>
      </c>
      <c r="K108" s="526"/>
      <c r="L108" s="128"/>
    </row>
    <row r="109" spans="2:13" ht="15" customHeight="1">
      <c r="B109" s="660">
        <v>722516</v>
      </c>
      <c r="C109" s="693" t="s">
        <v>256</v>
      </c>
      <c r="D109" s="664">
        <v>30</v>
      </c>
      <c r="E109" s="664">
        <v>30</v>
      </c>
      <c r="F109" s="664">
        <v>5</v>
      </c>
      <c r="G109" s="665">
        <v>38</v>
      </c>
      <c r="H109" s="919">
        <f t="shared" si="20"/>
        <v>126.66666666666666</v>
      </c>
      <c r="I109" s="854">
        <f t="shared" si="21"/>
        <v>760</v>
      </c>
      <c r="K109" s="526"/>
      <c r="L109" s="128"/>
    </row>
    <row r="110" spans="2:13" ht="15" customHeight="1">
      <c r="B110" s="684">
        <v>722520</v>
      </c>
      <c r="C110" s="694" t="s">
        <v>257</v>
      </c>
      <c r="D110" s="686">
        <f t="shared" ref="D110:E110" si="45">D111+D114+D115+D116+D117+D118+D119+D122+D123</f>
        <v>352060</v>
      </c>
      <c r="E110" s="686">
        <f t="shared" si="45"/>
        <v>352060</v>
      </c>
      <c r="F110" s="686">
        <f>F111+F114+F115+F116+F117+F118+F119+F122+F123</f>
        <v>317845</v>
      </c>
      <c r="G110" s="687">
        <f t="shared" ref="G110" si="46">G111+G114+G115+G116+G117+G118+G119+G122+G123</f>
        <v>339436</v>
      </c>
      <c r="H110" s="920">
        <f t="shared" si="20"/>
        <v>96.41424757143669</v>
      </c>
      <c r="I110" s="855">
        <f t="shared" si="21"/>
        <v>106.7929336626343</v>
      </c>
      <c r="K110" s="526"/>
      <c r="L110" s="128"/>
    </row>
    <row r="111" spans="2:13" ht="25.5">
      <c r="B111" s="660">
        <v>722521</v>
      </c>
      <c r="C111" s="692" t="s">
        <v>270</v>
      </c>
      <c r="D111" s="664">
        <f t="shared" ref="D111:E111" si="47">D112+D113</f>
        <v>148430</v>
      </c>
      <c r="E111" s="664">
        <f t="shared" si="47"/>
        <v>148430</v>
      </c>
      <c r="F111" s="664">
        <f t="shared" ref="F111" si="48">F112+F113</f>
        <v>118276</v>
      </c>
      <c r="G111" s="665">
        <f t="shared" ref="G111" si="49">G112+G113</f>
        <v>130768</v>
      </c>
      <c r="H111" s="919">
        <f t="shared" si="20"/>
        <v>88.100788250353702</v>
      </c>
      <c r="I111" s="854">
        <f t="shared" si="21"/>
        <v>110.56173695424263</v>
      </c>
      <c r="K111" s="526"/>
      <c r="L111" s="128"/>
    </row>
    <row r="112" spans="2:13" s="461" customFormat="1" ht="15" customHeight="1">
      <c r="B112" s="672"/>
      <c r="C112" s="688" t="s">
        <v>759</v>
      </c>
      <c r="D112" s="674">
        <v>52360</v>
      </c>
      <c r="E112" s="674">
        <v>52360</v>
      </c>
      <c r="F112" s="674">
        <v>20848</v>
      </c>
      <c r="G112" s="888">
        <v>32503</v>
      </c>
      <c r="H112" s="921">
        <f t="shared" si="20"/>
        <v>62.076012223071039</v>
      </c>
      <c r="I112" s="856">
        <f t="shared" si="21"/>
        <v>155.90464313123562</v>
      </c>
      <c r="J112" s="901"/>
      <c r="K112" s="528"/>
      <c r="L112" s="463"/>
      <c r="M112" s="462"/>
    </row>
    <row r="113" spans="2:13" s="461" customFormat="1" ht="15" customHeight="1">
      <c r="B113" s="672"/>
      <c r="C113" s="688" t="s">
        <v>599</v>
      </c>
      <c r="D113" s="674">
        <v>96070</v>
      </c>
      <c r="E113" s="674">
        <v>96070</v>
      </c>
      <c r="F113" s="674">
        <v>97428</v>
      </c>
      <c r="G113" s="675">
        <v>98265</v>
      </c>
      <c r="H113" s="921">
        <f t="shared" si="20"/>
        <v>102.28479233891954</v>
      </c>
      <c r="I113" s="856">
        <f t="shared" si="21"/>
        <v>100.85909594777682</v>
      </c>
      <c r="J113" s="462"/>
      <c r="K113" s="528"/>
      <c r="L113" s="463"/>
      <c r="M113" s="462"/>
    </row>
    <row r="114" spans="2:13" ht="25.5" customHeight="1">
      <c r="B114" s="676">
        <v>722522</v>
      </c>
      <c r="C114" s="695" t="s">
        <v>271</v>
      </c>
      <c r="D114" s="678">
        <v>25590</v>
      </c>
      <c r="E114" s="678">
        <v>25590</v>
      </c>
      <c r="F114" s="678">
        <v>24892</v>
      </c>
      <c r="G114" s="679">
        <v>27394</v>
      </c>
      <c r="H114" s="922">
        <f t="shared" si="20"/>
        <v>107.04962876123486</v>
      </c>
      <c r="I114" s="857">
        <f t="shared" si="21"/>
        <v>110.05142214366062</v>
      </c>
      <c r="K114" s="526"/>
      <c r="L114" s="128"/>
    </row>
    <row r="115" spans="2:13" ht="25.5">
      <c r="B115" s="660">
        <v>722523</v>
      </c>
      <c r="C115" s="692" t="s">
        <v>272</v>
      </c>
      <c r="D115" s="664">
        <v>5690</v>
      </c>
      <c r="E115" s="664">
        <v>5690</v>
      </c>
      <c r="F115" s="664">
        <v>5240</v>
      </c>
      <c r="G115" s="665">
        <v>5911</v>
      </c>
      <c r="H115" s="916">
        <f t="shared" si="20"/>
        <v>103.88400702987697</v>
      </c>
      <c r="I115" s="851">
        <f t="shared" si="21"/>
        <v>112.80534351145037</v>
      </c>
      <c r="K115" s="526"/>
      <c r="L115" s="128"/>
    </row>
    <row r="116" spans="2:13" ht="27" customHeight="1">
      <c r="B116" s="660">
        <v>722524</v>
      </c>
      <c r="C116" s="692" t="s">
        <v>476</v>
      </c>
      <c r="D116" s="664">
        <v>20</v>
      </c>
      <c r="E116" s="664">
        <v>20</v>
      </c>
      <c r="F116" s="664">
        <v>477</v>
      </c>
      <c r="G116" s="665">
        <v>10</v>
      </c>
      <c r="H116" s="916">
        <f t="shared" si="20"/>
        <v>50</v>
      </c>
      <c r="I116" s="851">
        <f t="shared" si="21"/>
        <v>2.0964360587002098</v>
      </c>
      <c r="K116" s="526"/>
      <c r="L116" s="128"/>
    </row>
    <row r="117" spans="2:13" ht="25.5">
      <c r="B117" s="660">
        <v>722525</v>
      </c>
      <c r="C117" s="692" t="s">
        <v>475</v>
      </c>
      <c r="D117" s="664">
        <v>120</v>
      </c>
      <c r="E117" s="664">
        <v>120</v>
      </c>
      <c r="F117" s="664">
        <v>125</v>
      </c>
      <c r="G117" s="665">
        <v>117</v>
      </c>
      <c r="H117" s="916">
        <f t="shared" si="20"/>
        <v>97.5</v>
      </c>
      <c r="I117" s="851">
        <f t="shared" si="21"/>
        <v>93.600000000000009</v>
      </c>
      <c r="K117" s="526"/>
      <c r="L117" s="128"/>
    </row>
    <row r="118" spans="2:13" ht="25.5">
      <c r="B118" s="660">
        <v>722526</v>
      </c>
      <c r="C118" s="692" t="s">
        <v>478</v>
      </c>
      <c r="D118" s="664">
        <v>0</v>
      </c>
      <c r="E118" s="664">
        <v>0</v>
      </c>
      <c r="F118" s="664">
        <v>0</v>
      </c>
      <c r="G118" s="665">
        <v>0</v>
      </c>
      <c r="H118" s="916" t="str">
        <f t="shared" si="20"/>
        <v/>
      </c>
      <c r="I118" s="851" t="str">
        <f t="shared" si="21"/>
        <v/>
      </c>
      <c r="K118" s="526"/>
      <c r="L118" s="128"/>
    </row>
    <row r="119" spans="2:13" ht="15" customHeight="1">
      <c r="B119" s="660">
        <v>722527</v>
      </c>
      <c r="C119" s="693" t="s">
        <v>429</v>
      </c>
      <c r="D119" s="664">
        <f t="shared" ref="D119:E119" si="50">D120+D121</f>
        <v>57550</v>
      </c>
      <c r="E119" s="664">
        <f t="shared" si="50"/>
        <v>57550</v>
      </c>
      <c r="F119" s="664">
        <f>F120+F121</f>
        <v>81587</v>
      </c>
      <c r="G119" s="665">
        <f t="shared" ref="G119" si="51">G120+G121</f>
        <v>57550</v>
      </c>
      <c r="H119" s="916">
        <f t="shared" si="20"/>
        <v>100</v>
      </c>
      <c r="I119" s="851">
        <f t="shared" si="21"/>
        <v>70.538198487504133</v>
      </c>
      <c r="J119" s="862"/>
      <c r="K119" s="526"/>
      <c r="L119" s="128"/>
    </row>
    <row r="120" spans="2:13" s="868" customFormat="1" ht="15" customHeight="1">
      <c r="B120" s="660"/>
      <c r="C120" s="688" t="s">
        <v>759</v>
      </c>
      <c r="D120" s="674">
        <v>46010</v>
      </c>
      <c r="E120" s="674">
        <v>46010</v>
      </c>
      <c r="F120" s="674">
        <v>0</v>
      </c>
      <c r="G120" s="888">
        <v>46016</v>
      </c>
      <c r="H120" s="916">
        <f t="shared" ref="H120" si="52">IF(E120=0,"",G120/E120*100)</f>
        <v>100.0130406433384</v>
      </c>
      <c r="I120" s="851" t="str">
        <f t="shared" si="21"/>
        <v/>
      </c>
      <c r="J120" s="902"/>
      <c r="K120" s="526"/>
      <c r="L120" s="128"/>
      <c r="M120" s="117"/>
    </row>
    <row r="121" spans="2:13" s="868" customFormat="1" ht="15" customHeight="1">
      <c r="B121" s="660"/>
      <c r="C121" s="688" t="s">
        <v>599</v>
      </c>
      <c r="D121" s="674">
        <v>11540</v>
      </c>
      <c r="E121" s="674">
        <v>11540</v>
      </c>
      <c r="F121" s="674">
        <v>81587</v>
      </c>
      <c r="G121" s="675">
        <v>11534</v>
      </c>
      <c r="H121" s="916">
        <f t="shared" ref="H121" si="53">IF(E121=0,"",G121/E121*100)</f>
        <v>99.948006932409015</v>
      </c>
      <c r="I121" s="851">
        <f t="shared" si="21"/>
        <v>14.137056148651133</v>
      </c>
      <c r="J121" s="862"/>
      <c r="K121" s="526"/>
      <c r="L121" s="128"/>
      <c r="M121" s="117"/>
    </row>
    <row r="122" spans="2:13" ht="15" customHeight="1">
      <c r="B122" s="660">
        <v>722528</v>
      </c>
      <c r="C122" s="693" t="s">
        <v>258</v>
      </c>
      <c r="D122" s="664">
        <v>470</v>
      </c>
      <c r="E122" s="664">
        <v>470</v>
      </c>
      <c r="F122" s="664">
        <v>958</v>
      </c>
      <c r="G122" s="665">
        <v>489</v>
      </c>
      <c r="H122" s="916">
        <f t="shared" si="20"/>
        <v>104.04255319148936</v>
      </c>
      <c r="I122" s="851">
        <f t="shared" si="21"/>
        <v>51.043841336116913</v>
      </c>
      <c r="K122" s="526"/>
      <c r="L122" s="128"/>
    </row>
    <row r="123" spans="2:13" ht="15" customHeight="1">
      <c r="B123" s="660">
        <v>722529</v>
      </c>
      <c r="C123" s="693" t="s">
        <v>259</v>
      </c>
      <c r="D123" s="664">
        <v>114190</v>
      </c>
      <c r="E123" s="664">
        <v>114190</v>
      </c>
      <c r="F123" s="664">
        <v>86290</v>
      </c>
      <c r="G123" s="665">
        <v>117197</v>
      </c>
      <c r="H123" s="916">
        <f t="shared" si="20"/>
        <v>102.63333041422192</v>
      </c>
      <c r="I123" s="851">
        <f t="shared" si="21"/>
        <v>135.81759184146483</v>
      </c>
      <c r="K123" s="526"/>
      <c r="L123" s="128"/>
    </row>
    <row r="124" spans="2:13" ht="15" customHeight="1">
      <c r="B124" s="684">
        <v>722530</v>
      </c>
      <c r="C124" s="694" t="s">
        <v>260</v>
      </c>
      <c r="D124" s="686">
        <f t="shared" ref="D124:E124" si="54">SUM(D125:D128)</f>
        <v>355140</v>
      </c>
      <c r="E124" s="686">
        <f t="shared" si="54"/>
        <v>355140</v>
      </c>
      <c r="F124" s="686">
        <f>SUM(F125:F128)</f>
        <v>353877</v>
      </c>
      <c r="G124" s="687">
        <f>SUM(G125:G128)</f>
        <v>356895</v>
      </c>
      <c r="H124" s="915">
        <f t="shared" si="20"/>
        <v>100.49417131272173</v>
      </c>
      <c r="I124" s="850">
        <f t="shared" si="21"/>
        <v>100.85283869819175</v>
      </c>
      <c r="K124" s="526"/>
      <c r="L124" s="128"/>
    </row>
    <row r="125" spans="2:13" ht="15" customHeight="1">
      <c r="B125" s="660">
        <v>722531</v>
      </c>
      <c r="C125" s="693" t="s">
        <v>261</v>
      </c>
      <c r="D125" s="664">
        <v>100600</v>
      </c>
      <c r="E125" s="664">
        <v>100600</v>
      </c>
      <c r="F125" s="664">
        <v>103227</v>
      </c>
      <c r="G125" s="665">
        <v>100161</v>
      </c>
      <c r="H125" s="916">
        <f t="shared" si="20"/>
        <v>99.563618290258447</v>
      </c>
      <c r="I125" s="851">
        <f t="shared" si="21"/>
        <v>97.029846842395884</v>
      </c>
      <c r="K125" s="526"/>
      <c r="L125" s="128"/>
    </row>
    <row r="126" spans="2:13" ht="15" customHeight="1">
      <c r="B126" s="660">
        <v>722532</v>
      </c>
      <c r="C126" s="693" t="s">
        <v>262</v>
      </c>
      <c r="D126" s="664">
        <v>254520</v>
      </c>
      <c r="E126" s="664">
        <v>254520</v>
      </c>
      <c r="F126" s="664">
        <v>250650</v>
      </c>
      <c r="G126" s="665">
        <v>256734</v>
      </c>
      <c r="H126" s="916">
        <f t="shared" si="20"/>
        <v>100.86987270155588</v>
      </c>
      <c r="I126" s="851">
        <f t="shared" si="21"/>
        <v>102.42728904847395</v>
      </c>
      <c r="K126" s="526"/>
      <c r="L126" s="128"/>
    </row>
    <row r="127" spans="2:13" ht="15" customHeight="1">
      <c r="B127" s="660">
        <v>722538</v>
      </c>
      <c r="C127" s="693" t="s">
        <v>263</v>
      </c>
      <c r="D127" s="664">
        <v>10</v>
      </c>
      <c r="E127" s="664">
        <v>10</v>
      </c>
      <c r="F127" s="664">
        <v>0</v>
      </c>
      <c r="G127" s="665">
        <v>0</v>
      </c>
      <c r="H127" s="916">
        <f t="shared" si="20"/>
        <v>0</v>
      </c>
      <c r="I127" s="851" t="str">
        <f t="shared" si="21"/>
        <v/>
      </c>
      <c r="K127" s="526"/>
      <c r="L127" s="128"/>
    </row>
    <row r="128" spans="2:13" ht="15" customHeight="1">
      <c r="B128" s="660">
        <v>722539</v>
      </c>
      <c r="C128" s="693" t="s">
        <v>432</v>
      </c>
      <c r="D128" s="664">
        <v>10</v>
      </c>
      <c r="E128" s="664">
        <v>10</v>
      </c>
      <c r="F128" s="664">
        <v>0</v>
      </c>
      <c r="G128" s="665">
        <v>0</v>
      </c>
      <c r="H128" s="916">
        <f t="shared" si="20"/>
        <v>0</v>
      </c>
      <c r="I128" s="851" t="str">
        <f t="shared" si="21"/>
        <v/>
      </c>
      <c r="K128" s="526"/>
      <c r="L128" s="128"/>
    </row>
    <row r="129" spans="2:13" ht="15" customHeight="1">
      <c r="B129" s="684">
        <v>722540</v>
      </c>
      <c r="C129" s="694" t="s">
        <v>264</v>
      </c>
      <c r="D129" s="686">
        <f t="shared" ref="D129:E129" si="55">D130</f>
        <v>360</v>
      </c>
      <c r="E129" s="686">
        <f t="shared" si="55"/>
        <v>360</v>
      </c>
      <c r="F129" s="686">
        <f>F130</f>
        <v>162</v>
      </c>
      <c r="G129" s="687">
        <f>G130</f>
        <v>338</v>
      </c>
      <c r="H129" s="915">
        <f t="shared" si="20"/>
        <v>93.888888888888886</v>
      </c>
      <c r="I129" s="850">
        <f t="shared" si="21"/>
        <v>208.64197530864197</v>
      </c>
      <c r="K129" s="526"/>
      <c r="L129" s="128"/>
    </row>
    <row r="130" spans="2:13" ht="15" customHeight="1">
      <c r="B130" s="660">
        <v>722541</v>
      </c>
      <c r="C130" s="693" t="s">
        <v>265</v>
      </c>
      <c r="D130" s="664">
        <v>360</v>
      </c>
      <c r="E130" s="664">
        <v>360</v>
      </c>
      <c r="F130" s="664">
        <v>162</v>
      </c>
      <c r="G130" s="665">
        <v>338</v>
      </c>
      <c r="H130" s="916">
        <f t="shared" si="20"/>
        <v>93.888888888888886</v>
      </c>
      <c r="I130" s="851">
        <f t="shared" si="21"/>
        <v>208.64197530864197</v>
      </c>
      <c r="K130" s="526"/>
      <c r="L130" s="128"/>
    </row>
    <row r="131" spans="2:13" ht="15" customHeight="1">
      <c r="B131" s="684">
        <v>722550</v>
      </c>
      <c r="C131" s="694" t="s">
        <v>266</v>
      </c>
      <c r="D131" s="686">
        <f t="shared" ref="D131:E131" si="56">D132+D134+D136+D138</f>
        <v>280000</v>
      </c>
      <c r="E131" s="686">
        <f t="shared" si="56"/>
        <v>280000</v>
      </c>
      <c r="F131" s="686">
        <f>F132+F134+F136+F138</f>
        <v>300000</v>
      </c>
      <c r="G131" s="687">
        <f>G132+G134+G136+G138</f>
        <v>280000</v>
      </c>
      <c r="H131" s="915">
        <f t="shared" si="20"/>
        <v>100</v>
      </c>
      <c r="I131" s="850">
        <f t="shared" si="21"/>
        <v>93.333333333333329</v>
      </c>
      <c r="K131" s="527"/>
      <c r="L131" s="128"/>
    </row>
    <row r="132" spans="2:13" ht="15" customHeight="1">
      <c r="B132" s="660">
        <v>722551</v>
      </c>
      <c r="C132" s="693" t="s">
        <v>267</v>
      </c>
      <c r="D132" s="664">
        <f t="shared" ref="D132:E132" si="57">D133</f>
        <v>12860</v>
      </c>
      <c r="E132" s="664">
        <f t="shared" si="57"/>
        <v>12860</v>
      </c>
      <c r="F132" s="664">
        <f>F133</f>
        <v>11632</v>
      </c>
      <c r="G132" s="665">
        <f>G133</f>
        <v>12852</v>
      </c>
      <c r="H132" s="916">
        <f t="shared" si="20"/>
        <v>99.937791601866252</v>
      </c>
      <c r="I132" s="851">
        <f t="shared" si="21"/>
        <v>110.48830811554333</v>
      </c>
      <c r="K132" s="526"/>
      <c r="L132" s="128"/>
    </row>
    <row r="133" spans="2:13" s="461" customFormat="1" ht="15" customHeight="1">
      <c r="B133" s="672"/>
      <c r="C133" s="688" t="s">
        <v>599</v>
      </c>
      <c r="D133" s="674">
        <v>12860</v>
      </c>
      <c r="E133" s="674">
        <v>12860</v>
      </c>
      <c r="F133" s="674">
        <v>11632</v>
      </c>
      <c r="G133" s="675">
        <v>12852</v>
      </c>
      <c r="H133" s="917">
        <f t="shared" si="20"/>
        <v>99.937791601866252</v>
      </c>
      <c r="I133" s="852">
        <f t="shared" si="21"/>
        <v>110.48830811554333</v>
      </c>
      <c r="J133" s="462"/>
      <c r="K133" s="528"/>
      <c r="L133" s="463"/>
      <c r="M133" s="462"/>
    </row>
    <row r="134" spans="2:13" ht="15" customHeight="1">
      <c r="B134" s="660">
        <v>722552</v>
      </c>
      <c r="C134" s="693" t="s">
        <v>604</v>
      </c>
      <c r="D134" s="664">
        <f t="shared" ref="D134:E134" si="58">D135</f>
        <v>0</v>
      </c>
      <c r="E134" s="664">
        <f t="shared" si="58"/>
        <v>0</v>
      </c>
      <c r="F134" s="664">
        <f>F135</f>
        <v>0</v>
      </c>
      <c r="G134" s="665">
        <f>G135</f>
        <v>0</v>
      </c>
      <c r="H134" s="916" t="str">
        <f t="shared" si="20"/>
        <v/>
      </c>
      <c r="I134" s="851" t="str">
        <f t="shared" ref="I134:I197" si="59">IF(F134=0,"",G134/F134*100)</f>
        <v/>
      </c>
      <c r="K134" s="526"/>
      <c r="L134" s="128"/>
    </row>
    <row r="135" spans="2:13" s="461" customFormat="1" ht="15" customHeight="1">
      <c r="B135" s="672"/>
      <c r="C135" s="688" t="s">
        <v>599</v>
      </c>
      <c r="D135" s="674">
        <v>0</v>
      </c>
      <c r="E135" s="674">
        <v>0</v>
      </c>
      <c r="F135" s="674">
        <v>0</v>
      </c>
      <c r="G135" s="675">
        <v>0</v>
      </c>
      <c r="H135" s="917" t="str">
        <f t="shared" si="20"/>
        <v/>
      </c>
      <c r="I135" s="852" t="str">
        <f t="shared" si="59"/>
        <v/>
      </c>
      <c r="J135" s="462"/>
      <c r="K135" s="528"/>
      <c r="L135" s="463"/>
      <c r="M135" s="462"/>
    </row>
    <row r="136" spans="2:13" ht="25.5">
      <c r="B136" s="660">
        <v>722555</v>
      </c>
      <c r="C136" s="692" t="s">
        <v>273</v>
      </c>
      <c r="D136" s="664">
        <f t="shared" ref="D136:E136" si="60">D137</f>
        <v>62090</v>
      </c>
      <c r="E136" s="664">
        <f t="shared" si="60"/>
        <v>62090</v>
      </c>
      <c r="F136" s="664">
        <f>F137</f>
        <v>60869</v>
      </c>
      <c r="G136" s="665">
        <f>G137</f>
        <v>62501</v>
      </c>
      <c r="H136" s="916">
        <f t="shared" si="20"/>
        <v>100.66194234176196</v>
      </c>
      <c r="I136" s="851">
        <f t="shared" si="59"/>
        <v>102.68116775370058</v>
      </c>
      <c r="K136" s="526"/>
      <c r="L136" s="128"/>
    </row>
    <row r="137" spans="2:13" s="461" customFormat="1" ht="17.100000000000001" customHeight="1">
      <c r="B137" s="672"/>
      <c r="C137" s="688" t="s">
        <v>599</v>
      </c>
      <c r="D137" s="674">
        <v>62090</v>
      </c>
      <c r="E137" s="674">
        <v>62090</v>
      </c>
      <c r="F137" s="674">
        <v>60869</v>
      </c>
      <c r="G137" s="675">
        <v>62501</v>
      </c>
      <c r="H137" s="917">
        <f t="shared" si="20"/>
        <v>100.66194234176196</v>
      </c>
      <c r="I137" s="852">
        <f t="shared" si="59"/>
        <v>102.68116775370058</v>
      </c>
      <c r="J137" s="462"/>
      <c r="K137" s="528"/>
      <c r="L137" s="463"/>
      <c r="M137" s="462"/>
    </row>
    <row r="138" spans="2:13" ht="25.5">
      <c r="B138" s="660">
        <v>722556</v>
      </c>
      <c r="C138" s="692" t="s">
        <v>274</v>
      </c>
      <c r="D138" s="664">
        <f t="shared" ref="D138:E138" si="61">SUM(D139:D140)</f>
        <v>205050</v>
      </c>
      <c r="E138" s="664">
        <f t="shared" si="61"/>
        <v>205050</v>
      </c>
      <c r="F138" s="664">
        <f t="shared" ref="F138" si="62">SUM(F139:F140)</f>
        <v>227499</v>
      </c>
      <c r="G138" s="665">
        <f t="shared" ref="G138" si="63">SUM(G139:G140)</f>
        <v>204647</v>
      </c>
      <c r="H138" s="916">
        <f t="shared" ref="H138:H219" si="64">IF(E138=0,"",G138/E138*100)</f>
        <v>99.803462570104855</v>
      </c>
      <c r="I138" s="851">
        <f t="shared" si="59"/>
        <v>89.955120681849152</v>
      </c>
      <c r="K138" s="526"/>
      <c r="L138" s="128"/>
    </row>
    <row r="139" spans="2:13" s="461" customFormat="1" ht="15" customHeight="1">
      <c r="B139" s="672"/>
      <c r="C139" s="688" t="s">
        <v>759</v>
      </c>
      <c r="D139" s="674">
        <v>79220</v>
      </c>
      <c r="E139" s="674">
        <v>79220</v>
      </c>
      <c r="F139" s="674">
        <v>104376</v>
      </c>
      <c r="G139" s="888">
        <v>77961</v>
      </c>
      <c r="H139" s="917">
        <f t="shared" si="64"/>
        <v>98.410754859883866</v>
      </c>
      <c r="I139" s="852">
        <f t="shared" si="59"/>
        <v>74.692458036330194</v>
      </c>
      <c r="J139" s="901"/>
      <c r="K139" s="528"/>
      <c r="L139" s="463"/>
      <c r="M139" s="462"/>
    </row>
    <row r="140" spans="2:13" s="461" customFormat="1" ht="15" customHeight="1">
      <c r="B140" s="672"/>
      <c r="C140" s="688" t="s">
        <v>599</v>
      </c>
      <c r="D140" s="674">
        <v>125830</v>
      </c>
      <c r="E140" s="674">
        <v>125830</v>
      </c>
      <c r="F140" s="674">
        <v>123123</v>
      </c>
      <c r="G140" s="675">
        <v>126686</v>
      </c>
      <c r="H140" s="917">
        <f t="shared" si="64"/>
        <v>100.6802829214019</v>
      </c>
      <c r="I140" s="852">
        <f t="shared" si="59"/>
        <v>102.89385411336632</v>
      </c>
      <c r="J140" s="462"/>
      <c r="K140" s="528"/>
      <c r="L140" s="463"/>
      <c r="M140" s="462"/>
    </row>
    <row r="141" spans="2:13" ht="15" customHeight="1">
      <c r="B141" s="684">
        <v>722580</v>
      </c>
      <c r="C141" s="694" t="s">
        <v>275</v>
      </c>
      <c r="D141" s="686">
        <f t="shared" ref="D141:E141" si="65">D142+D145+D146+D149+D152+D155</f>
        <v>122260</v>
      </c>
      <c r="E141" s="686">
        <f t="shared" si="65"/>
        <v>122260</v>
      </c>
      <c r="F141" s="686">
        <f>F142+F145+F146+F149+F152+F155</f>
        <v>31925</v>
      </c>
      <c r="G141" s="687">
        <f t="shared" ref="G141" si="66">G142+G145+G146+G149+G152+G155</f>
        <v>79564</v>
      </c>
      <c r="H141" s="915">
        <f t="shared" si="64"/>
        <v>65.077703255357434</v>
      </c>
      <c r="I141" s="850">
        <f t="shared" si="59"/>
        <v>249.22161315583398</v>
      </c>
      <c r="K141" s="526"/>
      <c r="L141" s="128"/>
    </row>
    <row r="142" spans="2:13" ht="25.5">
      <c r="B142" s="660">
        <v>722581</v>
      </c>
      <c r="C142" s="692" t="s">
        <v>477</v>
      </c>
      <c r="D142" s="664">
        <f t="shared" ref="D142:E142" si="67">SUM(D143:D144)</f>
        <v>111060</v>
      </c>
      <c r="E142" s="664">
        <f t="shared" si="67"/>
        <v>111060</v>
      </c>
      <c r="F142" s="664">
        <f t="shared" ref="F142" si="68">SUM(F143:F144)</f>
        <v>27099</v>
      </c>
      <c r="G142" s="665">
        <f t="shared" ref="G142" si="69">SUM(G143:G144)</f>
        <v>64598</v>
      </c>
      <c r="H142" s="916">
        <f t="shared" si="64"/>
        <v>58.164955879704664</v>
      </c>
      <c r="I142" s="851">
        <f t="shared" si="59"/>
        <v>238.37779991881618</v>
      </c>
      <c r="K142" s="526"/>
      <c r="L142" s="128"/>
    </row>
    <row r="143" spans="2:13" s="461" customFormat="1" ht="15" customHeight="1">
      <c r="B143" s="672"/>
      <c r="C143" s="688" t="s">
        <v>760</v>
      </c>
      <c r="D143" s="674">
        <v>32550</v>
      </c>
      <c r="E143" s="674">
        <v>32550</v>
      </c>
      <c r="F143" s="674">
        <v>0</v>
      </c>
      <c r="G143" s="675">
        <v>0</v>
      </c>
      <c r="H143" s="917">
        <f t="shared" si="64"/>
        <v>0</v>
      </c>
      <c r="I143" s="852" t="str">
        <f t="shared" si="59"/>
        <v/>
      </c>
      <c r="J143" s="462"/>
      <c r="K143" s="529"/>
      <c r="L143" s="463"/>
      <c r="M143" s="462"/>
    </row>
    <row r="144" spans="2:13" s="461" customFormat="1" ht="15" customHeight="1">
      <c r="B144" s="672"/>
      <c r="C144" s="688" t="s">
        <v>598</v>
      </c>
      <c r="D144" s="674">
        <v>78510</v>
      </c>
      <c r="E144" s="674">
        <v>78510</v>
      </c>
      <c r="F144" s="674">
        <v>27099</v>
      </c>
      <c r="G144" s="888">
        <f>81243-16645</f>
        <v>64598</v>
      </c>
      <c r="H144" s="917">
        <f t="shared" si="64"/>
        <v>82.279964335753405</v>
      </c>
      <c r="I144" s="852">
        <f t="shared" si="59"/>
        <v>238.37779991881618</v>
      </c>
      <c r="J144" s="901"/>
      <c r="K144" s="529"/>
      <c r="L144" s="463"/>
      <c r="M144" s="462"/>
    </row>
    <row r="145" spans="2:13" ht="37.5" customHeight="1">
      <c r="B145" s="660">
        <v>722582</v>
      </c>
      <c r="C145" s="692" t="s">
        <v>474</v>
      </c>
      <c r="D145" s="664">
        <v>3920</v>
      </c>
      <c r="E145" s="664">
        <v>3920</v>
      </c>
      <c r="F145" s="664">
        <v>4826</v>
      </c>
      <c r="G145" s="665">
        <v>4584</v>
      </c>
      <c r="H145" s="916">
        <f t="shared" si="64"/>
        <v>116.93877551020408</v>
      </c>
      <c r="I145" s="851">
        <f t="shared" si="59"/>
        <v>94.98549523414836</v>
      </c>
      <c r="K145" s="526"/>
      <c r="L145" s="128"/>
    </row>
    <row r="146" spans="2:13" ht="26.25" customHeight="1">
      <c r="B146" s="660">
        <v>722583</v>
      </c>
      <c r="C146" s="692" t="s">
        <v>276</v>
      </c>
      <c r="D146" s="664">
        <f t="shared" ref="D146:E146" si="70">D147+D148</f>
        <v>3810</v>
      </c>
      <c r="E146" s="664">
        <f t="shared" si="70"/>
        <v>3810</v>
      </c>
      <c r="F146" s="664">
        <f t="shared" ref="F146" si="71">F147+F148</f>
        <v>0</v>
      </c>
      <c r="G146" s="887">
        <f t="shared" ref="G146" si="72">G147+G148</f>
        <v>3729</v>
      </c>
      <c r="H146" s="916">
        <f t="shared" si="64"/>
        <v>97.874015748031496</v>
      </c>
      <c r="I146" s="851" t="str">
        <f t="shared" si="59"/>
        <v/>
      </c>
      <c r="J146" s="128"/>
      <c r="K146" s="526"/>
      <c r="L146" s="128"/>
    </row>
    <row r="147" spans="2:13" s="461" customFormat="1" ht="15" customHeight="1">
      <c r="B147" s="672"/>
      <c r="C147" s="688" t="s">
        <v>760</v>
      </c>
      <c r="D147" s="674">
        <v>2940</v>
      </c>
      <c r="E147" s="674">
        <v>2940</v>
      </c>
      <c r="F147" s="674">
        <v>0</v>
      </c>
      <c r="G147" s="888">
        <v>2934</v>
      </c>
      <c r="H147" s="917">
        <f t="shared" ref="H147:H148" si="73">IF(E147=0,"",G147/E147*100)</f>
        <v>99.795918367346943</v>
      </c>
      <c r="I147" s="852" t="str">
        <f t="shared" si="59"/>
        <v/>
      </c>
      <c r="J147" s="901"/>
      <c r="K147" s="529"/>
      <c r="L147" s="463"/>
      <c r="M147" s="462"/>
    </row>
    <row r="148" spans="2:13" s="461" customFormat="1" ht="15" customHeight="1">
      <c r="B148" s="672"/>
      <c r="C148" s="688" t="s">
        <v>598</v>
      </c>
      <c r="D148" s="674">
        <v>870</v>
      </c>
      <c r="E148" s="674">
        <v>870</v>
      </c>
      <c r="F148" s="674">
        <v>0</v>
      </c>
      <c r="G148" s="888">
        <v>795</v>
      </c>
      <c r="H148" s="917">
        <f t="shared" si="73"/>
        <v>91.379310344827587</v>
      </c>
      <c r="I148" s="852" t="str">
        <f t="shared" si="59"/>
        <v/>
      </c>
      <c r="J148" s="462"/>
      <c r="K148" s="529"/>
      <c r="L148" s="463"/>
      <c r="M148" s="462"/>
    </row>
    <row r="149" spans="2:13" ht="25.5">
      <c r="B149" s="660">
        <v>722584</v>
      </c>
      <c r="C149" s="692" t="s">
        <v>277</v>
      </c>
      <c r="D149" s="664">
        <f t="shared" ref="D149:E149" si="74">D150+D151</f>
        <v>1920</v>
      </c>
      <c r="E149" s="664">
        <f t="shared" si="74"/>
        <v>1920</v>
      </c>
      <c r="F149" s="664">
        <f t="shared" ref="F149" si="75">F150+F151</f>
        <v>0</v>
      </c>
      <c r="G149" s="887">
        <f t="shared" ref="G149" si="76">G150+G151</f>
        <v>1877</v>
      </c>
      <c r="H149" s="916">
        <f t="shared" si="64"/>
        <v>97.760416666666671</v>
      </c>
      <c r="I149" s="851" t="str">
        <f t="shared" si="59"/>
        <v/>
      </c>
      <c r="K149" s="526"/>
      <c r="L149" s="128"/>
    </row>
    <row r="150" spans="2:13" s="461" customFormat="1" ht="15" customHeight="1">
      <c r="B150" s="672"/>
      <c r="C150" s="688" t="s">
        <v>760</v>
      </c>
      <c r="D150" s="674">
        <v>1480</v>
      </c>
      <c r="E150" s="674">
        <v>1480</v>
      </c>
      <c r="F150" s="674">
        <v>0</v>
      </c>
      <c r="G150" s="888">
        <v>1480</v>
      </c>
      <c r="H150" s="917">
        <f t="shared" si="64"/>
        <v>100</v>
      </c>
      <c r="I150" s="852" t="str">
        <f t="shared" si="59"/>
        <v/>
      </c>
      <c r="J150" s="901"/>
      <c r="K150" s="529"/>
      <c r="L150" s="463"/>
      <c r="M150" s="462"/>
    </row>
    <row r="151" spans="2:13" s="461" customFormat="1" ht="15" customHeight="1">
      <c r="B151" s="672"/>
      <c r="C151" s="688" t="s">
        <v>598</v>
      </c>
      <c r="D151" s="674">
        <v>440</v>
      </c>
      <c r="E151" s="674">
        <v>440</v>
      </c>
      <c r="F151" s="674">
        <v>0</v>
      </c>
      <c r="G151" s="888">
        <v>397</v>
      </c>
      <c r="H151" s="917">
        <f t="shared" si="64"/>
        <v>90.22727272727272</v>
      </c>
      <c r="I151" s="852" t="str">
        <f t="shared" si="59"/>
        <v/>
      </c>
      <c r="J151" s="462"/>
      <c r="K151" s="529"/>
      <c r="L151" s="463"/>
      <c r="M151" s="462"/>
    </row>
    <row r="152" spans="2:13" ht="25.5">
      <c r="B152" s="660">
        <v>722585</v>
      </c>
      <c r="C152" s="692" t="s">
        <v>278</v>
      </c>
      <c r="D152" s="664">
        <f t="shared" ref="D152:E152" si="77">D153+D154</f>
        <v>1550</v>
      </c>
      <c r="E152" s="664">
        <f t="shared" si="77"/>
        <v>1550</v>
      </c>
      <c r="F152" s="664">
        <f t="shared" ref="F152" si="78">F153+F154</f>
        <v>0</v>
      </c>
      <c r="G152" s="887">
        <f t="shared" ref="G152" si="79">G153+G154</f>
        <v>4201</v>
      </c>
      <c r="H152" s="916">
        <f t="shared" si="64"/>
        <v>271.03225806451616</v>
      </c>
      <c r="I152" s="851" t="str">
        <f t="shared" si="59"/>
        <v/>
      </c>
      <c r="K152" s="526"/>
      <c r="L152" s="128"/>
    </row>
    <row r="153" spans="2:13" s="461" customFormat="1" ht="15" customHeight="1">
      <c r="B153" s="672"/>
      <c r="C153" s="688" t="s">
        <v>760</v>
      </c>
      <c r="D153" s="674">
        <v>1090</v>
      </c>
      <c r="E153" s="674">
        <v>1090</v>
      </c>
      <c r="F153" s="674">
        <v>0</v>
      </c>
      <c r="G153" s="888">
        <v>1089</v>
      </c>
      <c r="H153" s="917">
        <f t="shared" ref="H153:H155" si="80">IF(E153=0,"",G153/E153*100)</f>
        <v>99.908256880733944</v>
      </c>
      <c r="I153" s="852" t="str">
        <f t="shared" si="59"/>
        <v/>
      </c>
      <c r="J153" s="901"/>
      <c r="K153" s="529"/>
      <c r="L153" s="463"/>
      <c r="M153" s="462"/>
    </row>
    <row r="154" spans="2:13" s="461" customFormat="1" ht="15" customHeight="1">
      <c r="B154" s="672"/>
      <c r="C154" s="688" t="s">
        <v>598</v>
      </c>
      <c r="D154" s="674">
        <v>460</v>
      </c>
      <c r="E154" s="674">
        <v>460</v>
      </c>
      <c r="F154" s="674">
        <v>0</v>
      </c>
      <c r="G154" s="888">
        <v>3112</v>
      </c>
      <c r="H154" s="917">
        <f t="shared" si="80"/>
        <v>676.52173913043475</v>
      </c>
      <c r="I154" s="852" t="str">
        <f t="shared" si="59"/>
        <v/>
      </c>
      <c r="J154" s="462"/>
      <c r="K154" s="529"/>
      <c r="L154" s="463"/>
      <c r="M154" s="462"/>
    </row>
    <row r="155" spans="2:13" s="541" customFormat="1" ht="25.5">
      <c r="B155" s="660">
        <v>722586</v>
      </c>
      <c r="C155" s="692" t="s">
        <v>800</v>
      </c>
      <c r="D155" s="664">
        <v>0</v>
      </c>
      <c r="E155" s="664">
        <v>0</v>
      </c>
      <c r="F155" s="664">
        <v>0</v>
      </c>
      <c r="G155" s="665">
        <v>575</v>
      </c>
      <c r="H155" s="916" t="str">
        <f t="shared" si="80"/>
        <v/>
      </c>
      <c r="I155" s="851" t="str">
        <f t="shared" si="59"/>
        <v/>
      </c>
      <c r="J155" s="117"/>
      <c r="K155" s="526"/>
      <c r="L155" s="128"/>
      <c r="M155" s="117"/>
    </row>
    <row r="156" spans="2:13" ht="15" customHeight="1">
      <c r="B156" s="656">
        <v>722600</v>
      </c>
      <c r="C156" s="682" t="s">
        <v>268</v>
      </c>
      <c r="D156" s="667">
        <f t="shared" ref="D156:E156" si="81">SUM(D157:D163)</f>
        <v>386670</v>
      </c>
      <c r="E156" s="667">
        <f t="shared" si="81"/>
        <v>386670</v>
      </c>
      <c r="F156" s="667">
        <f>SUM(F157:F163)</f>
        <v>354333</v>
      </c>
      <c r="G156" s="668">
        <f>SUM(G157:G163)</f>
        <v>376157</v>
      </c>
      <c r="H156" s="915">
        <f t="shared" si="64"/>
        <v>97.281144128067865</v>
      </c>
      <c r="I156" s="850">
        <f t="shared" si="59"/>
        <v>106.15917794842704</v>
      </c>
      <c r="K156" s="526"/>
      <c r="L156" s="128"/>
    </row>
    <row r="157" spans="2:13" ht="15" customHeight="1">
      <c r="B157" s="660">
        <v>722611</v>
      </c>
      <c r="C157" s="693" t="s">
        <v>279</v>
      </c>
      <c r="D157" s="664">
        <v>111940</v>
      </c>
      <c r="E157" s="664">
        <v>111940</v>
      </c>
      <c r="F157" s="664">
        <v>117638</v>
      </c>
      <c r="G157" s="665">
        <v>110810</v>
      </c>
      <c r="H157" s="916">
        <f t="shared" si="64"/>
        <v>98.990530641415049</v>
      </c>
      <c r="I157" s="851">
        <f t="shared" si="59"/>
        <v>94.195753072986619</v>
      </c>
      <c r="K157" s="526"/>
      <c r="L157" s="128"/>
    </row>
    <row r="158" spans="2:13" ht="15" customHeight="1">
      <c r="B158" s="660">
        <v>722612</v>
      </c>
      <c r="C158" s="693" t="s">
        <v>280</v>
      </c>
      <c r="D158" s="664">
        <v>95240</v>
      </c>
      <c r="E158" s="664">
        <v>95240</v>
      </c>
      <c r="F158" s="664">
        <v>49893</v>
      </c>
      <c r="G158" s="665">
        <v>86276</v>
      </c>
      <c r="H158" s="916">
        <f t="shared" si="64"/>
        <v>90.587988240235191</v>
      </c>
      <c r="I158" s="851">
        <f t="shared" si="59"/>
        <v>172.92205319383481</v>
      </c>
      <c r="K158" s="526"/>
      <c r="L158" s="128"/>
    </row>
    <row r="159" spans="2:13" ht="15" customHeight="1">
      <c r="B159" s="660">
        <v>722613</v>
      </c>
      <c r="C159" s="693" t="s">
        <v>281</v>
      </c>
      <c r="D159" s="664">
        <v>11550</v>
      </c>
      <c r="E159" s="664">
        <v>11550</v>
      </c>
      <c r="F159" s="664">
        <v>11057</v>
      </c>
      <c r="G159" s="665">
        <v>11712</v>
      </c>
      <c r="H159" s="916">
        <f t="shared" si="64"/>
        <v>101.40259740259741</v>
      </c>
      <c r="I159" s="851">
        <f t="shared" si="59"/>
        <v>105.92384914533778</v>
      </c>
      <c r="K159" s="526"/>
      <c r="L159" s="128"/>
    </row>
    <row r="160" spans="2:13" ht="15" customHeight="1">
      <c r="B160" s="660">
        <v>722621</v>
      </c>
      <c r="C160" s="693" t="s">
        <v>282</v>
      </c>
      <c r="D160" s="664">
        <v>121930</v>
      </c>
      <c r="E160" s="664">
        <v>121930</v>
      </c>
      <c r="F160" s="664">
        <v>130113</v>
      </c>
      <c r="G160" s="665">
        <v>125168</v>
      </c>
      <c r="H160" s="916">
        <f t="shared" si="64"/>
        <v>102.65562207824162</v>
      </c>
      <c r="I160" s="851">
        <f t="shared" si="59"/>
        <v>96.199457394726124</v>
      </c>
      <c r="K160" s="526"/>
      <c r="L160" s="128"/>
    </row>
    <row r="161" spans="2:13" ht="15" customHeight="1">
      <c r="B161" s="660">
        <v>722631</v>
      </c>
      <c r="C161" s="693" t="s">
        <v>283</v>
      </c>
      <c r="D161" s="664">
        <v>45990</v>
      </c>
      <c r="E161" s="664">
        <v>45990</v>
      </c>
      <c r="F161" s="664">
        <v>45632</v>
      </c>
      <c r="G161" s="665">
        <v>42191</v>
      </c>
      <c r="H161" s="916">
        <f t="shared" si="64"/>
        <v>91.739508588823654</v>
      </c>
      <c r="I161" s="851">
        <f t="shared" si="59"/>
        <v>92.459239130434781</v>
      </c>
      <c r="K161" s="526"/>
      <c r="L161" s="128"/>
    </row>
    <row r="162" spans="2:13" ht="15" customHeight="1">
      <c r="B162" s="660">
        <v>722632</v>
      </c>
      <c r="C162" s="693" t="s">
        <v>433</v>
      </c>
      <c r="D162" s="664">
        <v>10</v>
      </c>
      <c r="E162" s="664">
        <v>10</v>
      </c>
      <c r="F162" s="664">
        <v>0</v>
      </c>
      <c r="G162" s="665">
        <v>0</v>
      </c>
      <c r="H162" s="916">
        <f t="shared" si="64"/>
        <v>0</v>
      </c>
      <c r="I162" s="851" t="str">
        <f t="shared" si="59"/>
        <v/>
      </c>
      <c r="K162" s="526"/>
      <c r="L162" s="128"/>
    </row>
    <row r="163" spans="2:13" ht="15" customHeight="1">
      <c r="B163" s="660">
        <v>722633</v>
      </c>
      <c r="C163" s="693" t="s">
        <v>605</v>
      </c>
      <c r="D163" s="664">
        <v>10</v>
      </c>
      <c r="E163" s="664">
        <v>10</v>
      </c>
      <c r="F163" s="664">
        <v>0</v>
      </c>
      <c r="G163" s="665">
        <v>0</v>
      </c>
      <c r="H163" s="916">
        <f t="shared" si="64"/>
        <v>0</v>
      </c>
      <c r="I163" s="851" t="str">
        <f t="shared" si="59"/>
        <v/>
      </c>
      <c r="K163" s="526"/>
      <c r="L163" s="128"/>
    </row>
    <row r="164" spans="2:13" ht="15" customHeight="1">
      <c r="B164" s="684">
        <v>722700</v>
      </c>
      <c r="C164" s="682" t="s">
        <v>284</v>
      </c>
      <c r="D164" s="667">
        <f t="shared" ref="D164:E164" si="82">SUM(D165:D170)</f>
        <v>37290</v>
      </c>
      <c r="E164" s="667">
        <f t="shared" si="82"/>
        <v>37290</v>
      </c>
      <c r="F164" s="667">
        <f>SUM(F165:F170)</f>
        <v>31760</v>
      </c>
      <c r="G164" s="668">
        <f>SUM(G165:G170)</f>
        <v>34272</v>
      </c>
      <c r="H164" s="915">
        <f t="shared" si="64"/>
        <v>91.906677393403058</v>
      </c>
      <c r="I164" s="850">
        <f t="shared" si="59"/>
        <v>107.90931989924432</v>
      </c>
      <c r="K164" s="526"/>
      <c r="L164" s="128"/>
    </row>
    <row r="165" spans="2:13" s="882" customFormat="1" ht="15" customHeight="1">
      <c r="B165" s="660">
        <v>722713</v>
      </c>
      <c r="C165" s="889" t="s">
        <v>913</v>
      </c>
      <c r="D165" s="664">
        <v>0</v>
      </c>
      <c r="E165" s="664">
        <v>0</v>
      </c>
      <c r="F165" s="664">
        <v>11</v>
      </c>
      <c r="G165" s="665">
        <v>0</v>
      </c>
      <c r="H165" s="916" t="str">
        <f t="shared" ref="H165" si="83">IF(E165=0,"",G165/E165*100)</f>
        <v/>
      </c>
      <c r="I165" s="851">
        <f t="shared" si="59"/>
        <v>0</v>
      </c>
      <c r="J165" s="117"/>
      <c r="K165" s="526"/>
      <c r="L165" s="128"/>
      <c r="M165" s="117"/>
    </row>
    <row r="166" spans="2:13" ht="15" customHeight="1">
      <c r="B166" s="660">
        <v>722715</v>
      </c>
      <c r="C166" s="693" t="s">
        <v>490</v>
      </c>
      <c r="D166" s="664">
        <v>0</v>
      </c>
      <c r="E166" s="664">
        <v>0</v>
      </c>
      <c r="F166" s="664">
        <v>0</v>
      </c>
      <c r="G166" s="665">
        <v>0</v>
      </c>
      <c r="H166" s="916" t="str">
        <f t="shared" si="64"/>
        <v/>
      </c>
      <c r="I166" s="851" t="str">
        <f t="shared" si="59"/>
        <v/>
      </c>
      <c r="K166" s="526"/>
      <c r="L166" s="128"/>
    </row>
    <row r="167" spans="2:13" ht="15" customHeight="1">
      <c r="B167" s="660">
        <v>722719</v>
      </c>
      <c r="C167" s="693" t="s">
        <v>430</v>
      </c>
      <c r="D167" s="664">
        <v>34660</v>
      </c>
      <c r="E167" s="664">
        <v>34660</v>
      </c>
      <c r="F167" s="664">
        <v>29063</v>
      </c>
      <c r="G167" s="665">
        <v>31774</v>
      </c>
      <c r="H167" s="916">
        <f t="shared" si="64"/>
        <v>91.673398730525108</v>
      </c>
      <c r="I167" s="851">
        <f t="shared" si="59"/>
        <v>109.32801156109142</v>
      </c>
      <c r="K167" s="526"/>
      <c r="L167" s="128"/>
    </row>
    <row r="168" spans="2:13" ht="15" customHeight="1">
      <c r="B168" s="660">
        <v>722732</v>
      </c>
      <c r="C168" s="693" t="s">
        <v>285</v>
      </c>
      <c r="D168" s="664">
        <v>10</v>
      </c>
      <c r="E168" s="664">
        <v>10</v>
      </c>
      <c r="F168" s="664">
        <v>0</v>
      </c>
      <c r="G168" s="665">
        <v>0</v>
      </c>
      <c r="H168" s="916">
        <f t="shared" si="64"/>
        <v>0</v>
      </c>
      <c r="I168" s="851" t="str">
        <f t="shared" si="59"/>
        <v/>
      </c>
      <c r="K168" s="526"/>
      <c r="L168" s="128"/>
    </row>
    <row r="169" spans="2:13" s="874" customFormat="1" ht="15" customHeight="1">
      <c r="B169" s="660">
        <v>722741</v>
      </c>
      <c r="C169" s="693" t="s">
        <v>837</v>
      </c>
      <c r="D169" s="664">
        <v>1300</v>
      </c>
      <c r="E169" s="664">
        <v>1300</v>
      </c>
      <c r="F169" s="664">
        <v>0</v>
      </c>
      <c r="G169" s="887">
        <v>1292</v>
      </c>
      <c r="H169" s="916">
        <f t="shared" ref="H169" si="84">IF(E169=0,"",G169/E169*100)</f>
        <v>99.384615384615387</v>
      </c>
      <c r="I169" s="851" t="str">
        <f t="shared" si="59"/>
        <v/>
      </c>
      <c r="J169" s="117"/>
      <c r="K169" s="526"/>
      <c r="L169" s="128"/>
      <c r="M169" s="117"/>
    </row>
    <row r="170" spans="2:13" ht="15" customHeight="1">
      <c r="B170" s="660">
        <v>722791</v>
      </c>
      <c r="C170" s="693" t="s">
        <v>286</v>
      </c>
      <c r="D170" s="664">
        <v>1320</v>
      </c>
      <c r="E170" s="664">
        <v>1320</v>
      </c>
      <c r="F170" s="664">
        <v>2686</v>
      </c>
      <c r="G170" s="665">
        <v>1206</v>
      </c>
      <c r="H170" s="916">
        <f t="shared" si="64"/>
        <v>91.363636363636374</v>
      </c>
      <c r="I170" s="851">
        <f t="shared" si="59"/>
        <v>44.899478778853315</v>
      </c>
      <c r="K170" s="526"/>
      <c r="L170" s="128"/>
    </row>
    <row r="171" spans="2:13" ht="17.100000000000001" customHeight="1">
      <c r="B171" s="649">
        <v>723000</v>
      </c>
      <c r="C171" s="653" t="s">
        <v>159</v>
      </c>
      <c r="D171" s="654">
        <f t="shared" ref="D171:E171" si="85">D172</f>
        <v>945660</v>
      </c>
      <c r="E171" s="654">
        <f t="shared" si="85"/>
        <v>945660</v>
      </c>
      <c r="F171" s="654">
        <f>F172</f>
        <v>780439</v>
      </c>
      <c r="G171" s="655">
        <f>G172</f>
        <v>925660</v>
      </c>
      <c r="H171" s="914">
        <f t="shared" si="64"/>
        <v>97.885074974092163</v>
      </c>
      <c r="I171" s="849">
        <f t="shared" si="59"/>
        <v>118.60760418174898</v>
      </c>
      <c r="K171" s="526"/>
      <c r="L171" s="128"/>
    </row>
    <row r="172" spans="2:13" ht="15" customHeight="1">
      <c r="B172" s="656">
        <v>723100</v>
      </c>
      <c r="C172" s="691" t="s">
        <v>287</v>
      </c>
      <c r="D172" s="686">
        <f t="shared" ref="D172:E172" si="86">D173+D174+D176+D177</f>
        <v>945660</v>
      </c>
      <c r="E172" s="686">
        <f t="shared" si="86"/>
        <v>945660</v>
      </c>
      <c r="F172" s="686">
        <f t="shared" ref="F172:G172" si="87">F173+F174+F176+F177</f>
        <v>780439</v>
      </c>
      <c r="G172" s="687">
        <f t="shared" si="87"/>
        <v>925660</v>
      </c>
      <c r="H172" s="916">
        <f t="shared" si="64"/>
        <v>97.885074974092163</v>
      </c>
      <c r="I172" s="851">
        <f t="shared" si="59"/>
        <v>118.60760418174898</v>
      </c>
      <c r="K172" s="526"/>
      <c r="L172" s="128"/>
    </row>
    <row r="173" spans="2:13" ht="15" customHeight="1">
      <c r="B173" s="660">
        <v>723121</v>
      </c>
      <c r="C173" s="680" t="s">
        <v>288</v>
      </c>
      <c r="D173" s="662">
        <v>300</v>
      </c>
      <c r="E173" s="662">
        <v>300</v>
      </c>
      <c r="F173" s="662">
        <v>320</v>
      </c>
      <c r="G173" s="663">
        <v>320</v>
      </c>
      <c r="H173" s="916">
        <f t="shared" si="64"/>
        <v>106.66666666666667</v>
      </c>
      <c r="I173" s="851">
        <f t="shared" si="59"/>
        <v>100</v>
      </c>
      <c r="K173" s="526"/>
      <c r="L173" s="128"/>
    </row>
    <row r="174" spans="2:13" ht="15" customHeight="1">
      <c r="B174" s="660">
        <v>723122</v>
      </c>
      <c r="C174" s="680" t="s">
        <v>289</v>
      </c>
      <c r="D174" s="664">
        <v>50</v>
      </c>
      <c r="E174" s="664">
        <v>50</v>
      </c>
      <c r="F174" s="664">
        <v>0</v>
      </c>
      <c r="G174" s="665">
        <v>20</v>
      </c>
      <c r="H174" s="916">
        <f t="shared" si="64"/>
        <v>40</v>
      </c>
      <c r="I174" s="851" t="str">
        <f t="shared" si="59"/>
        <v/>
      </c>
      <c r="K174" s="526"/>
      <c r="L174" s="128"/>
    </row>
    <row r="175" spans="2:13" s="876" customFormat="1" ht="15" customHeight="1">
      <c r="B175" s="660"/>
      <c r="C175" s="680" t="s">
        <v>842</v>
      </c>
      <c r="D175" s="674">
        <v>0</v>
      </c>
      <c r="E175" s="674">
        <v>0</v>
      </c>
      <c r="F175" s="674">
        <v>0</v>
      </c>
      <c r="G175" s="675">
        <v>0</v>
      </c>
      <c r="H175" s="917" t="str">
        <f t="shared" ref="H175" si="88">IF(E175=0,"",G175/E175*100)</f>
        <v/>
      </c>
      <c r="I175" s="852" t="str">
        <f t="shared" si="59"/>
        <v/>
      </c>
      <c r="J175" s="904"/>
      <c r="K175" s="526"/>
      <c r="L175" s="128"/>
      <c r="M175" s="117"/>
    </row>
    <row r="176" spans="2:13" ht="25.5">
      <c r="B176" s="660">
        <v>723123</v>
      </c>
      <c r="C176" s="696" t="s">
        <v>291</v>
      </c>
      <c r="D176" s="662">
        <v>939890</v>
      </c>
      <c r="E176" s="662">
        <v>939890</v>
      </c>
      <c r="F176" s="662">
        <v>775864</v>
      </c>
      <c r="G176" s="665">
        <v>918760</v>
      </c>
      <c r="H176" s="916">
        <f t="shared" si="64"/>
        <v>97.751864579897656</v>
      </c>
      <c r="I176" s="851">
        <f t="shared" si="59"/>
        <v>118.41766082715527</v>
      </c>
      <c r="K176" s="526"/>
      <c r="L176" s="128"/>
    </row>
    <row r="177" spans="2:13" ht="15" customHeight="1">
      <c r="B177" s="676">
        <v>723129</v>
      </c>
      <c r="C177" s="697" t="s">
        <v>290</v>
      </c>
      <c r="D177" s="678">
        <v>5420</v>
      </c>
      <c r="E177" s="678">
        <v>5420</v>
      </c>
      <c r="F177" s="678">
        <v>4255</v>
      </c>
      <c r="G177" s="679">
        <v>6560</v>
      </c>
      <c r="H177" s="918">
        <f t="shared" si="64"/>
        <v>121.03321033210332</v>
      </c>
      <c r="I177" s="853">
        <f t="shared" si="59"/>
        <v>154.17156286721504</v>
      </c>
      <c r="K177" s="526"/>
      <c r="L177" s="128"/>
    </row>
    <row r="178" spans="2:13">
      <c r="B178" s="660"/>
      <c r="C178" s="696"/>
      <c r="D178" s="662"/>
      <c r="E178" s="662"/>
      <c r="F178" s="662"/>
      <c r="G178" s="663"/>
      <c r="H178" s="919" t="str">
        <f t="shared" si="64"/>
        <v/>
      </c>
      <c r="I178" s="854" t="str">
        <f t="shared" si="59"/>
        <v/>
      </c>
      <c r="K178" s="526"/>
      <c r="L178" s="128"/>
    </row>
    <row r="179" spans="2:13" ht="17.100000000000001" customHeight="1">
      <c r="B179" s="1002" t="s">
        <v>308</v>
      </c>
      <c r="C179" s="1003"/>
      <c r="D179" s="698">
        <f>D5+D62</f>
        <v>49622700</v>
      </c>
      <c r="E179" s="698">
        <f>E5+E62</f>
        <v>49622700</v>
      </c>
      <c r="F179" s="698">
        <f>F5+F62</f>
        <v>41836399</v>
      </c>
      <c r="G179" s="699">
        <f>G5+G62</f>
        <v>49212218</v>
      </c>
      <c r="H179" s="923">
        <f t="shared" si="64"/>
        <v>99.17279390279046</v>
      </c>
      <c r="I179" s="858">
        <f t="shared" si="59"/>
        <v>117.63014785283026</v>
      </c>
      <c r="K179" s="526"/>
      <c r="L179" s="128"/>
    </row>
    <row r="180" spans="2:13">
      <c r="B180" s="700"/>
      <c r="C180" s="701"/>
      <c r="D180" s="702"/>
      <c r="E180" s="702"/>
      <c r="F180" s="702"/>
      <c r="G180" s="703"/>
      <c r="H180" s="919" t="str">
        <f t="shared" si="64"/>
        <v/>
      </c>
      <c r="I180" s="854" t="str">
        <f t="shared" si="59"/>
        <v/>
      </c>
      <c r="K180" s="526"/>
      <c r="L180" s="128"/>
    </row>
    <row r="181" spans="2:13" ht="17.100000000000001" customHeight="1">
      <c r="B181" s="649">
        <v>730000</v>
      </c>
      <c r="C181" s="653" t="s">
        <v>346</v>
      </c>
      <c r="D181" s="651">
        <f>D182+D189+D212</f>
        <v>8670409</v>
      </c>
      <c r="E181" s="651">
        <f>E182+E189+E212</f>
        <v>8670409</v>
      </c>
      <c r="F181" s="651">
        <f>F182+F189+F212</f>
        <v>6299009</v>
      </c>
      <c r="G181" s="652">
        <f>G182+G189+G212</f>
        <v>8366694</v>
      </c>
      <c r="H181" s="913">
        <f t="shared" si="64"/>
        <v>96.497108729242186</v>
      </c>
      <c r="I181" s="848">
        <f t="shared" si="59"/>
        <v>132.82556033814208</v>
      </c>
      <c r="K181" s="526"/>
      <c r="L181" s="128"/>
    </row>
    <row r="182" spans="2:13" ht="25.5">
      <c r="B182" s="649">
        <v>731000</v>
      </c>
      <c r="C182" s="653" t="s">
        <v>329</v>
      </c>
      <c r="D182" s="654">
        <f>D183</f>
        <v>39282</v>
      </c>
      <c r="E182" s="654">
        <f>E183</f>
        <v>39282</v>
      </c>
      <c r="F182" s="654">
        <f>F183</f>
        <v>33107</v>
      </c>
      <c r="G182" s="655">
        <f>G183</f>
        <v>39210</v>
      </c>
      <c r="H182" s="914">
        <f t="shared" si="64"/>
        <v>99.816709943485577</v>
      </c>
      <c r="I182" s="849">
        <f t="shared" si="59"/>
        <v>118.43416800072492</v>
      </c>
      <c r="K182" s="526"/>
      <c r="L182" s="128"/>
    </row>
    <row r="183" spans="2:13" ht="15" customHeight="1">
      <c r="B183" s="684">
        <v>731100</v>
      </c>
      <c r="C183" s="685" t="s">
        <v>330</v>
      </c>
      <c r="D183" s="686">
        <f>D184+D185</f>
        <v>39282</v>
      </c>
      <c r="E183" s="686">
        <f>E184+E185</f>
        <v>39282</v>
      </c>
      <c r="F183" s="686">
        <f>F184+F185</f>
        <v>33107</v>
      </c>
      <c r="G183" s="687">
        <f>G184+G185</f>
        <v>39210</v>
      </c>
      <c r="H183" s="920">
        <f t="shared" si="64"/>
        <v>99.816709943485577</v>
      </c>
      <c r="I183" s="855">
        <f t="shared" si="59"/>
        <v>118.43416800072492</v>
      </c>
      <c r="K183" s="526"/>
      <c r="L183" s="128"/>
    </row>
    <row r="184" spans="2:13" ht="15" customHeight="1">
      <c r="B184" s="660">
        <v>731111</v>
      </c>
      <c r="C184" s="661" t="s">
        <v>440</v>
      </c>
      <c r="D184" s="662">
        <v>0</v>
      </c>
      <c r="E184" s="662">
        <v>0</v>
      </c>
      <c r="F184" s="662">
        <v>0</v>
      </c>
      <c r="G184" s="663">
        <v>0</v>
      </c>
      <c r="H184" s="919" t="str">
        <f t="shared" si="64"/>
        <v/>
      </c>
      <c r="I184" s="854" t="str">
        <f t="shared" si="59"/>
        <v/>
      </c>
      <c r="K184" s="526"/>
      <c r="L184" s="128"/>
    </row>
    <row r="185" spans="2:13" ht="15" customHeight="1">
      <c r="B185" s="660">
        <v>731121</v>
      </c>
      <c r="C185" s="661" t="s">
        <v>331</v>
      </c>
      <c r="D185" s="662">
        <f>D186+D187+D188</f>
        <v>39282</v>
      </c>
      <c r="E185" s="662">
        <f t="shared" ref="E185:G185" si="89">E186+E187+E188</f>
        <v>39282</v>
      </c>
      <c r="F185" s="662">
        <f t="shared" si="89"/>
        <v>33107</v>
      </c>
      <c r="G185" s="663">
        <f t="shared" si="89"/>
        <v>39210</v>
      </c>
      <c r="H185" s="919">
        <f t="shared" si="64"/>
        <v>99.816709943485577</v>
      </c>
      <c r="I185" s="854">
        <f t="shared" si="59"/>
        <v>118.43416800072492</v>
      </c>
      <c r="K185" s="526"/>
      <c r="L185" s="128"/>
    </row>
    <row r="186" spans="2:13" s="461" customFormat="1" ht="15" customHeight="1">
      <c r="B186" s="672"/>
      <c r="C186" s="880" t="s">
        <v>914</v>
      </c>
      <c r="D186" s="674">
        <v>0</v>
      </c>
      <c r="E186" s="674">
        <v>0</v>
      </c>
      <c r="F186" s="674">
        <v>4258</v>
      </c>
      <c r="G186" s="675">
        <v>0</v>
      </c>
      <c r="H186" s="921" t="str">
        <f t="shared" si="64"/>
        <v/>
      </c>
      <c r="I186" s="856">
        <f t="shared" si="59"/>
        <v>0</v>
      </c>
      <c r="J186" s="462"/>
      <c r="K186" s="528"/>
      <c r="L186" s="463"/>
      <c r="M186" s="462"/>
    </row>
    <row r="187" spans="2:13" s="461" customFormat="1" ht="15" customHeight="1">
      <c r="B187" s="672"/>
      <c r="C187" s="688" t="s">
        <v>827</v>
      </c>
      <c r="D187" s="674">
        <v>30281</v>
      </c>
      <c r="E187" s="674">
        <v>30281</v>
      </c>
      <c r="F187" s="674">
        <v>0</v>
      </c>
      <c r="G187" s="888">
        <v>30281</v>
      </c>
      <c r="H187" s="921">
        <f t="shared" ref="H187" si="90">IF(E187=0,"",G187/E187*100)</f>
        <v>100</v>
      </c>
      <c r="I187" s="856" t="str">
        <f t="shared" si="59"/>
        <v/>
      </c>
      <c r="J187" s="901"/>
      <c r="K187" s="528"/>
      <c r="L187" s="463"/>
      <c r="M187" s="462"/>
    </row>
    <row r="188" spans="2:13" s="461" customFormat="1" ht="15" customHeight="1">
      <c r="B188" s="672"/>
      <c r="C188" s="688" t="s">
        <v>828</v>
      </c>
      <c r="D188" s="674">
        <v>9001</v>
      </c>
      <c r="E188" s="674">
        <v>9001</v>
      </c>
      <c r="F188" s="674">
        <v>28849</v>
      </c>
      <c r="G188" s="888">
        <v>8929</v>
      </c>
      <c r="H188" s="921">
        <f t="shared" si="64"/>
        <v>99.20008887901345</v>
      </c>
      <c r="I188" s="856">
        <f t="shared" si="59"/>
        <v>30.950812853131826</v>
      </c>
      <c r="J188" s="901"/>
      <c r="K188" s="528"/>
      <c r="L188" s="463"/>
      <c r="M188" s="462"/>
    </row>
    <row r="189" spans="2:13" ht="17.100000000000001" customHeight="1">
      <c r="B189" s="704">
        <v>732000</v>
      </c>
      <c r="C189" s="653" t="s">
        <v>332</v>
      </c>
      <c r="D189" s="654">
        <f t="shared" ref="D189:E189" si="91">D190</f>
        <v>8631127</v>
      </c>
      <c r="E189" s="654">
        <f t="shared" si="91"/>
        <v>8631127</v>
      </c>
      <c r="F189" s="654">
        <f>F190</f>
        <v>6264652</v>
      </c>
      <c r="G189" s="655">
        <f>G190</f>
        <v>8327484</v>
      </c>
      <c r="H189" s="914">
        <f t="shared" si="64"/>
        <v>96.482000554504637</v>
      </c>
      <c r="I189" s="849">
        <f t="shared" si="59"/>
        <v>132.92811795451686</v>
      </c>
      <c r="K189" s="526"/>
      <c r="L189" s="128"/>
    </row>
    <row r="190" spans="2:13" ht="15" customHeight="1">
      <c r="B190" s="684">
        <v>732100</v>
      </c>
      <c r="C190" s="685" t="s">
        <v>333</v>
      </c>
      <c r="D190" s="686">
        <f>D191+D209</f>
        <v>8631127</v>
      </c>
      <c r="E190" s="686">
        <f>E191+E209</f>
        <v>8631127</v>
      </c>
      <c r="F190" s="686">
        <f>F191+F209</f>
        <v>6264652</v>
      </c>
      <c r="G190" s="687">
        <f>G191+G209</f>
        <v>8327484</v>
      </c>
      <c r="H190" s="920">
        <f t="shared" si="64"/>
        <v>96.482000554504637</v>
      </c>
      <c r="I190" s="855">
        <f t="shared" si="59"/>
        <v>132.92811795451686</v>
      </c>
      <c r="K190" s="526"/>
      <c r="L190" s="128"/>
    </row>
    <row r="191" spans="2:13" ht="15" customHeight="1">
      <c r="B191" s="656">
        <v>732110</v>
      </c>
      <c r="C191" s="666" t="s">
        <v>334</v>
      </c>
      <c r="D191" s="667">
        <f>D192+D195+D207</f>
        <v>8559327</v>
      </c>
      <c r="E191" s="667">
        <f>E192+E195+E207</f>
        <v>8559327</v>
      </c>
      <c r="F191" s="667">
        <f>F192+F195+F207</f>
        <v>6173413</v>
      </c>
      <c r="G191" s="668">
        <f>G192+G195+G207</f>
        <v>8241551</v>
      </c>
      <c r="H191" s="920">
        <f t="shared" si="64"/>
        <v>96.287371659010105</v>
      </c>
      <c r="I191" s="855">
        <f t="shared" si="59"/>
        <v>133.50072318181208</v>
      </c>
      <c r="K191" s="526"/>
      <c r="L191" s="128"/>
    </row>
    <row r="192" spans="2:13" ht="15" customHeight="1">
      <c r="B192" s="660">
        <v>732111</v>
      </c>
      <c r="C192" s="661" t="s">
        <v>745</v>
      </c>
      <c r="D192" s="662">
        <f>SUM(D193:D194)</f>
        <v>0</v>
      </c>
      <c r="E192" s="662">
        <f t="shared" ref="E192:G192" si="92">SUM(E193:E194)</f>
        <v>0</v>
      </c>
      <c r="F192" s="662">
        <f t="shared" si="92"/>
        <v>286818</v>
      </c>
      <c r="G192" s="663">
        <f t="shared" si="92"/>
        <v>0</v>
      </c>
      <c r="H192" s="919" t="str">
        <f t="shared" si="64"/>
        <v/>
      </c>
      <c r="I192" s="854">
        <f t="shared" si="59"/>
        <v>0</v>
      </c>
      <c r="K192" s="526"/>
      <c r="L192" s="128"/>
    </row>
    <row r="193" spans="2:13" s="882" customFormat="1" ht="15" customHeight="1">
      <c r="B193" s="660"/>
      <c r="C193" s="880" t="s">
        <v>915</v>
      </c>
      <c r="D193" s="706">
        <v>0</v>
      </c>
      <c r="E193" s="706">
        <v>0</v>
      </c>
      <c r="F193" s="706">
        <v>167754</v>
      </c>
      <c r="G193" s="707">
        <v>0</v>
      </c>
      <c r="H193" s="919" t="str">
        <f t="shared" si="64"/>
        <v/>
      </c>
      <c r="I193" s="854">
        <f t="shared" si="59"/>
        <v>0</v>
      </c>
      <c r="J193" s="117"/>
      <c r="K193" s="526"/>
      <c r="L193" s="128"/>
      <c r="M193" s="117"/>
    </row>
    <row r="194" spans="2:13" s="882" customFormat="1" ht="15" customHeight="1">
      <c r="B194" s="660"/>
      <c r="C194" s="880" t="s">
        <v>916</v>
      </c>
      <c r="D194" s="706">
        <v>0</v>
      </c>
      <c r="E194" s="706">
        <v>0</v>
      </c>
      <c r="F194" s="706">
        <v>119064</v>
      </c>
      <c r="G194" s="707">
        <v>0</v>
      </c>
      <c r="H194" s="919" t="str">
        <f t="shared" ref="H194" si="93">IF(E194=0,"",G194/E194*100)</f>
        <v/>
      </c>
      <c r="I194" s="854">
        <f t="shared" si="59"/>
        <v>0</v>
      </c>
      <c r="J194" s="117"/>
      <c r="K194" s="526"/>
      <c r="L194" s="128"/>
      <c r="M194" s="117"/>
    </row>
    <row r="195" spans="2:13" ht="15" customHeight="1">
      <c r="B195" s="660">
        <v>732112</v>
      </c>
      <c r="C195" s="661" t="s">
        <v>335</v>
      </c>
      <c r="D195" s="662">
        <f>D196+D197+D199+D200+D202+D206++D198+D201+D205</f>
        <v>8559327</v>
      </c>
      <c r="E195" s="662">
        <f t="shared" ref="E195:G195" si="94">E196+E197+E199+E200+E202+E206++E198+E201+E205</f>
        <v>8559327</v>
      </c>
      <c r="F195" s="662">
        <f t="shared" si="94"/>
        <v>5886595</v>
      </c>
      <c r="G195" s="663">
        <f t="shared" si="94"/>
        <v>8241551</v>
      </c>
      <c r="H195" s="919">
        <f t="shared" si="64"/>
        <v>96.287371659010105</v>
      </c>
      <c r="I195" s="854">
        <f t="shared" si="59"/>
        <v>140.00540210427249</v>
      </c>
      <c r="K195" s="526"/>
      <c r="L195" s="128"/>
    </row>
    <row r="196" spans="2:13" s="461" customFormat="1" ht="15" customHeight="1">
      <c r="B196" s="672"/>
      <c r="C196" s="705" t="s">
        <v>894</v>
      </c>
      <c r="D196" s="674">
        <v>4861</v>
      </c>
      <c r="E196" s="674">
        <v>4861</v>
      </c>
      <c r="F196" s="674">
        <v>37616</v>
      </c>
      <c r="G196" s="675">
        <v>0</v>
      </c>
      <c r="H196" s="921">
        <f t="shared" si="64"/>
        <v>0</v>
      </c>
      <c r="I196" s="856">
        <f t="shared" si="59"/>
        <v>0</v>
      </c>
      <c r="J196" s="901"/>
      <c r="K196" s="528"/>
      <c r="L196" s="463"/>
      <c r="M196" s="462"/>
    </row>
    <row r="197" spans="2:13" s="461" customFormat="1" ht="25.5">
      <c r="B197" s="672"/>
      <c r="C197" s="688" t="s">
        <v>607</v>
      </c>
      <c r="D197" s="674">
        <v>236790</v>
      </c>
      <c r="E197" s="674">
        <v>236790</v>
      </c>
      <c r="F197" s="674">
        <v>234492</v>
      </c>
      <c r="G197" s="675">
        <v>236786</v>
      </c>
      <c r="H197" s="921">
        <f t="shared" si="64"/>
        <v>99.998310739473794</v>
      </c>
      <c r="I197" s="856">
        <f t="shared" si="59"/>
        <v>100.97828497347459</v>
      </c>
      <c r="J197" s="462"/>
      <c r="K197" s="528"/>
      <c r="L197" s="463"/>
      <c r="M197" s="462"/>
    </row>
    <row r="198" spans="2:13" s="461" customFormat="1" ht="25.5">
      <c r="B198" s="672"/>
      <c r="C198" s="688" t="s">
        <v>885</v>
      </c>
      <c r="D198" s="674">
        <v>190000</v>
      </c>
      <c r="E198" s="674">
        <v>190000</v>
      </c>
      <c r="F198" s="674">
        <v>0</v>
      </c>
      <c r="G198" s="888">
        <v>0</v>
      </c>
      <c r="H198" s="921">
        <f t="shared" ref="H198" si="95">IF(E198=0,"",G198/E198*100)</f>
        <v>0</v>
      </c>
      <c r="I198" s="856" t="str">
        <f t="shared" ref="I198:I261" si="96">IF(F198=0,"",G198/F198*100)</f>
        <v/>
      </c>
      <c r="J198" s="901"/>
      <c r="K198" s="528"/>
      <c r="L198" s="462"/>
      <c r="M198" s="462"/>
    </row>
    <row r="199" spans="2:13" s="461" customFormat="1" ht="43.5" customHeight="1">
      <c r="B199" s="672"/>
      <c r="C199" s="688" t="s">
        <v>879</v>
      </c>
      <c r="D199" s="674">
        <v>5640</v>
      </c>
      <c r="E199" s="674">
        <v>5640</v>
      </c>
      <c r="F199" s="674">
        <v>7830</v>
      </c>
      <c r="G199" s="675">
        <v>5640</v>
      </c>
      <c r="H199" s="921">
        <f t="shared" si="64"/>
        <v>100</v>
      </c>
      <c r="I199" s="856">
        <f t="shared" si="96"/>
        <v>72.030651340996172</v>
      </c>
      <c r="J199" s="901"/>
      <c r="K199" s="528"/>
      <c r="L199" s="462"/>
      <c r="M199" s="462"/>
    </row>
    <row r="200" spans="2:13" s="461" customFormat="1" ht="40.5" customHeight="1">
      <c r="B200" s="672"/>
      <c r="C200" s="688" t="s">
        <v>882</v>
      </c>
      <c r="D200" s="674">
        <v>20000</v>
      </c>
      <c r="E200" s="674">
        <v>20000</v>
      </c>
      <c r="F200" s="674">
        <v>0</v>
      </c>
      <c r="G200" s="888">
        <v>20000</v>
      </c>
      <c r="H200" s="921">
        <f t="shared" ref="H200" si="97">IF(E200=0,"",G200/E200*100)</f>
        <v>100</v>
      </c>
      <c r="I200" s="856" t="str">
        <f t="shared" si="96"/>
        <v/>
      </c>
      <c r="J200" s="901"/>
      <c r="K200" s="528"/>
      <c r="L200" s="463"/>
      <c r="M200" s="462"/>
    </row>
    <row r="201" spans="2:13" s="461" customFormat="1" ht="18" customHeight="1">
      <c r="B201" s="672"/>
      <c r="C201" s="688" t="s">
        <v>917</v>
      </c>
      <c r="D201" s="674">
        <v>0</v>
      </c>
      <c r="E201" s="674">
        <v>0</v>
      </c>
      <c r="F201" s="674">
        <v>4686</v>
      </c>
      <c r="G201" s="675">
        <v>0</v>
      </c>
      <c r="H201" s="921" t="str">
        <f t="shared" ref="H201" si="98">IF(E201=0,"",G201/E201*100)</f>
        <v/>
      </c>
      <c r="I201" s="856">
        <f t="shared" si="96"/>
        <v>0</v>
      </c>
      <c r="J201" s="462"/>
      <c r="K201" s="528"/>
      <c r="L201" s="463"/>
      <c r="M201" s="462"/>
    </row>
    <row r="202" spans="2:13" s="461" customFormat="1" ht="17.100000000000001" customHeight="1">
      <c r="B202" s="672"/>
      <c r="C202" s="688" t="s">
        <v>307</v>
      </c>
      <c r="D202" s="674">
        <f t="shared" ref="D202:E202" si="99">SUM(D203:D204)</f>
        <v>5102036</v>
      </c>
      <c r="E202" s="674">
        <f t="shared" si="99"/>
        <v>5102036</v>
      </c>
      <c r="F202" s="674">
        <f>SUM(F203:F204)</f>
        <v>0</v>
      </c>
      <c r="G202" s="675">
        <f t="shared" ref="G202" si="100">SUM(G203:G204)</f>
        <v>4979125</v>
      </c>
      <c r="H202" s="921">
        <f t="shared" si="64"/>
        <v>97.590942125849367</v>
      </c>
      <c r="I202" s="856" t="str">
        <f t="shared" si="96"/>
        <v/>
      </c>
      <c r="J202" s="462"/>
      <c r="K202" s="528"/>
      <c r="L202" s="462"/>
      <c r="M202" s="462"/>
    </row>
    <row r="203" spans="2:13" s="461" customFormat="1" ht="17.100000000000001" customHeight="1">
      <c r="B203" s="672"/>
      <c r="C203" s="688" t="s">
        <v>831</v>
      </c>
      <c r="D203" s="674">
        <f t="shared" ref="D203:E203" si="101">3800986-613500-500000</f>
        <v>2687486</v>
      </c>
      <c r="E203" s="674">
        <f t="shared" si="101"/>
        <v>2687486</v>
      </c>
      <c r="F203" s="674">
        <v>0</v>
      </c>
      <c r="G203" s="888">
        <v>2689303</v>
      </c>
      <c r="H203" s="921">
        <f>IF(E203=0,"",G203/E203*100)</f>
        <v>100.0676096545247</v>
      </c>
      <c r="I203" s="856" t="str">
        <f t="shared" si="96"/>
        <v/>
      </c>
      <c r="J203" s="901"/>
      <c r="K203" s="528"/>
      <c r="L203" s="528"/>
      <c r="M203" s="462"/>
    </row>
    <row r="204" spans="2:13" s="461" customFormat="1" ht="17.100000000000001" customHeight="1">
      <c r="B204" s="672"/>
      <c r="C204" s="688" t="s">
        <v>832</v>
      </c>
      <c r="D204" s="674">
        <v>2414550</v>
      </c>
      <c r="E204" s="674">
        <v>2414550</v>
      </c>
      <c r="F204" s="674">
        <v>0</v>
      </c>
      <c r="G204" s="888">
        <v>2289822</v>
      </c>
      <c r="H204" s="921">
        <f t="shared" ref="H204:H205" si="102">IF(E204=0,"",G204/E204*100)</f>
        <v>94.834316953469582</v>
      </c>
      <c r="I204" s="856" t="str">
        <f t="shared" si="96"/>
        <v/>
      </c>
      <c r="J204" s="901"/>
      <c r="K204" s="528"/>
      <c r="L204" s="528"/>
      <c r="M204" s="462"/>
    </row>
    <row r="205" spans="2:13" s="461" customFormat="1" ht="17.100000000000001" customHeight="1">
      <c r="B205" s="672"/>
      <c r="C205" s="688" t="s">
        <v>918</v>
      </c>
      <c r="D205" s="674">
        <v>0</v>
      </c>
      <c r="E205" s="674">
        <v>0</v>
      </c>
      <c r="F205" s="674">
        <v>4601971</v>
      </c>
      <c r="G205" s="675">
        <v>0</v>
      </c>
      <c r="H205" s="921" t="str">
        <f t="shared" si="102"/>
        <v/>
      </c>
      <c r="I205" s="856">
        <f t="shared" si="96"/>
        <v>0</v>
      </c>
      <c r="J205" s="462"/>
      <c r="K205" s="528"/>
      <c r="L205" s="462"/>
      <c r="M205" s="462"/>
    </row>
    <row r="206" spans="2:13" s="461" customFormat="1" ht="17.100000000000001" customHeight="1">
      <c r="B206" s="672"/>
      <c r="C206" s="688" t="s">
        <v>761</v>
      </c>
      <c r="D206" s="674">
        <v>3000000</v>
      </c>
      <c r="E206" s="674">
        <v>3000000</v>
      </c>
      <c r="F206" s="674">
        <v>1000000</v>
      </c>
      <c r="G206" s="888">
        <v>3000000</v>
      </c>
      <c r="H206" s="921">
        <f t="shared" si="64"/>
        <v>100</v>
      </c>
      <c r="I206" s="856">
        <f t="shared" si="96"/>
        <v>300</v>
      </c>
      <c r="J206" s="901"/>
      <c r="K206" s="528"/>
      <c r="L206" s="462"/>
      <c r="M206" s="462"/>
    </row>
    <row r="207" spans="2:13" ht="15" customHeight="1">
      <c r="B207" s="660">
        <v>732115</v>
      </c>
      <c r="C207" s="661" t="s">
        <v>492</v>
      </c>
      <c r="D207" s="662">
        <f t="shared" ref="D207:G207" si="103">D208</f>
        <v>0</v>
      </c>
      <c r="E207" s="662">
        <f t="shared" si="103"/>
        <v>0</v>
      </c>
      <c r="F207" s="662">
        <v>0</v>
      </c>
      <c r="G207" s="663">
        <f t="shared" si="103"/>
        <v>0</v>
      </c>
      <c r="H207" s="919" t="str">
        <f t="shared" si="64"/>
        <v/>
      </c>
      <c r="I207" s="854" t="str">
        <f t="shared" si="96"/>
        <v/>
      </c>
      <c r="K207" s="526"/>
    </row>
    <row r="208" spans="2:13" s="461" customFormat="1" ht="15" customHeight="1">
      <c r="B208" s="672"/>
      <c r="C208" s="673" t="s">
        <v>742</v>
      </c>
      <c r="D208" s="706">
        <v>0</v>
      </c>
      <c r="E208" s="706">
        <v>0</v>
      </c>
      <c r="F208" s="706">
        <v>0</v>
      </c>
      <c r="G208" s="707">
        <v>0</v>
      </c>
      <c r="H208" s="921" t="str">
        <f t="shared" si="64"/>
        <v/>
      </c>
      <c r="I208" s="856" t="str">
        <f t="shared" si="96"/>
        <v/>
      </c>
      <c r="J208" s="462"/>
      <c r="K208" s="528"/>
      <c r="L208" s="462"/>
      <c r="M208" s="462"/>
    </row>
    <row r="209" spans="2:13" ht="15" customHeight="1">
      <c r="B209" s="656">
        <v>732130</v>
      </c>
      <c r="C209" s="666" t="s">
        <v>468</v>
      </c>
      <c r="D209" s="667">
        <f t="shared" ref="D209:E209" si="104">SUM(D210:D211)</f>
        <v>71800</v>
      </c>
      <c r="E209" s="667">
        <f t="shared" si="104"/>
        <v>71800</v>
      </c>
      <c r="F209" s="667">
        <f>SUM(F210:F211)</f>
        <v>91239</v>
      </c>
      <c r="G209" s="668">
        <f>SUM(G210:G211)</f>
        <v>85933</v>
      </c>
      <c r="H209" s="920">
        <f t="shared" si="64"/>
        <v>119.68384401114207</v>
      </c>
      <c r="I209" s="855">
        <f t="shared" si="96"/>
        <v>94.184504433411149</v>
      </c>
      <c r="K209" s="526"/>
    </row>
    <row r="210" spans="2:13" ht="15" customHeight="1">
      <c r="B210" s="660">
        <v>732131</v>
      </c>
      <c r="C210" s="683" t="s">
        <v>662</v>
      </c>
      <c r="D210" s="664">
        <f t="shared" ref="D210:E210" si="105">22120+6*1980</f>
        <v>34000</v>
      </c>
      <c r="E210" s="664">
        <f t="shared" si="105"/>
        <v>34000</v>
      </c>
      <c r="F210" s="664">
        <v>56565</v>
      </c>
      <c r="G210" s="665">
        <v>48907</v>
      </c>
      <c r="H210" s="919">
        <f t="shared" si="64"/>
        <v>143.84411764705882</v>
      </c>
      <c r="I210" s="854">
        <f t="shared" si="96"/>
        <v>86.461592857774235</v>
      </c>
      <c r="J210" s="348"/>
      <c r="K210" s="526"/>
    </row>
    <row r="211" spans="2:13" ht="15" customHeight="1">
      <c r="B211" s="660">
        <v>732131</v>
      </c>
      <c r="C211" s="683" t="s">
        <v>483</v>
      </c>
      <c r="D211" s="664">
        <v>37800</v>
      </c>
      <c r="E211" s="664">
        <v>37800</v>
      </c>
      <c r="F211" s="664">
        <v>34674</v>
      </c>
      <c r="G211" s="665">
        <v>37026</v>
      </c>
      <c r="H211" s="919">
        <f t="shared" si="64"/>
        <v>97.952380952380963</v>
      </c>
      <c r="I211" s="854">
        <f t="shared" si="96"/>
        <v>106.78318048105209</v>
      </c>
      <c r="J211" s="348"/>
      <c r="K211" s="526"/>
    </row>
    <row r="212" spans="2:13" ht="17.100000000000001" customHeight="1">
      <c r="B212" s="704">
        <v>733000</v>
      </c>
      <c r="C212" s="653" t="s">
        <v>292</v>
      </c>
      <c r="D212" s="654">
        <f t="shared" ref="D212:E212" si="106">D213</f>
        <v>0</v>
      </c>
      <c r="E212" s="654">
        <f t="shared" si="106"/>
        <v>0</v>
      </c>
      <c r="F212" s="654">
        <f>F213</f>
        <v>1250</v>
      </c>
      <c r="G212" s="655">
        <f>G213</f>
        <v>0</v>
      </c>
      <c r="H212" s="914" t="str">
        <f t="shared" si="64"/>
        <v/>
      </c>
      <c r="I212" s="849">
        <f t="shared" si="96"/>
        <v>0</v>
      </c>
      <c r="K212" s="526"/>
    </row>
    <row r="213" spans="2:13" ht="15" customHeight="1">
      <c r="B213" s="684">
        <v>733100</v>
      </c>
      <c r="C213" s="685" t="s">
        <v>293</v>
      </c>
      <c r="D213" s="686">
        <f>D214+D217</f>
        <v>0</v>
      </c>
      <c r="E213" s="686">
        <f>E214+E217</f>
        <v>0</v>
      </c>
      <c r="F213" s="686">
        <f>F214+F217</f>
        <v>1250</v>
      </c>
      <c r="G213" s="687">
        <f>G214+G217</f>
        <v>0</v>
      </c>
      <c r="H213" s="920" t="str">
        <f t="shared" si="64"/>
        <v/>
      </c>
      <c r="I213" s="855">
        <f t="shared" si="96"/>
        <v>0</v>
      </c>
      <c r="K213" s="526"/>
    </row>
    <row r="214" spans="2:13" ht="15" customHeight="1">
      <c r="B214" s="656">
        <v>733110</v>
      </c>
      <c r="C214" s="666" t="s">
        <v>294</v>
      </c>
      <c r="D214" s="667">
        <f>D215+D216</f>
        <v>0</v>
      </c>
      <c r="E214" s="667">
        <f t="shared" ref="E214:G214" si="107">E215+E216</f>
        <v>0</v>
      </c>
      <c r="F214" s="667">
        <f t="shared" si="107"/>
        <v>1250</v>
      </c>
      <c r="G214" s="668">
        <f t="shared" si="107"/>
        <v>0</v>
      </c>
      <c r="H214" s="920" t="str">
        <f t="shared" si="64"/>
        <v/>
      </c>
      <c r="I214" s="855">
        <f t="shared" si="96"/>
        <v>0</v>
      </c>
      <c r="K214" s="526"/>
    </row>
    <row r="215" spans="2:13" s="882" customFormat="1" ht="15" customHeight="1">
      <c r="B215" s="890">
        <v>733112</v>
      </c>
      <c r="C215" s="891" t="s">
        <v>919</v>
      </c>
      <c r="D215" s="892">
        <v>0</v>
      </c>
      <c r="E215" s="892">
        <v>0</v>
      </c>
      <c r="F215" s="892">
        <v>850</v>
      </c>
      <c r="G215" s="893">
        <v>0</v>
      </c>
      <c r="H215" s="924" t="str">
        <f t="shared" si="64"/>
        <v/>
      </c>
      <c r="I215" s="894">
        <f t="shared" si="96"/>
        <v>0</v>
      </c>
      <c r="J215" s="117"/>
      <c r="K215" s="895"/>
      <c r="L215" s="117"/>
      <c r="M215" s="117"/>
    </row>
    <row r="216" spans="2:13" s="882" customFormat="1" ht="15" customHeight="1">
      <c r="B216" s="890">
        <v>733112</v>
      </c>
      <c r="C216" s="891" t="s">
        <v>920</v>
      </c>
      <c r="D216" s="892">
        <v>0</v>
      </c>
      <c r="E216" s="892">
        <v>0</v>
      </c>
      <c r="F216" s="892">
        <v>400</v>
      </c>
      <c r="G216" s="893">
        <v>0</v>
      </c>
      <c r="H216" s="924" t="str">
        <f t="shared" si="64"/>
        <v/>
      </c>
      <c r="I216" s="894">
        <f t="shared" si="96"/>
        <v>0</v>
      </c>
      <c r="J216" s="117"/>
      <c r="K216" s="895"/>
      <c r="L216" s="117"/>
      <c r="M216" s="117"/>
    </row>
    <row r="217" spans="2:13" ht="15" customHeight="1">
      <c r="B217" s="656">
        <v>733120</v>
      </c>
      <c r="C217" s="666" t="s">
        <v>295</v>
      </c>
      <c r="D217" s="667">
        <v>0</v>
      </c>
      <c r="E217" s="667">
        <v>0</v>
      </c>
      <c r="F217" s="667">
        <v>0</v>
      </c>
      <c r="G217" s="668">
        <v>0</v>
      </c>
      <c r="H217" s="920" t="str">
        <f t="shared" si="64"/>
        <v/>
      </c>
      <c r="I217" s="855" t="str">
        <f t="shared" si="96"/>
        <v/>
      </c>
      <c r="K217" s="526"/>
    </row>
    <row r="218" spans="2:13" ht="15">
      <c r="B218" s="708"/>
      <c r="C218" s="682"/>
      <c r="D218" s="658"/>
      <c r="E218" s="658"/>
      <c r="F218" s="658"/>
      <c r="G218" s="659"/>
      <c r="H218" s="919" t="str">
        <f t="shared" si="64"/>
        <v/>
      </c>
      <c r="I218" s="854" t="str">
        <f t="shared" si="96"/>
        <v/>
      </c>
      <c r="K218" s="526"/>
    </row>
    <row r="219" spans="2:13" ht="17.100000000000001" customHeight="1">
      <c r="B219" s="649">
        <v>740000</v>
      </c>
      <c r="C219" s="653" t="s">
        <v>336</v>
      </c>
      <c r="D219" s="651">
        <f t="shared" ref="D219:E219" si="108">D220+D230</f>
        <v>439011</v>
      </c>
      <c r="E219" s="651">
        <f t="shared" si="108"/>
        <v>439011</v>
      </c>
      <c r="F219" s="651">
        <f>F220+F230</f>
        <v>243132</v>
      </c>
      <c r="G219" s="652">
        <f>G220+G230</f>
        <v>311557</v>
      </c>
      <c r="H219" s="913">
        <f t="shared" si="64"/>
        <v>70.967925632842906</v>
      </c>
      <c r="I219" s="848">
        <f t="shared" si="96"/>
        <v>128.14314857772732</v>
      </c>
      <c r="K219" s="526"/>
    </row>
    <row r="220" spans="2:13" ht="25.5">
      <c r="B220" s="704">
        <v>741000</v>
      </c>
      <c r="C220" s="653" t="s">
        <v>337</v>
      </c>
      <c r="D220" s="654">
        <f t="shared" ref="D220:G221" si="109">D221</f>
        <v>111760</v>
      </c>
      <c r="E220" s="654">
        <f t="shared" si="109"/>
        <v>111760</v>
      </c>
      <c r="F220" s="654">
        <f t="shared" si="109"/>
        <v>32897</v>
      </c>
      <c r="G220" s="655">
        <f t="shared" si="109"/>
        <v>111760</v>
      </c>
      <c r="H220" s="914">
        <f t="shared" ref="H220:H264" si="110">IF(E220=0,"",G220/E220*100)</f>
        <v>100</v>
      </c>
      <c r="I220" s="849">
        <f t="shared" si="96"/>
        <v>339.72702678055748</v>
      </c>
      <c r="K220" s="526"/>
    </row>
    <row r="221" spans="2:13" ht="25.5">
      <c r="B221" s="684">
        <v>741100</v>
      </c>
      <c r="C221" s="689" t="s">
        <v>338</v>
      </c>
      <c r="D221" s="686">
        <f t="shared" si="109"/>
        <v>111760</v>
      </c>
      <c r="E221" s="686">
        <f t="shared" si="109"/>
        <v>111760</v>
      </c>
      <c r="F221" s="686">
        <f t="shared" si="109"/>
        <v>32897</v>
      </c>
      <c r="G221" s="687">
        <f t="shared" si="109"/>
        <v>111760</v>
      </c>
      <c r="H221" s="920">
        <f t="shared" si="110"/>
        <v>100</v>
      </c>
      <c r="I221" s="855">
        <f t="shared" si="96"/>
        <v>339.72702678055748</v>
      </c>
      <c r="K221" s="526"/>
    </row>
    <row r="222" spans="2:13" ht="15" customHeight="1">
      <c r="B222" s="660">
        <v>741111</v>
      </c>
      <c r="C222" s="661" t="s">
        <v>339</v>
      </c>
      <c r="D222" s="662">
        <f>SUM(D223:D229)</f>
        <v>111760</v>
      </c>
      <c r="E222" s="662">
        <f t="shared" ref="E222:G222" si="111">SUM(E223:E229)</f>
        <v>111760</v>
      </c>
      <c r="F222" s="662">
        <f t="shared" si="111"/>
        <v>32897</v>
      </c>
      <c r="G222" s="663">
        <f t="shared" si="111"/>
        <v>111760</v>
      </c>
      <c r="H222" s="919">
        <f t="shared" si="110"/>
        <v>100</v>
      </c>
      <c r="I222" s="854">
        <f t="shared" si="96"/>
        <v>339.72702678055748</v>
      </c>
      <c r="K222" s="526"/>
    </row>
    <row r="223" spans="2:13" s="461" customFormat="1" ht="40.5" customHeight="1">
      <c r="B223" s="672"/>
      <c r="C223" s="688" t="s">
        <v>921</v>
      </c>
      <c r="D223" s="674">
        <v>0</v>
      </c>
      <c r="E223" s="674">
        <v>0</v>
      </c>
      <c r="F223" s="674">
        <v>25101</v>
      </c>
      <c r="G223" s="675">
        <v>0</v>
      </c>
      <c r="H223" s="921" t="str">
        <f t="shared" ref="H223" si="112">IF(E223=0,"",G223/E223*100)</f>
        <v/>
      </c>
      <c r="I223" s="856">
        <f t="shared" si="96"/>
        <v>0</v>
      </c>
      <c r="J223" s="462"/>
      <c r="K223" s="528"/>
      <c r="L223" s="462"/>
      <c r="M223" s="462"/>
    </row>
    <row r="224" spans="2:13" s="461" customFormat="1" ht="40.5" customHeight="1">
      <c r="B224" s="672"/>
      <c r="C224" s="688" t="s">
        <v>883</v>
      </c>
      <c r="D224" s="674">
        <v>65593</v>
      </c>
      <c r="E224" s="674">
        <v>65593</v>
      </c>
      <c r="F224" s="674">
        <v>0</v>
      </c>
      <c r="G224" s="675">
        <v>65593</v>
      </c>
      <c r="H224" s="921">
        <f t="shared" si="110"/>
        <v>100</v>
      </c>
      <c r="I224" s="856" t="str">
        <f t="shared" si="96"/>
        <v/>
      </c>
      <c r="J224" s="462"/>
      <c r="K224" s="528"/>
      <c r="L224" s="462"/>
      <c r="M224" s="462"/>
    </row>
    <row r="225" spans="2:13" s="461" customFormat="1" ht="42" customHeight="1">
      <c r="B225" s="672"/>
      <c r="C225" s="688" t="s">
        <v>876</v>
      </c>
      <c r="D225" s="674">
        <v>15151</v>
      </c>
      <c r="E225" s="674">
        <v>15151</v>
      </c>
      <c r="F225" s="674">
        <v>0</v>
      </c>
      <c r="G225" s="675">
        <v>15151</v>
      </c>
      <c r="H225" s="921">
        <f t="shared" ref="H225" si="113">IF(E225=0,"",G225/E225*100)</f>
        <v>100</v>
      </c>
      <c r="I225" s="856" t="str">
        <f t="shared" si="96"/>
        <v/>
      </c>
      <c r="J225" s="462"/>
      <c r="K225" s="528"/>
      <c r="L225" s="462"/>
      <c r="M225" s="462"/>
    </row>
    <row r="226" spans="2:13" s="461" customFormat="1" ht="27.75" customHeight="1">
      <c r="B226" s="672"/>
      <c r="C226" s="688" t="s">
        <v>880</v>
      </c>
      <c r="D226" s="674">
        <v>7055</v>
      </c>
      <c r="E226" s="674">
        <v>7055</v>
      </c>
      <c r="F226" s="674">
        <v>0</v>
      </c>
      <c r="G226" s="675">
        <v>7055</v>
      </c>
      <c r="H226" s="921">
        <f t="shared" si="110"/>
        <v>100</v>
      </c>
      <c r="I226" s="856" t="str">
        <f t="shared" si="96"/>
        <v/>
      </c>
      <c r="J226" s="462"/>
      <c r="K226" s="528"/>
      <c r="L226" s="462"/>
      <c r="M226" s="462"/>
    </row>
    <row r="227" spans="2:13" s="461" customFormat="1" ht="27.75" customHeight="1">
      <c r="B227" s="672"/>
      <c r="C227" s="688" t="s">
        <v>922</v>
      </c>
      <c r="D227" s="674">
        <v>0</v>
      </c>
      <c r="E227" s="674">
        <v>0</v>
      </c>
      <c r="F227" s="674">
        <v>3797</v>
      </c>
      <c r="G227" s="675">
        <v>0</v>
      </c>
      <c r="H227" s="921" t="str">
        <f t="shared" ref="H227" si="114">IF(E227=0,"",G227/E227*100)</f>
        <v/>
      </c>
      <c r="I227" s="856">
        <f t="shared" si="96"/>
        <v>0</v>
      </c>
      <c r="J227" s="462"/>
      <c r="K227" s="528"/>
      <c r="L227" s="462"/>
      <c r="M227" s="462"/>
    </row>
    <row r="228" spans="2:13" s="461" customFormat="1" ht="27.75" customHeight="1">
      <c r="B228" s="672"/>
      <c r="C228" s="688" t="s">
        <v>923</v>
      </c>
      <c r="D228" s="674">
        <v>0</v>
      </c>
      <c r="E228" s="674">
        <v>0</v>
      </c>
      <c r="F228" s="674">
        <v>3999</v>
      </c>
      <c r="G228" s="675">
        <v>0</v>
      </c>
      <c r="H228" s="921" t="str">
        <f t="shared" ref="H228" si="115">IF(E228=0,"",G228/E228*100)</f>
        <v/>
      </c>
      <c r="I228" s="856">
        <f t="shared" si="96"/>
        <v>0</v>
      </c>
      <c r="J228" s="462"/>
      <c r="K228" s="528"/>
      <c r="L228" s="462"/>
      <c r="M228" s="462"/>
    </row>
    <row r="229" spans="2:13" s="461" customFormat="1" ht="41.25" customHeight="1">
      <c r="B229" s="672"/>
      <c r="C229" s="688" t="s">
        <v>881</v>
      </c>
      <c r="D229" s="674">
        <v>23961</v>
      </c>
      <c r="E229" s="674">
        <v>23961</v>
      </c>
      <c r="F229" s="674">
        <v>0</v>
      </c>
      <c r="G229" s="675">
        <v>23961</v>
      </c>
      <c r="H229" s="921">
        <f t="shared" ref="H229" si="116">IF(E229=0,"",G229/E229*100)</f>
        <v>100</v>
      </c>
      <c r="I229" s="856" t="str">
        <f t="shared" si="96"/>
        <v/>
      </c>
      <c r="J229" s="462"/>
      <c r="K229" s="528"/>
      <c r="L229" s="462"/>
      <c r="M229" s="462"/>
    </row>
    <row r="230" spans="2:13" ht="25.5" customHeight="1">
      <c r="B230" s="704">
        <v>742000</v>
      </c>
      <c r="C230" s="653" t="s">
        <v>340</v>
      </c>
      <c r="D230" s="654">
        <f t="shared" ref="D230:E230" si="117">D231+D243</f>
        <v>327251</v>
      </c>
      <c r="E230" s="654">
        <f t="shared" si="117"/>
        <v>327251</v>
      </c>
      <c r="F230" s="654">
        <f>F231+F243</f>
        <v>210235</v>
      </c>
      <c r="G230" s="655">
        <f>G231+G243</f>
        <v>199797</v>
      </c>
      <c r="H230" s="914">
        <f t="shared" si="110"/>
        <v>61.053136583234277</v>
      </c>
      <c r="I230" s="849">
        <f t="shared" si="96"/>
        <v>95.035079791661715</v>
      </c>
      <c r="K230" s="526"/>
    </row>
    <row r="231" spans="2:13" ht="15" customHeight="1">
      <c r="B231" s="684">
        <v>742100</v>
      </c>
      <c r="C231" s="689" t="s">
        <v>341</v>
      </c>
      <c r="D231" s="686">
        <f t="shared" ref="D231:E231" si="118">D232+D242</f>
        <v>327251</v>
      </c>
      <c r="E231" s="686">
        <f t="shared" si="118"/>
        <v>327251</v>
      </c>
      <c r="F231" s="686">
        <f>F232+F242</f>
        <v>209435</v>
      </c>
      <c r="G231" s="687">
        <f>G232+G242</f>
        <v>199797</v>
      </c>
      <c r="H231" s="920">
        <f t="shared" si="110"/>
        <v>61.053136583234277</v>
      </c>
      <c r="I231" s="855">
        <f t="shared" si="96"/>
        <v>95.398094874304675</v>
      </c>
      <c r="K231" s="526"/>
    </row>
    <row r="232" spans="2:13" ht="15" customHeight="1">
      <c r="B232" s="660">
        <v>742112</v>
      </c>
      <c r="C232" s="683" t="s">
        <v>342</v>
      </c>
      <c r="D232" s="662">
        <f>SUM(D233:D241)</f>
        <v>327251</v>
      </c>
      <c r="E232" s="662">
        <f t="shared" ref="E232:G232" si="119">SUM(E233:E241)</f>
        <v>327251</v>
      </c>
      <c r="F232" s="662">
        <f t="shared" si="119"/>
        <v>209435</v>
      </c>
      <c r="G232" s="663">
        <f t="shared" si="119"/>
        <v>199797</v>
      </c>
      <c r="H232" s="919">
        <f t="shared" si="110"/>
        <v>61.053136583234277</v>
      </c>
      <c r="I232" s="854">
        <f t="shared" si="96"/>
        <v>95.398094874304675</v>
      </c>
      <c r="K232" s="526"/>
    </row>
    <row r="233" spans="2:13" s="461" customFormat="1" ht="25.5">
      <c r="B233" s="896"/>
      <c r="C233" s="880" t="s">
        <v>924</v>
      </c>
      <c r="D233" s="897">
        <v>0</v>
      </c>
      <c r="E233" s="897">
        <v>0</v>
      </c>
      <c r="F233" s="897">
        <v>100000</v>
      </c>
      <c r="G233" s="898">
        <v>0</v>
      </c>
      <c r="H233" s="925" t="str">
        <f t="shared" si="110"/>
        <v/>
      </c>
      <c r="I233" s="899">
        <f t="shared" si="96"/>
        <v>0</v>
      </c>
      <c r="J233" s="462"/>
      <c r="K233" s="463"/>
      <c r="L233" s="462"/>
      <c r="M233" s="462"/>
    </row>
    <row r="234" spans="2:13" s="461" customFormat="1" ht="40.5" customHeight="1">
      <c r="B234" s="684"/>
      <c r="C234" s="690" t="s">
        <v>925</v>
      </c>
      <c r="D234" s="674">
        <v>0</v>
      </c>
      <c r="E234" s="674">
        <v>0</v>
      </c>
      <c r="F234" s="674">
        <v>100000</v>
      </c>
      <c r="G234" s="675">
        <v>0</v>
      </c>
      <c r="H234" s="921" t="str">
        <f t="shared" ref="H234" si="120">IF(E234=0,"",G234/E234*100)</f>
        <v/>
      </c>
      <c r="I234" s="856">
        <f t="shared" si="96"/>
        <v>0</v>
      </c>
      <c r="J234" s="462"/>
      <c r="K234" s="528"/>
      <c r="L234" s="462"/>
      <c r="M234" s="462"/>
    </row>
    <row r="235" spans="2:13" s="461" customFormat="1" ht="40.5" customHeight="1">
      <c r="B235" s="684"/>
      <c r="C235" s="690" t="s">
        <v>877</v>
      </c>
      <c r="D235" s="674">
        <v>80000</v>
      </c>
      <c r="E235" s="674">
        <v>80000</v>
      </c>
      <c r="F235" s="674">
        <v>0</v>
      </c>
      <c r="G235" s="675">
        <v>80000</v>
      </c>
      <c r="H235" s="921">
        <f t="shared" si="110"/>
        <v>100</v>
      </c>
      <c r="I235" s="856" t="str">
        <f t="shared" si="96"/>
        <v/>
      </c>
      <c r="J235" s="462"/>
      <c r="K235" s="528"/>
      <c r="L235" s="462"/>
      <c r="M235" s="462"/>
    </row>
    <row r="236" spans="2:13" s="461" customFormat="1" ht="40.5" customHeight="1">
      <c r="B236" s="672"/>
      <c r="C236" s="690" t="s">
        <v>878</v>
      </c>
      <c r="D236" s="674">
        <v>80000</v>
      </c>
      <c r="E236" s="674">
        <v>80000</v>
      </c>
      <c r="F236" s="674">
        <v>0</v>
      </c>
      <c r="G236" s="675">
        <v>80000</v>
      </c>
      <c r="H236" s="921">
        <f t="shared" si="110"/>
        <v>100</v>
      </c>
      <c r="I236" s="856" t="str">
        <f t="shared" si="96"/>
        <v/>
      </c>
      <c r="J236" s="462"/>
      <c r="K236" s="528"/>
      <c r="L236" s="462"/>
      <c r="M236" s="462"/>
    </row>
    <row r="237" spans="2:13" s="461" customFormat="1" ht="52.5" customHeight="1">
      <c r="B237" s="672"/>
      <c r="C237" s="690" t="s">
        <v>889</v>
      </c>
      <c r="D237" s="674">
        <v>21800</v>
      </c>
      <c r="E237" s="674">
        <v>21800</v>
      </c>
      <c r="F237" s="674">
        <v>0</v>
      </c>
      <c r="G237" s="675">
        <v>21797</v>
      </c>
      <c r="H237" s="921">
        <f t="shared" ref="H237" si="121">IF(E237=0,"",G237/E237*100)</f>
        <v>99.986238532110093</v>
      </c>
      <c r="I237" s="856" t="str">
        <f t="shared" si="96"/>
        <v/>
      </c>
      <c r="J237" s="462"/>
      <c r="K237" s="528"/>
      <c r="L237" s="462"/>
      <c r="M237" s="462"/>
    </row>
    <row r="238" spans="2:13" s="461" customFormat="1" ht="27" customHeight="1">
      <c r="B238" s="672"/>
      <c r="C238" s="690" t="s">
        <v>875</v>
      </c>
      <c r="D238" s="674">
        <v>18000</v>
      </c>
      <c r="E238" s="674">
        <v>18000</v>
      </c>
      <c r="F238" s="674">
        <v>0</v>
      </c>
      <c r="G238" s="675">
        <v>18000</v>
      </c>
      <c r="H238" s="921">
        <f t="shared" ref="H238" si="122">IF(E238=0,"",G238/E238*100)</f>
        <v>100</v>
      </c>
      <c r="I238" s="856" t="str">
        <f t="shared" si="96"/>
        <v/>
      </c>
      <c r="J238" s="462"/>
      <c r="K238" s="528"/>
      <c r="L238" s="462"/>
      <c r="M238" s="462"/>
    </row>
    <row r="239" spans="2:13" s="461" customFormat="1" ht="27" customHeight="1">
      <c r="B239" s="672"/>
      <c r="C239" s="690" t="s">
        <v>926</v>
      </c>
      <c r="D239" s="674">
        <v>0</v>
      </c>
      <c r="E239" s="674">
        <v>0</v>
      </c>
      <c r="F239" s="674">
        <v>9435</v>
      </c>
      <c r="G239" s="675">
        <v>0</v>
      </c>
      <c r="H239" s="921" t="str">
        <f t="shared" ref="H239" si="123">IF(E239=0,"",G239/E239*100)</f>
        <v/>
      </c>
      <c r="I239" s="856">
        <f t="shared" si="96"/>
        <v>0</v>
      </c>
      <c r="J239" s="462"/>
      <c r="K239" s="528"/>
      <c r="L239" s="462"/>
      <c r="M239" s="462"/>
    </row>
    <row r="240" spans="2:13" s="461" customFormat="1" ht="25.5">
      <c r="B240" s="672"/>
      <c r="C240" s="880" t="s">
        <v>884</v>
      </c>
      <c r="D240" s="674">
        <v>60000</v>
      </c>
      <c r="E240" s="674">
        <v>60000</v>
      </c>
      <c r="F240" s="674">
        <v>0</v>
      </c>
      <c r="G240" s="888">
        <v>0</v>
      </c>
      <c r="H240" s="921">
        <f t="shared" ref="H240" si="124">IF(E240=0,"",G240/E240*100)</f>
        <v>0</v>
      </c>
      <c r="I240" s="856" t="str">
        <f t="shared" si="96"/>
        <v/>
      </c>
      <c r="J240" s="901"/>
      <c r="K240" s="528"/>
      <c r="L240" s="462"/>
      <c r="M240" s="462"/>
    </row>
    <row r="241" spans="2:13" s="461" customFormat="1" ht="25.5">
      <c r="B241" s="672"/>
      <c r="C241" s="880" t="s">
        <v>886</v>
      </c>
      <c r="D241" s="674">
        <v>67451</v>
      </c>
      <c r="E241" s="674">
        <v>67451</v>
      </c>
      <c r="F241" s="674">
        <v>0</v>
      </c>
      <c r="G241" s="888">
        <v>0</v>
      </c>
      <c r="H241" s="921">
        <f t="shared" ref="H241" si="125">IF(E241=0,"",G241/E241*100)</f>
        <v>0</v>
      </c>
      <c r="I241" s="856" t="str">
        <f t="shared" si="96"/>
        <v/>
      </c>
      <c r="J241" s="901"/>
      <c r="K241" s="528"/>
      <c r="L241" s="462"/>
      <c r="M241" s="462"/>
    </row>
    <row r="242" spans="2:13" ht="15" customHeight="1">
      <c r="B242" s="660">
        <v>742116</v>
      </c>
      <c r="C242" s="661" t="s">
        <v>743</v>
      </c>
      <c r="D242" s="664">
        <v>0</v>
      </c>
      <c r="E242" s="664">
        <v>0</v>
      </c>
      <c r="F242" s="664">
        <v>0</v>
      </c>
      <c r="G242" s="665">
        <v>0</v>
      </c>
      <c r="H242" s="919" t="str">
        <f t="shared" si="110"/>
        <v/>
      </c>
      <c r="I242" s="854" t="str">
        <f t="shared" si="96"/>
        <v/>
      </c>
      <c r="K242" s="526"/>
      <c r="L242" s="128"/>
    </row>
    <row r="243" spans="2:13" ht="15" customHeight="1">
      <c r="B243" s="684">
        <v>742200</v>
      </c>
      <c r="C243" s="689" t="s">
        <v>491</v>
      </c>
      <c r="D243" s="686">
        <f t="shared" ref="D243:G244" si="126">D244</f>
        <v>0</v>
      </c>
      <c r="E243" s="686">
        <f t="shared" si="126"/>
        <v>0</v>
      </c>
      <c r="F243" s="686">
        <f t="shared" si="126"/>
        <v>800</v>
      </c>
      <c r="G243" s="687">
        <f t="shared" si="126"/>
        <v>0</v>
      </c>
      <c r="H243" s="920" t="str">
        <f t="shared" si="110"/>
        <v/>
      </c>
      <c r="I243" s="855">
        <f t="shared" si="96"/>
        <v>0</v>
      </c>
      <c r="K243" s="526"/>
    </row>
    <row r="244" spans="2:13" ht="15" customHeight="1">
      <c r="B244" s="660">
        <v>742211</v>
      </c>
      <c r="C244" s="661" t="s">
        <v>491</v>
      </c>
      <c r="D244" s="662">
        <f>D245</f>
        <v>0</v>
      </c>
      <c r="E244" s="662">
        <f t="shared" si="126"/>
        <v>0</v>
      </c>
      <c r="F244" s="662">
        <f t="shared" si="126"/>
        <v>800</v>
      </c>
      <c r="G244" s="663">
        <f t="shared" si="126"/>
        <v>0</v>
      </c>
      <c r="H244" s="919" t="str">
        <f t="shared" si="110"/>
        <v/>
      </c>
      <c r="I244" s="854">
        <f t="shared" si="96"/>
        <v>0</v>
      </c>
      <c r="K244" s="526"/>
    </row>
    <row r="245" spans="2:13" s="882" customFormat="1" ht="15" customHeight="1">
      <c r="B245" s="900"/>
      <c r="C245" s="880" t="s">
        <v>927</v>
      </c>
      <c r="D245" s="897">
        <v>0</v>
      </c>
      <c r="E245" s="897">
        <v>0</v>
      </c>
      <c r="F245" s="897">
        <v>800</v>
      </c>
      <c r="G245" s="898">
        <v>0</v>
      </c>
      <c r="H245" s="925" t="str">
        <f t="shared" si="110"/>
        <v/>
      </c>
      <c r="I245" s="899">
        <f t="shared" si="96"/>
        <v>0</v>
      </c>
      <c r="J245" s="117"/>
      <c r="K245" s="895"/>
      <c r="L245" s="117"/>
      <c r="M245" s="117"/>
    </row>
    <row r="246" spans="2:13">
      <c r="B246" s="656"/>
      <c r="C246" s="690"/>
      <c r="D246" s="664"/>
      <c r="E246" s="664"/>
      <c r="F246" s="664"/>
      <c r="G246" s="665"/>
      <c r="H246" s="919" t="str">
        <f t="shared" si="110"/>
        <v/>
      </c>
      <c r="I246" s="854" t="str">
        <f t="shared" si="96"/>
        <v/>
      </c>
      <c r="K246" s="526"/>
    </row>
    <row r="247" spans="2:13" ht="17.100000000000001" customHeight="1">
      <c r="B247" s="649">
        <v>777000</v>
      </c>
      <c r="C247" s="650" t="s">
        <v>296</v>
      </c>
      <c r="D247" s="654">
        <f t="shared" ref="D247:E247" si="127">SUM(D248:D249)</f>
        <v>1780</v>
      </c>
      <c r="E247" s="654">
        <f t="shared" si="127"/>
        <v>1780</v>
      </c>
      <c r="F247" s="654">
        <f>SUM(F248:F249)</f>
        <v>348</v>
      </c>
      <c r="G247" s="655">
        <f>SUM(G248:G249)</f>
        <v>1716</v>
      </c>
      <c r="H247" s="914">
        <f t="shared" si="110"/>
        <v>96.404494382022477</v>
      </c>
      <c r="I247" s="849">
        <f t="shared" si="96"/>
        <v>493.10344827586209</v>
      </c>
      <c r="K247" s="526"/>
    </row>
    <row r="248" spans="2:13" ht="15" customHeight="1">
      <c r="B248" s="660">
        <v>777778</v>
      </c>
      <c r="C248" s="683" t="s">
        <v>297</v>
      </c>
      <c r="D248" s="662">
        <v>1530</v>
      </c>
      <c r="E248" s="662">
        <v>1530</v>
      </c>
      <c r="F248" s="662">
        <v>348</v>
      </c>
      <c r="G248" s="663">
        <v>1470</v>
      </c>
      <c r="H248" s="919">
        <f t="shared" si="110"/>
        <v>96.078431372549019</v>
      </c>
      <c r="I248" s="854">
        <f t="shared" si="96"/>
        <v>422.41379310344831</v>
      </c>
      <c r="K248" s="526"/>
    </row>
    <row r="249" spans="2:13" ht="15" customHeight="1">
      <c r="B249" s="660">
        <v>777779</v>
      </c>
      <c r="C249" s="661" t="s">
        <v>862</v>
      </c>
      <c r="D249" s="664">
        <v>250</v>
      </c>
      <c r="E249" s="664">
        <v>250</v>
      </c>
      <c r="F249" s="664">
        <v>0</v>
      </c>
      <c r="G249" s="665">
        <v>246</v>
      </c>
      <c r="H249" s="919">
        <f t="shared" si="110"/>
        <v>98.4</v>
      </c>
      <c r="I249" s="854" t="str">
        <f t="shared" si="96"/>
        <v/>
      </c>
      <c r="K249" s="526"/>
    </row>
    <row r="250" spans="2:13" ht="15" customHeight="1">
      <c r="B250" s="709"/>
      <c r="C250" s="692"/>
      <c r="D250" s="664"/>
      <c r="E250" s="664"/>
      <c r="F250" s="664"/>
      <c r="G250" s="665"/>
      <c r="H250" s="919" t="str">
        <f t="shared" si="110"/>
        <v/>
      </c>
      <c r="I250" s="854" t="str">
        <f t="shared" si="96"/>
        <v/>
      </c>
      <c r="K250" s="526"/>
    </row>
    <row r="251" spans="2:13" ht="15" customHeight="1">
      <c r="B251" s="1002" t="s">
        <v>309</v>
      </c>
      <c r="C251" s="1003"/>
      <c r="D251" s="698">
        <f>D179+D181+D219+D247</f>
        <v>58733900</v>
      </c>
      <c r="E251" s="698">
        <f>E179+E181+E219+E247</f>
        <v>58733900</v>
      </c>
      <c r="F251" s="698">
        <f>F179+F181+F219+F247</f>
        <v>48378888</v>
      </c>
      <c r="G251" s="699">
        <f>G179+G181+G219+G247</f>
        <v>57892185</v>
      </c>
      <c r="H251" s="923">
        <f t="shared" si="110"/>
        <v>98.566900886881342</v>
      </c>
      <c r="I251" s="858">
        <f t="shared" si="96"/>
        <v>119.66414978368249</v>
      </c>
      <c r="K251" s="526"/>
    </row>
    <row r="252" spans="2:13" ht="15" customHeight="1">
      <c r="B252" s="700"/>
      <c r="C252" s="701"/>
      <c r="D252" s="698"/>
      <c r="E252" s="698"/>
      <c r="F252" s="698"/>
      <c r="G252" s="699"/>
      <c r="H252" s="919" t="str">
        <f t="shared" si="110"/>
        <v/>
      </c>
      <c r="I252" s="854" t="str">
        <f t="shared" si="96"/>
        <v/>
      </c>
      <c r="K252" s="526"/>
    </row>
    <row r="253" spans="2:13" ht="17.100000000000001" customHeight="1">
      <c r="B253" s="649">
        <v>810000</v>
      </c>
      <c r="C253" s="650" t="s">
        <v>298</v>
      </c>
      <c r="D253" s="651">
        <f t="shared" ref="D253:E253" si="128">D254</f>
        <v>22710</v>
      </c>
      <c r="E253" s="651">
        <f t="shared" si="128"/>
        <v>22710</v>
      </c>
      <c r="F253" s="651">
        <f>F254</f>
        <v>10142</v>
      </c>
      <c r="G253" s="652">
        <f>G254</f>
        <v>22697</v>
      </c>
      <c r="H253" s="914">
        <f t="shared" si="110"/>
        <v>99.942756494936148</v>
      </c>
      <c r="I253" s="849">
        <f t="shared" si="96"/>
        <v>223.79215144941824</v>
      </c>
      <c r="K253" s="526"/>
    </row>
    <row r="254" spans="2:13" ht="17.100000000000001" customHeight="1">
      <c r="B254" s="649">
        <v>811000</v>
      </c>
      <c r="C254" s="653" t="s">
        <v>300</v>
      </c>
      <c r="D254" s="654">
        <f t="shared" ref="D254:E254" si="129">SUM(D255:D255)</f>
        <v>22710</v>
      </c>
      <c r="E254" s="654">
        <f t="shared" si="129"/>
        <v>22710</v>
      </c>
      <c r="F254" s="654">
        <f>SUM(F255:F255)</f>
        <v>10142</v>
      </c>
      <c r="G254" s="655">
        <f>SUM(G255:G255)</f>
        <v>22697</v>
      </c>
      <c r="H254" s="914">
        <f t="shared" si="110"/>
        <v>99.942756494936148</v>
      </c>
      <c r="I254" s="849">
        <f t="shared" si="96"/>
        <v>223.79215144941824</v>
      </c>
      <c r="K254" s="526"/>
    </row>
    <row r="255" spans="2:13" ht="15" customHeight="1">
      <c r="B255" s="684">
        <v>811100</v>
      </c>
      <c r="C255" s="694" t="s">
        <v>299</v>
      </c>
      <c r="D255" s="667">
        <f t="shared" ref="D255:G255" si="130">D256</f>
        <v>22710</v>
      </c>
      <c r="E255" s="667">
        <f t="shared" si="130"/>
        <v>22710</v>
      </c>
      <c r="F255" s="667">
        <f t="shared" si="130"/>
        <v>10142</v>
      </c>
      <c r="G255" s="668">
        <f t="shared" si="130"/>
        <v>22697</v>
      </c>
      <c r="H255" s="920">
        <f t="shared" si="110"/>
        <v>99.942756494936148</v>
      </c>
      <c r="I255" s="855">
        <f t="shared" si="96"/>
        <v>223.79215144941824</v>
      </c>
      <c r="K255" s="526"/>
    </row>
    <row r="256" spans="2:13" ht="15" customHeight="1">
      <c r="B256" s="660">
        <v>811114</v>
      </c>
      <c r="C256" s="661" t="s">
        <v>436</v>
      </c>
      <c r="D256" s="662">
        <f t="shared" ref="D256:E256" si="131">SUM(D257:D263)</f>
        <v>22710</v>
      </c>
      <c r="E256" s="662">
        <f t="shared" si="131"/>
        <v>22710</v>
      </c>
      <c r="F256" s="662">
        <f>SUM(F257:F263)</f>
        <v>10142</v>
      </c>
      <c r="G256" s="663">
        <f t="shared" ref="G256" si="132">SUM(G257:G263)</f>
        <v>22697</v>
      </c>
      <c r="H256" s="919">
        <f t="shared" si="110"/>
        <v>99.942756494936148</v>
      </c>
      <c r="I256" s="854">
        <f t="shared" si="96"/>
        <v>223.79215144941824</v>
      </c>
      <c r="K256" s="526"/>
    </row>
    <row r="257" spans="2:13" s="875" customFormat="1" ht="15" customHeight="1">
      <c r="B257" s="672"/>
      <c r="C257" s="688" t="s">
        <v>838</v>
      </c>
      <c r="D257" s="706">
        <v>5370</v>
      </c>
      <c r="E257" s="706">
        <v>5370</v>
      </c>
      <c r="F257" s="706">
        <v>0</v>
      </c>
      <c r="G257" s="707">
        <v>5366</v>
      </c>
      <c r="H257" s="921">
        <f t="shared" ref="H257" si="133">IF(E257=0,"",G257/E257*100)</f>
        <v>99.925512104283058</v>
      </c>
      <c r="I257" s="856" t="str">
        <f t="shared" si="96"/>
        <v/>
      </c>
      <c r="J257" s="117"/>
      <c r="K257" s="526"/>
      <c r="L257" s="117"/>
      <c r="M257" s="117"/>
    </row>
    <row r="258" spans="2:13" s="882" customFormat="1" ht="15" customHeight="1">
      <c r="B258" s="672"/>
      <c r="C258" s="688" t="s">
        <v>928</v>
      </c>
      <c r="D258" s="706">
        <v>0</v>
      </c>
      <c r="E258" s="706">
        <v>0</v>
      </c>
      <c r="F258" s="706">
        <v>9567</v>
      </c>
      <c r="G258" s="707">
        <v>0</v>
      </c>
      <c r="H258" s="921" t="str">
        <f t="shared" ref="H258" si="134">IF(E258=0,"",G258/E258*100)</f>
        <v/>
      </c>
      <c r="I258" s="856">
        <f t="shared" si="96"/>
        <v>0</v>
      </c>
      <c r="J258" s="117"/>
      <c r="K258" s="526"/>
      <c r="L258" s="117"/>
      <c r="M258" s="117"/>
    </row>
    <row r="259" spans="2:13" s="882" customFormat="1" ht="15" customHeight="1">
      <c r="B259" s="672"/>
      <c r="C259" s="880" t="s">
        <v>929</v>
      </c>
      <c r="D259" s="706">
        <v>0</v>
      </c>
      <c r="E259" s="706">
        <v>0</v>
      </c>
      <c r="F259" s="706">
        <v>575</v>
      </c>
      <c r="G259" s="707">
        <v>0</v>
      </c>
      <c r="H259" s="921" t="str">
        <f>IF(E259=0,"",G259/E259*100)</f>
        <v/>
      </c>
      <c r="I259" s="856">
        <f t="shared" si="96"/>
        <v>0</v>
      </c>
      <c r="J259" s="117"/>
      <c r="K259" s="526"/>
      <c r="L259" s="117"/>
      <c r="M259" s="117"/>
    </row>
    <row r="260" spans="2:13" s="875" customFormat="1" ht="15" customHeight="1">
      <c r="B260" s="672"/>
      <c r="C260" s="688" t="s">
        <v>839</v>
      </c>
      <c r="D260" s="706">
        <v>6890</v>
      </c>
      <c r="E260" s="706">
        <v>6890</v>
      </c>
      <c r="F260" s="706">
        <v>0</v>
      </c>
      <c r="G260" s="707">
        <v>6888</v>
      </c>
      <c r="H260" s="921">
        <f>IF(E260=0,"",G260/E260*100)</f>
        <v>99.970972423802621</v>
      </c>
      <c r="I260" s="856" t="str">
        <f t="shared" si="96"/>
        <v/>
      </c>
      <c r="J260" s="117"/>
      <c r="K260" s="526"/>
      <c r="L260" s="117"/>
      <c r="M260" s="117"/>
    </row>
    <row r="261" spans="2:13" s="875" customFormat="1" ht="15" customHeight="1">
      <c r="B261" s="672"/>
      <c r="C261" s="688" t="s">
        <v>840</v>
      </c>
      <c r="D261" s="706">
        <v>7780</v>
      </c>
      <c r="E261" s="706">
        <v>7780</v>
      </c>
      <c r="F261" s="706">
        <v>0</v>
      </c>
      <c r="G261" s="707">
        <v>7777</v>
      </c>
      <c r="H261" s="921">
        <f>IF(E261=0,"",G261/E261*100)</f>
        <v>99.961439588688947</v>
      </c>
      <c r="I261" s="856" t="str">
        <f t="shared" si="96"/>
        <v/>
      </c>
      <c r="J261" s="117"/>
      <c r="K261" s="526"/>
      <c r="L261" s="117"/>
      <c r="M261" s="117"/>
    </row>
    <row r="262" spans="2:13" ht="15" customHeight="1">
      <c r="B262" s="672"/>
      <c r="C262" s="688" t="s">
        <v>841</v>
      </c>
      <c r="D262" s="706">
        <v>2670</v>
      </c>
      <c r="E262" s="706">
        <v>2670</v>
      </c>
      <c r="F262" s="706">
        <v>0</v>
      </c>
      <c r="G262" s="707">
        <v>2666</v>
      </c>
      <c r="H262" s="921">
        <f t="shared" si="110"/>
        <v>99.850187265917597</v>
      </c>
      <c r="I262" s="856" t="str">
        <f t="shared" ref="I262:I264" si="135">IF(F262=0,"",G262/F262*100)</f>
        <v/>
      </c>
      <c r="K262" s="526"/>
    </row>
    <row r="263" spans="2:13" ht="15" customHeight="1" thickBot="1">
      <c r="B263" s="710"/>
      <c r="C263" s="711"/>
      <c r="D263" s="711"/>
      <c r="E263" s="711"/>
      <c r="F263" s="711"/>
      <c r="G263" s="712"/>
      <c r="H263" s="926" t="str">
        <f t="shared" si="110"/>
        <v/>
      </c>
      <c r="I263" s="859" t="str">
        <f t="shared" si="135"/>
        <v/>
      </c>
      <c r="K263" s="526"/>
    </row>
    <row r="264" spans="2:13" ht="17.100000000000001" customHeight="1" thickBot="1">
      <c r="B264" s="1004" t="s">
        <v>343</v>
      </c>
      <c r="C264" s="1005"/>
      <c r="D264" s="713">
        <f>D251+D253</f>
        <v>58756610</v>
      </c>
      <c r="E264" s="713">
        <f>E251+E253</f>
        <v>58756610</v>
      </c>
      <c r="F264" s="713">
        <f>F251+F253</f>
        <v>48389030</v>
      </c>
      <c r="G264" s="714">
        <f>G251+G253</f>
        <v>57914882</v>
      </c>
      <c r="H264" s="927">
        <f t="shared" si="110"/>
        <v>98.567432668426576</v>
      </c>
      <c r="I264" s="860">
        <f t="shared" si="135"/>
        <v>119.68597427970762</v>
      </c>
    </row>
    <row r="265" spans="2:13">
      <c r="G265" s="465"/>
    </row>
    <row r="266" spans="2:13">
      <c r="E266" s="57"/>
      <c r="F266" s="57"/>
      <c r="G266" s="464"/>
    </row>
    <row r="267" spans="2:13">
      <c r="D267" s="57"/>
      <c r="E267" s="57"/>
      <c r="F267" s="57"/>
    </row>
  </sheetData>
  <mergeCells count="4">
    <mergeCell ref="B179:C179"/>
    <mergeCell ref="B251:C251"/>
    <mergeCell ref="B264:C264"/>
    <mergeCell ref="B2:H2"/>
  </mergeCells>
  <pageMargins left="0.74" right="0.31496062992125984" top="0.59055118110236227" bottom="0.51181102362204722" header="0.59055118110236227" footer="0.31496062992125984"/>
  <pageSetup paperSize="9" scale="87" firstPageNumber="2" orientation="landscape" r:id="rId1"/>
  <headerFooter alignWithMargins="0"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/>
  <dimension ref="A2:Q128"/>
  <sheetViews>
    <sheetView topLeftCell="C1" zoomScaleNormal="100" workbookViewId="0">
      <selection activeCell="P11" sqref="P11"/>
    </sheetView>
  </sheetViews>
  <sheetFormatPr defaultColWidth="9.140625" defaultRowHeight="12" customHeight="1"/>
  <cols>
    <col min="1" max="1" width="0.5703125" style="9" hidden="1" customWidth="1"/>
    <col min="2" max="2" width="5.7109375" style="9" hidden="1" customWidth="1"/>
    <col min="3" max="3" width="8.7109375" style="18" customWidth="1"/>
    <col min="4" max="4" width="7" style="166" customWidth="1"/>
    <col min="5" max="5" width="50.85546875" style="9" customWidth="1"/>
    <col min="6" max="6" width="12.7109375" style="9" customWidth="1"/>
    <col min="7" max="7" width="12.42578125" style="9" customWidth="1"/>
    <col min="8" max="8" width="11.5703125" style="161" customWidth="1"/>
    <col min="9" max="9" width="12.7109375" style="161" customWidth="1"/>
    <col min="10" max="10" width="11" style="161" customWidth="1"/>
    <col min="11" max="11" width="14.7109375" style="9" customWidth="1"/>
    <col min="12" max="13" width="7.42578125" style="68" customWidth="1"/>
    <col min="14" max="14" width="9.140625" style="9"/>
    <col min="15" max="15" width="13.140625" style="9" bestFit="1" customWidth="1"/>
    <col min="16" max="17" width="10.140625" style="9" bestFit="1" customWidth="1"/>
    <col min="18" max="16384" width="9.140625" style="9"/>
  </cols>
  <sheetData>
    <row r="2" spans="2:17" ht="2.25" customHeight="1"/>
    <row r="3" spans="2:17" s="1" customFormat="1" ht="30.75" customHeight="1" thickBot="1">
      <c r="C3" s="1013" t="s">
        <v>75</v>
      </c>
      <c r="D3" s="1013"/>
      <c r="E3" s="1013"/>
      <c r="F3" s="67"/>
      <c r="G3" s="67"/>
      <c r="H3" s="718"/>
      <c r="I3" s="240"/>
      <c r="J3" s="240"/>
      <c r="K3" s="1011"/>
      <c r="L3" s="1012"/>
      <c r="M3" s="928"/>
    </row>
    <row r="4" spans="2:17" s="1" customFormat="1" ht="39.75" customHeight="1">
      <c r="B4" s="3" t="s">
        <v>76</v>
      </c>
      <c r="C4" s="1018" t="s">
        <v>466</v>
      </c>
      <c r="D4" s="1020" t="s">
        <v>493</v>
      </c>
      <c r="E4" s="1022" t="s">
        <v>78</v>
      </c>
      <c r="F4" s="1024" t="s">
        <v>901</v>
      </c>
      <c r="G4" s="1026" t="s">
        <v>815</v>
      </c>
      <c r="H4" s="1030" t="s">
        <v>904</v>
      </c>
      <c r="I4" s="1015" t="s">
        <v>905</v>
      </c>
      <c r="J4" s="1016"/>
      <c r="K4" s="1017"/>
      <c r="L4" s="1028" t="s">
        <v>945</v>
      </c>
      <c r="M4" s="1008" t="s">
        <v>946</v>
      </c>
    </row>
    <row r="5" spans="2:17" s="158" customFormat="1" ht="28.5" customHeight="1">
      <c r="B5" s="243"/>
      <c r="C5" s="1019"/>
      <c r="D5" s="1021"/>
      <c r="E5" s="1023"/>
      <c r="F5" s="1025"/>
      <c r="G5" s="1027"/>
      <c r="H5" s="1031"/>
      <c r="I5" s="763" t="s">
        <v>526</v>
      </c>
      <c r="J5" s="720" t="s">
        <v>527</v>
      </c>
      <c r="K5" s="764" t="s">
        <v>319</v>
      </c>
      <c r="L5" s="1029"/>
      <c r="M5" s="1009"/>
    </row>
    <row r="6" spans="2:17" s="2" customFormat="1" ht="14.1" customHeight="1">
      <c r="B6" s="4">
        <v>1</v>
      </c>
      <c r="C6" s="328">
        <v>1</v>
      </c>
      <c r="D6" s="188"/>
      <c r="E6" s="195">
        <v>2</v>
      </c>
      <c r="F6" s="329">
        <v>3</v>
      </c>
      <c r="G6" s="329">
        <v>4</v>
      </c>
      <c r="H6" s="502">
        <v>5</v>
      </c>
      <c r="I6" s="328">
        <v>6</v>
      </c>
      <c r="J6" s="195">
        <v>7</v>
      </c>
      <c r="K6" s="765" t="s">
        <v>528</v>
      </c>
      <c r="L6" s="929" t="s">
        <v>816</v>
      </c>
      <c r="M6" s="930" t="s">
        <v>943</v>
      </c>
    </row>
    <row r="7" spans="2:17" s="2" customFormat="1" ht="15" customHeight="1">
      <c r="B7" s="4"/>
      <c r="C7" s="259"/>
      <c r="D7" s="260"/>
      <c r="E7" s="261" t="s">
        <v>138</v>
      </c>
      <c r="F7" s="262">
        <f t="shared" ref="F7:K7" si="0">F9+F15+F21+F25+F50+F90+F97+F101+F109</f>
        <v>58756610</v>
      </c>
      <c r="G7" s="742">
        <f t="shared" si="0"/>
        <v>58756610</v>
      </c>
      <c r="H7" s="549">
        <f t="shared" si="0"/>
        <v>46983401</v>
      </c>
      <c r="I7" s="766">
        <f t="shared" si="0"/>
        <v>48774605</v>
      </c>
      <c r="J7" s="262">
        <f t="shared" si="0"/>
        <v>8427201</v>
      </c>
      <c r="K7" s="767">
        <f t="shared" si="0"/>
        <v>57201806</v>
      </c>
      <c r="L7" s="931">
        <f>IF(G7=0,"",K7/G7*100)</f>
        <v>97.353822829465486</v>
      </c>
      <c r="M7" s="932">
        <f>IF(H7=0,"",K7/H7*100)</f>
        <v>121.74896832181221</v>
      </c>
      <c r="O7" s="99"/>
    </row>
    <row r="8" spans="2:17" s="2" customFormat="1" ht="9" customHeight="1">
      <c r="B8" s="4"/>
      <c r="C8" s="4"/>
      <c r="D8" s="188"/>
      <c r="E8" s="21"/>
      <c r="F8" s="19"/>
      <c r="G8" s="743"/>
      <c r="H8" s="550"/>
      <c r="I8" s="768"/>
      <c r="J8" s="155"/>
      <c r="K8" s="767"/>
      <c r="L8" s="933" t="str">
        <f>IF(F8=0,"",K8/F8*100)</f>
        <v/>
      </c>
      <c r="M8" s="934" t="str">
        <f>IF(G8=0,"",L8/G8*100)</f>
        <v/>
      </c>
      <c r="O8" s="66"/>
    </row>
    <row r="9" spans="2:17" s="2" customFormat="1" ht="15" customHeight="1">
      <c r="B9" s="4"/>
      <c r="C9" s="263">
        <v>600000</v>
      </c>
      <c r="D9" s="264"/>
      <c r="E9" s="261" t="s">
        <v>111</v>
      </c>
      <c r="F9" s="262">
        <f>F10+F11+F12+F13</f>
        <v>1055000</v>
      </c>
      <c r="G9" s="742">
        <f t="shared" ref="G9:H9" si="1">G10+G11+G12+G13</f>
        <v>1145000</v>
      </c>
      <c r="H9" s="549">
        <f t="shared" si="1"/>
        <v>646712</v>
      </c>
      <c r="I9" s="766">
        <f>I10+I11+I12+I13</f>
        <v>877862</v>
      </c>
      <c r="J9" s="262">
        <f>J10+J11+J12+J13</f>
        <v>210000</v>
      </c>
      <c r="K9" s="767">
        <f>K10+K11+K12+K13</f>
        <v>1087862</v>
      </c>
      <c r="L9" s="931">
        <f t="shared" ref="L9:L43" si="2">IF(G9=0,"",K9/G9*100)</f>
        <v>95.009781659388651</v>
      </c>
      <c r="M9" s="932">
        <f t="shared" ref="M9:M72" si="3">IF(H9=0,"",K9/H9*100)</f>
        <v>168.21429013223815</v>
      </c>
      <c r="O9" s="99"/>
    </row>
    <row r="10" spans="2:17" s="2" customFormat="1" ht="15" customHeight="1">
      <c r="B10" s="4"/>
      <c r="C10" s="133">
        <v>600000</v>
      </c>
      <c r="D10" s="646"/>
      <c r="E10" s="37" t="s">
        <v>94</v>
      </c>
      <c r="F10" s="39">
        <f>'2'!I9</f>
        <v>995000</v>
      </c>
      <c r="G10" s="744">
        <f>'2'!J9</f>
        <v>1085000</v>
      </c>
      <c r="H10" s="551">
        <f>'2'!K9</f>
        <v>598862</v>
      </c>
      <c r="I10" s="769">
        <f>'2'!L9</f>
        <v>817912</v>
      </c>
      <c r="J10" s="129">
        <f>'2'!M9</f>
        <v>210000</v>
      </c>
      <c r="K10" s="770">
        <f>'2'!N9</f>
        <v>1027912</v>
      </c>
      <c r="L10" s="933">
        <f t="shared" si="2"/>
        <v>94.738433179723501</v>
      </c>
      <c r="M10" s="934">
        <f t="shared" si="3"/>
        <v>171.64421853448709</v>
      </c>
      <c r="Q10" s="66"/>
    </row>
    <row r="11" spans="2:17" s="2" customFormat="1" ht="15" customHeight="1">
      <c r="B11" s="4"/>
      <c r="C11" s="133">
        <v>600000</v>
      </c>
      <c r="D11" s="646"/>
      <c r="E11" s="37" t="s">
        <v>95</v>
      </c>
      <c r="F11" s="39">
        <f>'2'!I10</f>
        <v>30000</v>
      </c>
      <c r="G11" s="744">
        <f>'2'!J10</f>
        <v>30000</v>
      </c>
      <c r="H11" s="551">
        <f>'2'!K10</f>
        <v>23850</v>
      </c>
      <c r="I11" s="771">
        <f>'2'!L10</f>
        <v>29950</v>
      </c>
      <c r="J11" s="39">
        <f>'2'!M10</f>
        <v>0</v>
      </c>
      <c r="K11" s="770">
        <f>'2'!N10</f>
        <v>29950</v>
      </c>
      <c r="L11" s="933">
        <f t="shared" si="2"/>
        <v>99.833333333333329</v>
      </c>
      <c r="M11" s="934">
        <f t="shared" si="3"/>
        <v>125.57651991614256</v>
      </c>
      <c r="P11" s="66"/>
    </row>
    <row r="12" spans="2:17" s="2" customFormat="1" ht="15" customHeight="1">
      <c r="B12" s="4"/>
      <c r="C12" s="133">
        <v>600000</v>
      </c>
      <c r="D12" s="646"/>
      <c r="E12" s="37" t="s">
        <v>112</v>
      </c>
      <c r="F12" s="39">
        <f>'2'!I11</f>
        <v>15000</v>
      </c>
      <c r="G12" s="744">
        <f>'2'!J11</f>
        <v>15000</v>
      </c>
      <c r="H12" s="551">
        <f>'2'!K11</f>
        <v>12000</v>
      </c>
      <c r="I12" s="771">
        <f>'2'!L11</f>
        <v>15000</v>
      </c>
      <c r="J12" s="39">
        <f>'2'!M11</f>
        <v>0</v>
      </c>
      <c r="K12" s="770">
        <f>'2'!N11</f>
        <v>15000</v>
      </c>
      <c r="L12" s="933">
        <f t="shared" si="2"/>
        <v>100</v>
      </c>
      <c r="M12" s="934">
        <f t="shared" si="3"/>
        <v>125</v>
      </c>
      <c r="Q12" s="66"/>
    </row>
    <row r="13" spans="2:17" s="2" customFormat="1" ht="15" customHeight="1">
      <c r="B13" s="4"/>
      <c r="C13" s="133">
        <v>600000</v>
      </c>
      <c r="D13" s="646"/>
      <c r="E13" s="37" t="s">
        <v>101</v>
      </c>
      <c r="F13" s="39">
        <f>'16'!I9</f>
        <v>15000</v>
      </c>
      <c r="G13" s="744">
        <f>'16'!J9</f>
        <v>15000</v>
      </c>
      <c r="H13" s="551">
        <f>'16'!K9</f>
        <v>12000</v>
      </c>
      <c r="I13" s="771">
        <f>'16'!L9</f>
        <v>15000</v>
      </c>
      <c r="J13" s="39">
        <f>'16'!M9</f>
        <v>0</v>
      </c>
      <c r="K13" s="770">
        <f>'16'!N9</f>
        <v>15000</v>
      </c>
      <c r="L13" s="933">
        <f t="shared" si="2"/>
        <v>100</v>
      </c>
      <c r="M13" s="934">
        <f t="shared" si="3"/>
        <v>125</v>
      </c>
    </row>
    <row r="14" spans="2:17" s="2" customFormat="1" ht="10.5" customHeight="1">
      <c r="B14" s="4"/>
      <c r="C14" s="133"/>
      <c r="D14" s="646"/>
      <c r="E14" s="37"/>
      <c r="F14" s="63"/>
      <c r="G14" s="745"/>
      <c r="H14" s="552"/>
      <c r="I14" s="772"/>
      <c r="J14" s="172"/>
      <c r="K14" s="767"/>
      <c r="L14" s="933" t="str">
        <f t="shared" si="2"/>
        <v/>
      </c>
      <c r="M14" s="934" t="str">
        <f t="shared" si="3"/>
        <v/>
      </c>
    </row>
    <row r="15" spans="2:17" s="1" customFormat="1" ht="15" customHeight="1">
      <c r="B15" s="6"/>
      <c r="C15" s="263">
        <v>611000</v>
      </c>
      <c r="D15" s="647"/>
      <c r="E15" s="265" t="s">
        <v>140</v>
      </c>
      <c r="F15" s="266">
        <f>F16+F17</f>
        <v>27027340</v>
      </c>
      <c r="G15" s="746">
        <f t="shared" ref="G15:H15" si="4">G16+G17</f>
        <v>27014450</v>
      </c>
      <c r="H15" s="553">
        <f t="shared" si="4"/>
        <v>23387037</v>
      </c>
      <c r="I15" s="773">
        <f>I16+I17</f>
        <v>26765040</v>
      </c>
      <c r="J15" s="266">
        <f>J16+J17</f>
        <v>35862</v>
      </c>
      <c r="K15" s="774">
        <f>K16+K17</f>
        <v>26800902</v>
      </c>
      <c r="L15" s="935">
        <f t="shared" si="2"/>
        <v>99.209504542939058</v>
      </c>
      <c r="M15" s="936">
        <f t="shared" si="3"/>
        <v>114.59725317063464</v>
      </c>
      <c r="O15" s="52"/>
      <c r="P15" s="52"/>
      <c r="Q15" s="52"/>
    </row>
    <row r="16" spans="2:17" ht="15" customHeight="1">
      <c r="B16" s="10"/>
      <c r="C16" s="134">
        <v>611100</v>
      </c>
      <c r="D16" s="646"/>
      <c r="E16" s="20" t="s">
        <v>161</v>
      </c>
      <c r="F16" s="30">
        <f>'1'!I9+'2'!I14+'6'!I9+'3'!I9+'4'!I9+'7'!I9+'8'!I9+'9'!I9+'10'!I9+'11'!I9+'12'!I9+'13'!I9+'15'!I9+'16'!I12+'17'!I9+'18'!I9+'19'!I9+'20'!I9+'22'!I9+'23'!I9+'21'!I9+'24'!I9+'25'!I9+'26'!I9+'27'!I9+'28'!I9+'29'!I9+'30'!I9+'31'!I9+'32'!I9+'33'!I9+'34'!I9+'35'!I9+'36'!I9+'37'!I9+'5'!I9+'14'!I9</f>
        <v>22023030</v>
      </c>
      <c r="G16" s="747">
        <f>'1'!J9+'2'!J14+'6'!J9+'3'!J9+'4'!J9+'7'!J9+'8'!J9+'9'!J9+'10'!J9+'11'!J9+'12'!J9+'13'!J9+'15'!J9+'16'!J12+'17'!J9+'18'!J9+'19'!J9+'20'!J9+'22'!J9+'23'!J9+'21'!J9+'24'!J9+'25'!J9+'26'!J9+'27'!J9+'28'!J9+'29'!J9+'30'!J9+'31'!J9+'32'!J9+'33'!J9+'34'!J9+'35'!J9+'36'!J9+'37'!J9+'5'!J9+'14'!J9</f>
        <v>21995480</v>
      </c>
      <c r="H16" s="554">
        <f>'1'!K9+'2'!K14+'6'!K9+'3'!K9+'4'!K9+'7'!K9+'8'!K9+'9'!K9+'10'!K9+'11'!K9+'12'!K9+'13'!K9+'15'!K9+'16'!K12+'17'!K9+'18'!K9+'19'!K9+'20'!K9+'22'!K9+'23'!K9+'21'!K9+'24'!K9+'25'!K9+'26'!K9+'27'!K9+'28'!K9+'29'!K9+'30'!K9+'31'!K9+'32'!K9+'33'!K9+'34'!K9+'35'!K9+'36'!K9+'37'!K9+'5'!K9+'14'!K9</f>
        <v>19503431</v>
      </c>
      <c r="I16" s="775">
        <f>'1'!L9+'2'!L14+'6'!L9+'3'!L9+'4'!L9+'7'!L9+'8'!L9+'9'!L9+'10'!L9+'11'!L9+'12'!L9+'13'!L9+'15'!L9+'16'!L12+'17'!L9+'18'!L9+'19'!L9+'20'!L9+'22'!L9+'23'!L9+'21'!L9+'24'!L9+'25'!L9+'26'!L9+'27'!L9+'28'!L9+'29'!L9+'30'!L9+'31'!L9+'32'!L9+'33'!L9+'34'!L9+'35'!L9+'36'!L9+'37'!L9+'5'!L9+'14'!L9</f>
        <v>21849963</v>
      </c>
      <c r="J16" s="167">
        <f>'1'!M9+'2'!M14+'6'!M9+'3'!M9+'4'!M9+'7'!M9+'8'!M9+'9'!M9+'10'!M9+'11'!M9+'12'!M9+'13'!M9+'15'!M9+'16'!M12+'17'!M9+'18'!M9+'19'!M9+'20'!M9+'22'!M9+'23'!M9+'21'!M9+'24'!M9+'25'!M9+'26'!M9+'27'!M9+'28'!M9+'29'!M9+'30'!M9+'31'!M9+'32'!M9+'33'!M9+'34'!M9+'35'!M9+'36'!M9+'37'!M9+'5'!M9+'14'!M9</f>
        <v>27293</v>
      </c>
      <c r="K16" s="776">
        <f>'1'!N9+'2'!N14+'6'!N9+'3'!N9+'4'!N9+'7'!N9+'8'!N9+'9'!N9+'10'!N9+'11'!N9+'12'!N9+'13'!N9+'15'!N9+'16'!N12+'17'!N9+'18'!N9+'19'!N9+'20'!N9+'22'!N9+'23'!N9+'21'!N9+'24'!N9+'25'!N9+'26'!N9+'27'!N9+'28'!N9+'29'!N9+'30'!N9+'31'!N9+'32'!N9+'33'!N9+'34'!N9+'35'!N9+'36'!N9+'37'!N9+'5'!N9+'14'!N9</f>
        <v>21877256</v>
      </c>
      <c r="L16" s="933">
        <f t="shared" si="2"/>
        <v>99.462507751592597</v>
      </c>
      <c r="M16" s="934">
        <f t="shared" si="3"/>
        <v>112.17132001030998</v>
      </c>
      <c r="O16" s="52"/>
    </row>
    <row r="17" spans="2:16" ht="15" customHeight="1">
      <c r="B17" s="10"/>
      <c r="C17" s="134">
        <v>611200</v>
      </c>
      <c r="D17" s="646"/>
      <c r="E17" s="20" t="s">
        <v>162</v>
      </c>
      <c r="F17" s="30">
        <f>F18+F19</f>
        <v>5004310</v>
      </c>
      <c r="G17" s="747">
        <f t="shared" ref="G17:H17" si="5">G18+G19</f>
        <v>5018970</v>
      </c>
      <c r="H17" s="554">
        <f t="shared" si="5"/>
        <v>3883606</v>
      </c>
      <c r="I17" s="775">
        <f t="shared" ref="I17" si="6">I18+I19</f>
        <v>4915077</v>
      </c>
      <c r="J17" s="167">
        <f t="shared" ref="J17:K17" si="7">J18+J19</f>
        <v>8569</v>
      </c>
      <c r="K17" s="776">
        <f t="shared" si="7"/>
        <v>4923646</v>
      </c>
      <c r="L17" s="933">
        <f t="shared" si="2"/>
        <v>98.100725846139753</v>
      </c>
      <c r="M17" s="934">
        <f t="shared" si="3"/>
        <v>126.78026555731967</v>
      </c>
      <c r="O17" s="52"/>
    </row>
    <row r="18" spans="2:16" ht="15" customHeight="1">
      <c r="B18" s="10"/>
      <c r="C18" s="135">
        <v>611200</v>
      </c>
      <c r="D18" s="648"/>
      <c r="E18" s="130" t="s">
        <v>809</v>
      </c>
      <c r="F18" s="131">
        <f>'1'!I10+'2'!I15+'6'!I10+'3'!I10+'4'!I10+'7'!I10+'8'!I10+'9'!I10+'10'!I10+'11'!I10+'12'!I10+'13'!I10+'15'!I10+'16'!I13+'17'!I10+'18'!I10+'19'!I10+'20'!I10+'22'!I10+'23'!I10+'21'!I10+'24'!I10+'25'!I10+'26'!I10+'27'!I10+'28'!I10+'29'!I10+'30'!I10+'31'!I10+'32'!I10+'33'!I10+'34'!I10+'35'!I10+'36'!I10+'37'!I10+'5'!I10+'14'!I10</f>
        <v>4957280</v>
      </c>
      <c r="G18" s="748">
        <f>'1'!J10+'2'!J15+'6'!J10+'3'!J10+'4'!J10+'7'!J10+'8'!J10+'9'!J10+'10'!J10+'11'!J10+'12'!J10+'13'!J10+'15'!J10+'16'!J13+'17'!J10+'18'!J10+'19'!J10+'20'!J10+'22'!J10+'23'!J10+'21'!J10+'24'!J10+'25'!J10+'26'!J10+'27'!J10+'28'!J10+'29'!J10+'30'!J10+'31'!J10+'32'!J10+'33'!J10+'34'!J10+'35'!J10+'36'!J10+'37'!J10+'5'!J10+'14'!J10</f>
        <v>4971940</v>
      </c>
      <c r="H18" s="555">
        <f>'1'!K10+'2'!K15+'6'!K10+'3'!K10+'4'!K10+'7'!K10+'8'!K10+'9'!K10+'10'!K10+'11'!K10+'12'!K10+'13'!K10+'15'!K10+'16'!K13+'17'!K10+'18'!K10+'19'!K10+'20'!K10+'22'!K10+'23'!K10+'21'!K10+'24'!K10+'25'!K10+'26'!K10+'27'!K10+'28'!K10+'29'!K10+'30'!K10+'31'!K10+'32'!K10+'33'!K10+'34'!K10+'35'!K10+'36'!K10+'37'!K10+'5'!K10+'14'!K10</f>
        <v>3844359</v>
      </c>
      <c r="I18" s="777">
        <f>'1'!L10+'2'!L15+'6'!L10+'3'!L10+'4'!L10+'7'!L10+'8'!L10+'9'!L10+'10'!L10+'11'!L10+'12'!L10+'13'!L10+'15'!L10+'16'!L13+'17'!L10+'18'!L10+'19'!L10+'20'!L10+'22'!L10+'23'!L10+'21'!L10+'24'!L10+'25'!L10+'26'!L10+'27'!L10+'28'!L10+'29'!L10+'30'!L10+'31'!L10+'32'!L10+'33'!L10+'34'!L10+'35'!L10+'36'!L10+'37'!L10+'5'!L10+'14'!L10</f>
        <v>4869070</v>
      </c>
      <c r="J18" s="174">
        <f>'1'!M10+'2'!M15+'6'!M10+'3'!M10+'4'!M10+'7'!M10+'8'!M10+'9'!M10+'10'!M10+'11'!M10+'12'!M10+'13'!M10+'15'!M10+'16'!M13+'17'!M10+'18'!M10+'19'!M10+'20'!M10+'22'!M10+'23'!M10+'21'!M10+'24'!M10+'25'!M10+'26'!M10+'27'!M10+'28'!M10+'29'!M10+'30'!M10+'31'!M10+'32'!M10+'33'!M10+'34'!M10+'35'!M10+'36'!M10+'37'!M10+'5'!M10+'14'!M10</f>
        <v>8569</v>
      </c>
      <c r="K18" s="778">
        <f>'1'!N10+'2'!N15+'6'!N10+'3'!N10+'4'!N10+'7'!N10+'8'!N10+'9'!N10+'10'!N10+'11'!N10+'12'!N10+'13'!N10+'15'!N10+'16'!N13+'17'!N10+'18'!N10+'19'!N10+'20'!N10+'22'!N10+'23'!N10+'21'!N10+'24'!N10+'25'!N10+'26'!N10+'27'!N10+'28'!N10+'29'!N10+'30'!N10+'31'!N10+'32'!N10+'33'!N10+'34'!N10+'35'!N10+'36'!N10+'37'!N10+'5'!N10+'14'!N10</f>
        <v>4877639</v>
      </c>
      <c r="L18" s="937">
        <f t="shared" si="2"/>
        <v>98.103335921189711</v>
      </c>
      <c r="M18" s="938">
        <f t="shared" si="3"/>
        <v>126.87782280479007</v>
      </c>
      <c r="O18" s="52"/>
    </row>
    <row r="19" spans="2:16" ht="15" customHeight="1">
      <c r="B19" s="10"/>
      <c r="C19" s="135">
        <v>611200</v>
      </c>
      <c r="D19" s="648" t="s">
        <v>494</v>
      </c>
      <c r="E19" s="132" t="s">
        <v>856</v>
      </c>
      <c r="F19" s="131">
        <f>'1'!I11+'2'!I16+'6'!I11+'3'!I11+'4'!I11+'7'!I11+'8'!I11+'9'!I11+'10'!I11+'11'!I11+'12'!I11+'13'!I11+'15'!I11+'16'!I14+'17'!I11+'18'!I11+'19'!I11+'20'!I11+'22'!I11+'23'!I11+'21'!I11+'24'!I11+'25'!I11+'26'!I11+'27'!I11+'28'!I11+'29'!I11+'30'!I11+'31'!I11+'32'!I11+'33'!I11+'34'!I11+'35'!I11+'36'!I11+'37'!I11+'5'!I11+'14'!I11</f>
        <v>47030</v>
      </c>
      <c r="G19" s="748">
        <f>'1'!J11+'2'!J16+'6'!J11+'3'!J11+'4'!J11+'7'!J11+'8'!J11+'9'!J11+'10'!J11+'11'!J11+'12'!J11+'13'!J11+'15'!J11+'16'!J14+'17'!J11+'18'!J11+'19'!J11+'20'!J11+'22'!J11+'23'!J11+'21'!J11+'24'!J11+'25'!J11+'26'!J11+'27'!J11+'28'!J11+'29'!J11+'30'!J11+'31'!J11+'32'!J11+'33'!J11+'34'!J11+'35'!J11+'36'!J11+'37'!J11+'5'!J11+'14'!J11</f>
        <v>47030</v>
      </c>
      <c r="H19" s="555">
        <f>'1'!K11+'2'!K16+'6'!K11+'3'!K11+'4'!K11+'7'!K11+'8'!K11+'9'!K11+'10'!K11+'11'!K11+'12'!K11+'13'!K11+'15'!K11+'16'!K14+'17'!K11+'18'!K11+'19'!K11+'20'!K11+'22'!K11+'23'!K11+'21'!K11+'24'!K11+'25'!K11+'26'!K11+'27'!K11+'28'!K11+'29'!K11+'30'!K11+'31'!K11+'32'!K11+'33'!K11+'34'!K11+'35'!K11+'36'!K11+'37'!K11+'5'!K11+'14'!K11</f>
        <v>39247</v>
      </c>
      <c r="I19" s="777">
        <f>'1'!L11+'2'!L16+'6'!L11+'3'!L11+'4'!L11+'7'!L11+'8'!L11+'9'!L11+'10'!L11+'11'!L11+'12'!L11+'13'!L11+'15'!L11+'16'!L14+'17'!L11+'18'!L11+'19'!L11+'20'!L11+'22'!L11+'23'!L11+'21'!L11+'24'!L11+'25'!L11+'26'!L11+'27'!L11+'28'!L11+'29'!L11+'30'!L11+'31'!L11+'32'!L11+'33'!L11+'34'!L11+'35'!L11+'36'!L11+'37'!L11+'5'!L11+'14'!L11</f>
        <v>46007</v>
      </c>
      <c r="J19" s="174">
        <f>'1'!M11+'2'!M16+'6'!M11+'3'!M11+'4'!M11+'7'!M11+'8'!M11+'9'!M11+'10'!M11+'11'!M11+'12'!M11+'13'!M11+'15'!M11+'16'!M14+'17'!M11+'18'!M11+'19'!M11+'20'!M11+'22'!M11+'23'!M11+'21'!M11+'24'!M11+'25'!M11+'26'!M11+'27'!M11+'28'!M11+'29'!M11+'30'!M11+'31'!M11+'32'!M11+'33'!M11+'34'!M11+'35'!M11+'36'!M11+'37'!M11+'5'!M11+'14'!M11</f>
        <v>0</v>
      </c>
      <c r="K19" s="778">
        <f>'1'!N11+'2'!N16+'6'!N11+'3'!N11+'4'!N11+'7'!N11+'8'!N11+'9'!N11+'10'!N11+'11'!N11+'12'!N11+'13'!N11+'15'!N11+'16'!N14+'17'!N11+'18'!N11+'19'!N11+'20'!N11+'22'!N11+'23'!N11+'21'!N11+'24'!N11+'25'!N11+'26'!N11+'27'!N11+'28'!N11+'29'!N11+'30'!N11+'31'!N11+'32'!N11+'33'!N11+'34'!N11+'35'!N11+'36'!N11+'37'!N11+'5'!N11+'14'!N11</f>
        <v>46007</v>
      </c>
      <c r="L19" s="937">
        <f t="shared" si="2"/>
        <v>97.824792685519881</v>
      </c>
      <c r="M19" s="938">
        <f t="shared" si="3"/>
        <v>117.22424643921829</v>
      </c>
      <c r="O19" s="52"/>
    </row>
    <row r="20" spans="2:16" ht="12.75" customHeight="1">
      <c r="B20" s="10"/>
      <c r="C20" s="134"/>
      <c r="D20" s="646"/>
      <c r="E20" s="11"/>
      <c r="F20" s="46"/>
      <c r="G20" s="749"/>
      <c r="H20" s="556"/>
      <c r="I20" s="779"/>
      <c r="J20" s="157"/>
      <c r="K20" s="776"/>
      <c r="L20" s="933" t="str">
        <f t="shared" si="2"/>
        <v/>
      </c>
      <c r="M20" s="934" t="str">
        <f t="shared" si="3"/>
        <v/>
      </c>
      <c r="O20" s="52"/>
    </row>
    <row r="21" spans="2:16" ht="15" customHeight="1">
      <c r="B21" s="10"/>
      <c r="C21" s="263">
        <v>612000</v>
      </c>
      <c r="D21" s="647"/>
      <c r="E21" s="596" t="s">
        <v>139</v>
      </c>
      <c r="F21" s="597">
        <f>SUM(F22:F23)</f>
        <v>2698780</v>
      </c>
      <c r="G21" s="750">
        <f t="shared" ref="G21:K21" si="8">SUM(G22:G23)</f>
        <v>2700180</v>
      </c>
      <c r="H21" s="598">
        <f t="shared" ref="H21" si="9">SUM(H22:H23)</f>
        <v>2489148</v>
      </c>
      <c r="I21" s="780">
        <f t="shared" si="8"/>
        <v>2673932</v>
      </c>
      <c r="J21" s="597">
        <f t="shared" si="8"/>
        <v>2866</v>
      </c>
      <c r="K21" s="781">
        <f t="shared" si="8"/>
        <v>2676798</v>
      </c>
      <c r="L21" s="939">
        <f t="shared" si="2"/>
        <v>99.134057729484709</v>
      </c>
      <c r="M21" s="940">
        <f t="shared" si="3"/>
        <v>107.53872409354526</v>
      </c>
      <c r="O21" s="52"/>
      <c r="P21" s="51"/>
    </row>
    <row r="22" spans="2:16" s="1" customFormat="1" ht="15" customHeight="1">
      <c r="B22" s="12"/>
      <c r="C22" s="134">
        <v>612100</v>
      </c>
      <c r="D22" s="646"/>
      <c r="E22" s="81" t="s">
        <v>81</v>
      </c>
      <c r="F22" s="599">
        <f>'1'!I14+'2'!I19+'6'!I14+'3'!I14+'4'!I14+'7'!I14+'8'!I14+'9'!I14+'10'!I14+'11'!I14+'12'!I14+'13'!I14+'15'!I14+'16'!I17+'17'!I14+'18'!I14+'19'!I14+'20'!I14+'22'!I14+'23'!I14+'21'!I14+'24'!I14+'25'!I14+'26'!I14+'27'!I14+'28'!I14+'29'!I14+'30'!I14+'31'!I14+'32'!I14+'33'!I14+'34'!I14+'35'!I14+'36'!I14+'37'!I14+'5'!I14+'14'!I14</f>
        <v>2623780</v>
      </c>
      <c r="G22" s="751">
        <f>'1'!J14+'2'!J19+'6'!J14+'3'!J14+'4'!J14+'7'!J14+'8'!J14+'9'!J14+'10'!J14+'11'!J14+'12'!J14+'13'!J14+'15'!J14+'16'!J17+'17'!J14+'18'!J14+'19'!J14+'20'!J14+'22'!J14+'23'!J14+'21'!J14+'24'!J14+'25'!J14+'26'!J14+'27'!J14+'28'!J14+'29'!J14+'30'!J14+'31'!J14+'32'!J14+'33'!J14+'34'!J14+'35'!J14+'36'!J14+'37'!J14+'5'!J14+'14'!J14</f>
        <v>2625180</v>
      </c>
      <c r="H22" s="600">
        <f>'1'!K14+'2'!K19+'6'!K14+'3'!K14+'4'!K14+'7'!K14+'8'!K14+'9'!K14+'10'!K14+'11'!K14+'12'!K14+'13'!K14+'15'!K14+'16'!K17+'17'!K14+'18'!K14+'19'!K14+'20'!K14+'22'!K14+'23'!K14+'21'!K14+'24'!K14+'25'!K14+'26'!K14+'27'!K14+'28'!K14+'29'!K14+'30'!K14+'31'!K14+'32'!K14+'33'!K14+'34'!K14+'35'!K14+'36'!K14+'37'!K14+'5'!K14+'14'!K14</f>
        <v>2289726</v>
      </c>
      <c r="I22" s="782">
        <f>'1'!L14+'2'!L19+'6'!L14+'3'!L14+'4'!L14+'7'!L14+'8'!L14+'9'!L14+'10'!L14+'11'!L14+'12'!L14+'13'!L14+'15'!L14+'16'!L17+'17'!L14+'18'!L14+'19'!L14+'20'!L14+'22'!L14+'23'!L14+'21'!L14+'24'!L14+'25'!L14+'26'!L14+'27'!L14+'28'!L14+'29'!L14+'30'!L14+'31'!L14+'32'!L14+'33'!L14+'34'!L14+'35'!L14+'36'!L14+'37'!L14+'5'!L14+'14'!L14</f>
        <v>2599155</v>
      </c>
      <c r="J22" s="599">
        <f>'1'!M14+'2'!M19+'6'!M14+'3'!M14+'4'!M14+'7'!M14+'8'!M14+'9'!M14+'10'!M14+'11'!M14+'12'!M14+'13'!M14+'15'!M14+'16'!M17+'17'!M14+'18'!M14+'19'!M14+'20'!M14+'22'!M14+'23'!M14+'21'!M14+'24'!M14+'25'!M14+'26'!M14+'27'!M14+'28'!M14+'29'!M14+'30'!M14+'31'!M14+'32'!M14+'33'!M14+'34'!M14+'35'!M14+'36'!M14+'37'!M14+'5'!M14+'14'!M14</f>
        <v>2866</v>
      </c>
      <c r="K22" s="783">
        <f>'1'!N14+'2'!N19+'6'!N14+'3'!N14+'4'!N14+'7'!N14+'8'!N14+'9'!N14+'10'!N14+'11'!N14+'12'!N14+'13'!N14+'15'!N14+'16'!N17+'17'!N14+'18'!N14+'19'!N14+'20'!N14+'22'!N14+'23'!N14+'21'!N14+'24'!N14+'25'!N14+'26'!N14+'27'!N14+'28'!N14+'29'!N14+'30'!N14+'31'!N14+'32'!N14+'33'!N14+'34'!N14+'35'!N14+'36'!N14+'37'!N14+'5'!N14+'14'!N14</f>
        <v>2602021</v>
      </c>
      <c r="L22" s="941">
        <f t="shared" si="2"/>
        <v>99.11781287378389</v>
      </c>
      <c r="M22" s="942">
        <f t="shared" si="3"/>
        <v>113.63896815601518</v>
      </c>
      <c r="O22" s="52"/>
    </row>
    <row r="23" spans="2:16" s="158" customFormat="1" ht="15" customHeight="1">
      <c r="B23" s="164"/>
      <c r="C23" s="134">
        <v>612100</v>
      </c>
      <c r="D23" s="646" t="s">
        <v>810</v>
      </c>
      <c r="E23" s="601" t="s">
        <v>762</v>
      </c>
      <c r="F23" s="599">
        <f>'8'!I15</f>
        <v>75000</v>
      </c>
      <c r="G23" s="751">
        <f>'8'!J15</f>
        <v>75000</v>
      </c>
      <c r="H23" s="600">
        <f>'8'!K15</f>
        <v>199422</v>
      </c>
      <c r="I23" s="782">
        <f>'8'!L15</f>
        <v>74777</v>
      </c>
      <c r="J23" s="599">
        <f>'8'!M15</f>
        <v>0</v>
      </c>
      <c r="K23" s="783">
        <f>'8'!N15</f>
        <v>74777</v>
      </c>
      <c r="L23" s="941">
        <f t="shared" ref="L23" si="10">IF(G23=0,"",K23/G23*100)</f>
        <v>99.702666666666659</v>
      </c>
      <c r="M23" s="942">
        <f t="shared" si="3"/>
        <v>37.49686594257404</v>
      </c>
      <c r="O23" s="52"/>
    </row>
    <row r="24" spans="2:16" ht="11.25" customHeight="1">
      <c r="B24" s="10"/>
      <c r="C24" s="134"/>
      <c r="D24" s="646"/>
      <c r="E24" s="602"/>
      <c r="F24" s="599"/>
      <c r="G24" s="751"/>
      <c r="H24" s="600"/>
      <c r="I24" s="782"/>
      <c r="J24" s="599"/>
      <c r="K24" s="783"/>
      <c r="L24" s="941" t="str">
        <f t="shared" si="2"/>
        <v/>
      </c>
      <c r="M24" s="942" t="str">
        <f t="shared" si="3"/>
        <v/>
      </c>
    </row>
    <row r="25" spans="2:16" ht="15" customHeight="1">
      <c r="B25" s="10"/>
      <c r="C25" s="263">
        <v>613000</v>
      </c>
      <c r="D25" s="647"/>
      <c r="E25" s="596" t="s">
        <v>141</v>
      </c>
      <c r="F25" s="597">
        <f>F26+F27+F28+F29+F32+F33+F34+F37+F40</f>
        <v>5499980</v>
      </c>
      <c r="G25" s="750">
        <f t="shared" ref="G25:K25" si="11">G26+G27+G28+G29+G32+G33+G34+G37+G40</f>
        <v>5511470</v>
      </c>
      <c r="H25" s="598">
        <f t="shared" ref="H25" si="12">H26+H27+H28+H29+H32+H33+H34+H37+H40</f>
        <v>4001861</v>
      </c>
      <c r="I25" s="780">
        <f t="shared" si="11"/>
        <v>5036122</v>
      </c>
      <c r="J25" s="597">
        <f t="shared" si="11"/>
        <v>9168</v>
      </c>
      <c r="K25" s="781">
        <f t="shared" si="11"/>
        <v>5045290</v>
      </c>
      <c r="L25" s="939">
        <f t="shared" si="2"/>
        <v>91.541639526296976</v>
      </c>
      <c r="M25" s="940">
        <f t="shared" si="3"/>
        <v>126.07359426027041</v>
      </c>
      <c r="O25" s="68"/>
      <c r="P25" s="51"/>
    </row>
    <row r="26" spans="2:16" s="1" customFormat="1" ht="15" customHeight="1">
      <c r="B26" s="12"/>
      <c r="C26" s="134">
        <v>613100</v>
      </c>
      <c r="D26" s="646"/>
      <c r="E26" s="76" t="s">
        <v>82</v>
      </c>
      <c r="F26" s="599">
        <f>'1'!I17+'2'!I22+'6'!I17+'3'!I17+'4'!I17+'7'!I17+'8'!I18+'9'!I17+'10'!I17+'11'!I17+'12'!I17+'13'!I17+'15'!I17+'16'!I20+'17'!I17+'18'!I17+'19'!I17+'20'!I17+'22'!I17+'23'!I17+'21'!I17+'24'!I17+'25'!I17+'26'!I17+'27'!I17+'28'!I17+'29'!I17+'30'!I17+'31'!I17+'32'!I17+'33'!I17+'34'!I17+'35'!I17+'36'!I17+'37'!I17+'5'!I17+'14'!I17</f>
        <v>139150</v>
      </c>
      <c r="G26" s="751">
        <f>'1'!J17+'2'!J22+'6'!J17+'3'!J17+'4'!J17+'7'!J17+'8'!J18+'9'!J17+'10'!J17+'11'!J17+'12'!J17+'13'!J17+'15'!J17+'16'!J20+'17'!J17+'18'!J17+'19'!J17+'20'!J17+'22'!J17+'23'!J17+'21'!J17+'24'!J17+'25'!J17+'26'!J17+'27'!J17+'28'!J17+'29'!J17+'30'!J17+'31'!J17+'32'!J17+'33'!J17+'34'!J17+'35'!J17+'36'!J17+'37'!J17+'5'!J17+'14'!J17</f>
        <v>138860</v>
      </c>
      <c r="H26" s="600">
        <f>'1'!K17+'2'!K22+'6'!K17+'3'!K17+'4'!K17+'7'!K17+'8'!K18+'9'!K17+'10'!K17+'11'!K17+'12'!K17+'13'!K17+'15'!K17+'16'!K20+'17'!K17+'18'!K17+'19'!K17+'20'!K17+'22'!K17+'23'!K17+'21'!K17+'24'!K17+'25'!K17+'26'!K17+'27'!K17+'28'!K17+'29'!K17+'30'!K17+'31'!K17+'32'!K17+'33'!K17+'34'!K17+'35'!K17+'36'!K17+'37'!K17+'5'!K17+'14'!K17</f>
        <v>65163</v>
      </c>
      <c r="I26" s="782">
        <f>'1'!L17+'2'!L22+'6'!L17+'3'!L17+'4'!L17+'7'!L17+'8'!L18+'9'!L17+'10'!L17+'11'!L17+'12'!L17+'13'!L17+'15'!L17+'16'!L20+'17'!L17+'18'!L17+'19'!L17+'20'!L17+'22'!L17+'23'!L17+'21'!L17+'24'!L17+'25'!L17+'26'!L17+'27'!L17+'28'!L17+'29'!L17+'30'!L17+'31'!L17+'32'!L17+'33'!L17+'34'!L17+'35'!L17+'36'!L17+'37'!L17+'5'!L17+'14'!L17</f>
        <v>114991</v>
      </c>
      <c r="J26" s="599">
        <f>'1'!M17+'2'!M22+'6'!M17+'3'!M17+'4'!M17+'7'!M17+'8'!M18+'9'!M17+'10'!M17+'11'!M17+'12'!M17+'13'!M17+'15'!M17+'16'!M20+'17'!M17+'18'!M17+'19'!M17+'20'!M17+'22'!M17+'23'!M17+'21'!M17+'24'!M17+'25'!M17+'26'!M17+'27'!M17+'28'!M17+'29'!M17+'30'!M17+'31'!M17+'32'!M17+'33'!M17+'34'!M17+'35'!M17+'36'!M17+'37'!M17+'5'!M17+'14'!M17</f>
        <v>64</v>
      </c>
      <c r="K26" s="783">
        <f>'1'!N17+'2'!N22+'6'!N17+'3'!N17+'4'!N17+'7'!N17+'8'!N18+'9'!N17+'10'!N17+'11'!N17+'12'!N17+'13'!N17+'15'!N17+'16'!N20+'17'!N17+'18'!N17+'19'!N17+'20'!N17+'22'!N17+'23'!N17+'21'!N17+'24'!N17+'25'!N17+'26'!N17+'27'!N17+'28'!N17+'29'!N17+'30'!N17+'31'!N17+'32'!N17+'33'!N17+'34'!N17+'35'!N17+'36'!N17+'37'!N17+'5'!N17+'14'!N17</f>
        <v>115055</v>
      </c>
      <c r="L26" s="941">
        <f t="shared" si="2"/>
        <v>82.856834221518071</v>
      </c>
      <c r="M26" s="942">
        <f t="shared" si="3"/>
        <v>176.56492181145742</v>
      </c>
      <c r="O26" s="52"/>
    </row>
    <row r="27" spans="2:16" ht="15" customHeight="1">
      <c r="B27" s="10"/>
      <c r="C27" s="134">
        <v>613200</v>
      </c>
      <c r="D27" s="646"/>
      <c r="E27" s="76" t="s">
        <v>83</v>
      </c>
      <c r="F27" s="599">
        <f>'1'!I18+'2'!I23+'6'!I18+'3'!I18+'4'!I18+'7'!I18+'8'!I19+'9'!I18+'10'!I18+'11'!I18+'12'!I18+'13'!I18+'15'!I18+'16'!I21+'17'!I18+'18'!I18+'19'!I18+'20'!I18+'22'!I18+'23'!I18+'21'!I18+'24'!I18+'25'!I18+'26'!I18+'27'!I18+'28'!I18+'29'!I18+'30'!I18+'31'!I18+'32'!I18+'33'!I18+'34'!I18+'35'!I18+'36'!I18+'37'!I18+'5'!I18+'14'!I18</f>
        <v>919800</v>
      </c>
      <c r="G27" s="751">
        <f>'1'!J18+'2'!J23+'6'!J18+'3'!J18+'4'!J18+'7'!J18+'8'!J19+'9'!J18+'10'!J18+'11'!J18+'12'!J18+'13'!J18+'15'!J18+'16'!J21+'17'!J18+'18'!J18+'19'!J18+'20'!J18+'22'!J18+'23'!J18+'21'!J18+'24'!J18+'25'!J18+'26'!J18+'27'!J18+'28'!J18+'29'!J18+'30'!J18+'31'!J18+'32'!J18+'33'!J18+'34'!J18+'35'!J18+'36'!J18+'37'!J18+'5'!J18+'14'!J18</f>
        <v>915250</v>
      </c>
      <c r="H27" s="600">
        <f>'1'!K18+'2'!K23+'6'!K18+'3'!K18+'4'!K18+'7'!K18+'8'!K19+'9'!K18+'10'!K18+'11'!K18+'12'!K18+'13'!K18+'15'!K18+'16'!K21+'17'!K18+'18'!K18+'19'!K18+'20'!K18+'22'!K18+'23'!K18+'21'!K18+'24'!K18+'25'!K18+'26'!K18+'27'!K18+'28'!K18+'29'!K18+'30'!K18+'31'!K18+'32'!K18+'33'!K18+'34'!K18+'35'!K18+'36'!K18+'37'!K18+'5'!K18+'14'!K18</f>
        <v>682471</v>
      </c>
      <c r="I27" s="782">
        <f>'1'!L18+'2'!L23+'6'!L18+'3'!L18+'4'!L18+'7'!L18+'8'!L19+'9'!L18+'10'!L18+'11'!L18+'12'!L18+'13'!L18+'15'!L18+'16'!L21+'17'!L18+'18'!L18+'19'!L18+'20'!L18+'22'!L18+'23'!L18+'21'!L18+'24'!L18+'25'!L18+'26'!L18+'27'!L18+'28'!L18+'29'!L18+'30'!L18+'31'!L18+'32'!L18+'33'!L18+'34'!L18+'35'!L18+'36'!L18+'37'!L18+'5'!L18+'14'!L18</f>
        <v>800126</v>
      </c>
      <c r="J27" s="599">
        <f>'1'!M18+'2'!M23+'6'!M18+'3'!M18+'4'!M18+'7'!M18+'8'!M19+'9'!M18+'10'!M18+'11'!M18+'12'!M18+'13'!M18+'15'!M18+'16'!M21+'17'!M18+'18'!M18+'19'!M18+'20'!M18+'22'!M18+'23'!M18+'21'!M18+'24'!M18+'25'!M18+'26'!M18+'27'!M18+'28'!M18+'29'!M18+'30'!M18+'31'!M18+'32'!M18+'33'!M18+'34'!M18+'35'!M18+'36'!M18+'37'!M18+'5'!M18+'14'!M18</f>
        <v>0</v>
      </c>
      <c r="K27" s="783">
        <f>'1'!N18+'2'!N23+'6'!N18+'3'!N18+'4'!N18+'7'!N18+'8'!N19+'9'!N18+'10'!N18+'11'!N18+'12'!N18+'13'!N18+'15'!N18+'16'!N21+'17'!N18+'18'!N18+'19'!N18+'20'!N18+'22'!N18+'23'!N18+'21'!N18+'24'!N18+'25'!N18+'26'!N18+'27'!N18+'28'!N18+'29'!N18+'30'!N18+'31'!N18+'32'!N18+'33'!N18+'34'!N18+'35'!N18+'36'!N18+'37'!N18+'5'!N18+'14'!N18</f>
        <v>800126</v>
      </c>
      <c r="L27" s="941">
        <f t="shared" si="2"/>
        <v>87.42157880360557</v>
      </c>
      <c r="M27" s="942">
        <f t="shared" si="3"/>
        <v>117.23956036227182</v>
      </c>
      <c r="O27" s="52"/>
    </row>
    <row r="28" spans="2:16" ht="15" customHeight="1">
      <c r="B28" s="10"/>
      <c r="C28" s="134">
        <v>613300</v>
      </c>
      <c r="D28" s="189"/>
      <c r="E28" s="602" t="s">
        <v>163</v>
      </c>
      <c r="F28" s="599">
        <f>'1'!I19+'2'!I24+'6'!I19+'3'!I19+'4'!I19+'7'!I19+'8'!I20+'9'!I19+'10'!I19+'11'!I19+'12'!I19+'13'!I19+'15'!I19+'16'!I22+'17'!I19+'18'!I19+'19'!I19+'20'!I19+'22'!I19+'23'!I19+'21'!I19+'24'!I19+'25'!I19+'26'!I19+'27'!I19+'28'!I19+'29'!I19+'30'!I19+'31'!I19+'32'!I19+'33'!I19+'34'!I19+'35'!I19+'36'!I19+'37'!I19+'5'!I19+'14'!I19</f>
        <v>413350</v>
      </c>
      <c r="G28" s="751">
        <f>'1'!J19+'2'!J24+'6'!J19+'3'!J19+'4'!J19+'7'!J19+'8'!J20+'9'!J19+'10'!J19+'11'!J19+'12'!J19+'13'!J19+'15'!J19+'16'!J22+'17'!J19+'18'!J19+'19'!J19+'20'!J19+'22'!J19+'23'!J19+'21'!J19+'24'!J19+'25'!J19+'26'!J19+'27'!J19+'28'!J19+'29'!J19+'30'!J19+'31'!J19+'32'!J19+'33'!J19+'34'!J19+'35'!J19+'36'!J19+'37'!J19+'5'!J19+'14'!J19</f>
        <v>414390</v>
      </c>
      <c r="H28" s="600">
        <f>'1'!K19+'2'!K24+'6'!K19+'3'!K19+'4'!K19+'7'!K19+'8'!K20+'9'!K19+'10'!K19+'11'!K19+'12'!K19+'13'!K19+'15'!K19+'16'!K22+'17'!K19+'18'!K19+'19'!K19+'20'!K19+'22'!K19+'23'!K19+'21'!K19+'24'!K19+'25'!K19+'26'!K19+'27'!K19+'28'!K19+'29'!K19+'30'!K19+'31'!K19+'32'!K19+'33'!K19+'34'!K19+'35'!K19+'36'!K19+'37'!K19+'5'!K19+'14'!K19</f>
        <v>382257</v>
      </c>
      <c r="I28" s="782">
        <f>'1'!L19+'2'!L24+'6'!L19+'3'!L19+'4'!L19+'7'!L19+'8'!L20+'9'!L19+'10'!L19+'11'!L19+'12'!L19+'13'!L19+'15'!L19+'16'!L22+'17'!L19+'18'!L19+'19'!L19+'20'!L19+'22'!L19+'23'!L19+'21'!L19+'24'!L19+'25'!L19+'26'!L19+'27'!L19+'28'!L19+'29'!L19+'30'!L19+'31'!L19+'32'!L19+'33'!L19+'34'!L19+'35'!L19+'36'!L19+'37'!L19+'5'!L19+'14'!L19</f>
        <v>388328</v>
      </c>
      <c r="J28" s="599">
        <f>'1'!M19+'2'!M24+'6'!M19+'3'!M19+'4'!M19+'7'!M19+'8'!M20+'9'!M19+'10'!M19+'11'!M19+'12'!M19+'13'!M19+'15'!M19+'16'!M22+'17'!M19+'18'!M19+'19'!M19+'20'!M19+'22'!M19+'23'!M19+'21'!M19+'24'!M19+'25'!M19+'26'!M19+'27'!M19+'28'!M19+'29'!M19+'30'!M19+'31'!M19+'32'!M19+'33'!M19+'34'!M19+'35'!M19+'36'!M19+'37'!M19+'5'!M19+'14'!M19</f>
        <v>0</v>
      </c>
      <c r="K28" s="783">
        <f>'1'!N19+'2'!N24+'6'!N19+'3'!N19+'4'!N19+'7'!N19+'8'!N20+'9'!N19+'10'!N19+'11'!N19+'12'!N19+'13'!N19+'15'!N19+'16'!N22+'17'!N19+'18'!N19+'19'!N19+'20'!N19+'22'!N19+'23'!N19+'21'!N19+'24'!N19+'25'!N19+'26'!N19+'27'!N19+'28'!N19+'29'!N19+'30'!N19+'31'!N19+'32'!N19+'33'!N19+'34'!N19+'35'!N19+'36'!N19+'37'!N19+'5'!N19+'14'!N19</f>
        <v>388328</v>
      </c>
      <c r="L28" s="941">
        <f t="shared" si="2"/>
        <v>93.710755568425867</v>
      </c>
      <c r="M28" s="942">
        <f t="shared" si="3"/>
        <v>101.58819851565832</v>
      </c>
      <c r="O28" s="52"/>
    </row>
    <row r="29" spans="2:16" s="161" customFormat="1" ht="15" customHeight="1">
      <c r="B29" s="162"/>
      <c r="C29" s="134">
        <v>613400</v>
      </c>
      <c r="D29" s="189"/>
      <c r="E29" s="602" t="s">
        <v>142</v>
      </c>
      <c r="F29" s="599">
        <f>F30+F31</f>
        <v>592950</v>
      </c>
      <c r="G29" s="751">
        <f t="shared" ref="G29:K29" si="13">G30+G31</f>
        <v>611020</v>
      </c>
      <c r="H29" s="600">
        <f t="shared" ref="H29" si="14">H30+H31</f>
        <v>505654</v>
      </c>
      <c r="I29" s="782">
        <f t="shared" si="13"/>
        <v>537826</v>
      </c>
      <c r="J29" s="599">
        <f t="shared" si="13"/>
        <v>8686</v>
      </c>
      <c r="K29" s="783">
        <f t="shared" si="13"/>
        <v>546512</v>
      </c>
      <c r="L29" s="941">
        <f t="shared" si="2"/>
        <v>89.442571437923462</v>
      </c>
      <c r="M29" s="942">
        <f t="shared" si="3"/>
        <v>108.08022877303452</v>
      </c>
      <c r="O29" s="52"/>
    </row>
    <row r="30" spans="2:16" ht="14.25" customHeight="1">
      <c r="B30" s="10"/>
      <c r="C30" s="135">
        <v>613400</v>
      </c>
      <c r="D30" s="557"/>
      <c r="E30" s="603" t="s">
        <v>807</v>
      </c>
      <c r="F30" s="563">
        <f>'1'!I20+'2'!I25+'6'!I20+'3'!I20+'4'!I20+'7'!I20+'8'!I21+'9'!I20+'10'!I20+'11'!I20+'12'!I20+'13'!I20+'15'!I20+'16'!I23+'17'!I20+'18'!I20+'19'!I20+'20'!I20+'22'!I20+'23'!I20+'21'!I20+'24'!I20+'25'!I20+'26'!I20+'27'!I20+'28'!I20+'29'!I20+'30'!I20+'31'!I20+'32'!I20+'33'!I20+'34'!I20+'35'!I20+'36'!I20+'37'!I20+'5'!I20+'14'!I20</f>
        <v>592950</v>
      </c>
      <c r="G30" s="752">
        <f>'1'!J20+'2'!J25+'6'!J20+'3'!J20+'4'!J20+'7'!J20+'8'!J21+'9'!J20+'10'!J20+'11'!J20+'12'!J20+'13'!J20+'15'!J20+'16'!J23+'17'!J20+'18'!J20+'19'!J20+'20'!J20+'22'!J20+'23'!J20+'21'!J20+'24'!J20+'25'!J20+'26'!J20+'27'!J20+'28'!J20+'29'!J20+'30'!J20+'31'!J20+'32'!J20+'33'!J20+'34'!J20+'35'!J20+'36'!J20+'37'!J20+'5'!J20+'14'!J20</f>
        <v>611020</v>
      </c>
      <c r="H30" s="564">
        <f>'1'!K20+'2'!K25+'6'!K20+'3'!K20+'4'!K20+'7'!K20+'8'!K21+'9'!K20+'10'!K20+'11'!K20+'12'!K20+'13'!K20+'15'!K20+'16'!K23+'17'!K20+'18'!K20+'19'!K20+'20'!K20+'22'!K20+'23'!K20+'21'!K20+'24'!K20+'25'!K20+'26'!K20+'27'!K20+'28'!K20+'29'!K20+'30'!K20+'31'!K20+'32'!K20+'33'!K20+'34'!K20+'35'!K20+'36'!K20+'37'!K20+'5'!K20+'14'!K20</f>
        <v>505654</v>
      </c>
      <c r="I30" s="784">
        <f>'1'!L20+'2'!L25+'6'!L20+'3'!L20+'4'!L20+'7'!L20+'8'!L21+'9'!L20+'10'!L20+'11'!L20+'12'!L20+'13'!L20+'15'!L20+'16'!L23+'17'!L20+'18'!L20+'19'!L20+'20'!L20+'22'!L20+'23'!L20+'21'!L20+'24'!L20+'25'!L20+'26'!L20+'27'!L20+'28'!L20+'29'!L20+'30'!L20+'31'!L20+'32'!L20+'33'!L20+'34'!L20+'35'!L20+'36'!L20+'37'!L20+'5'!L20+'14'!L20</f>
        <v>537826</v>
      </c>
      <c r="J30" s="563">
        <f>'1'!M20+'2'!M25+'6'!M20+'3'!M20+'4'!M20+'7'!M20+'8'!M21+'9'!M20+'10'!M20+'11'!M20+'12'!M20+'13'!M20+'15'!M20+'16'!M23+'17'!M20+'18'!M20+'19'!M20+'20'!M20+'22'!M20+'23'!M20+'21'!M20+'24'!M20+'25'!M20+'26'!M20+'27'!M20+'28'!M20+'29'!M20+'30'!M20+'31'!M20+'32'!M20+'33'!M20+'34'!M20+'35'!M20+'36'!M20+'37'!M20+'5'!M20+'14'!M20</f>
        <v>8686</v>
      </c>
      <c r="K30" s="785">
        <f>'1'!N20+'2'!N25+'6'!N20+'3'!N20+'4'!N20+'7'!N20+'8'!N21+'9'!N20+'10'!N20+'11'!N20+'12'!N20+'13'!N20+'15'!N20+'16'!N23+'17'!N20+'18'!N20+'19'!N20+'20'!N20+'22'!N20+'23'!N20+'21'!N20+'24'!N20+'25'!N20+'26'!N20+'27'!N20+'28'!N20+'29'!N20+'30'!N20+'31'!N20+'32'!N20+'33'!N20+'34'!N20+'35'!N20+'36'!N20+'37'!N20+'5'!N20+'14'!N20</f>
        <v>546512</v>
      </c>
      <c r="L30" s="943">
        <f t="shared" si="2"/>
        <v>89.442571437923462</v>
      </c>
      <c r="M30" s="944">
        <f t="shared" si="3"/>
        <v>108.08022877303452</v>
      </c>
      <c r="O30" s="52"/>
    </row>
    <row r="31" spans="2:16" s="161" customFormat="1" ht="25.5" customHeight="1">
      <c r="B31" s="162"/>
      <c r="C31" s="558">
        <v>613400</v>
      </c>
      <c r="D31" s="562" t="s">
        <v>811</v>
      </c>
      <c r="E31" s="604" t="s">
        <v>808</v>
      </c>
      <c r="F31" s="563">
        <f>'20'!I21</f>
        <v>0</v>
      </c>
      <c r="G31" s="752">
        <f>'20'!J21</f>
        <v>0</v>
      </c>
      <c r="H31" s="564">
        <f>'20'!K21</f>
        <v>0</v>
      </c>
      <c r="I31" s="784">
        <f>'20'!L21</f>
        <v>0</v>
      </c>
      <c r="J31" s="563">
        <f>'20'!M21</f>
        <v>0</v>
      </c>
      <c r="K31" s="785">
        <f>'20'!N21</f>
        <v>0</v>
      </c>
      <c r="L31" s="943" t="str">
        <f t="shared" ref="L31" si="15">IF(G31=0,"",K31/G31*100)</f>
        <v/>
      </c>
      <c r="M31" s="944" t="str">
        <f t="shared" si="3"/>
        <v/>
      </c>
      <c r="O31" s="52"/>
    </row>
    <row r="32" spans="2:16" ht="15" customHeight="1">
      <c r="B32" s="10"/>
      <c r="C32" s="134">
        <v>613500</v>
      </c>
      <c r="D32" s="189"/>
      <c r="E32" s="605" t="s">
        <v>84</v>
      </c>
      <c r="F32" s="606">
        <f>'1'!I21+'2'!I26+'6'!I21+'3'!I21+'4'!I21+'7'!I21+'8'!I22+'9'!I21+'10'!I21+'11'!I21+'12'!I21+'13'!I21+'15'!I21+'16'!I24+'17'!I21+'18'!I21+'19'!I21+'20'!I22+'22'!I21+'23'!I21+'21'!I21+'24'!I21+'25'!I21+'26'!I21+'27'!I21+'28'!I21+'29'!I21+'30'!I21+'31'!I21+'32'!I21+'33'!I21+'34'!I21+'35'!I21+'36'!I21+'37'!I21+'5'!I21+'14'!I21</f>
        <v>307820</v>
      </c>
      <c r="G32" s="753">
        <f>'1'!J21+'2'!J26+'6'!J21+'3'!J21+'4'!J21+'7'!J21+'8'!J22+'9'!J21+'10'!J21+'11'!J21+'12'!J21+'13'!J21+'15'!J21+'16'!J24+'17'!J21+'18'!J21+'19'!J21+'20'!J22+'22'!J21+'23'!J21+'21'!J21+'24'!J21+'25'!J21+'26'!J21+'27'!J21+'28'!J21+'29'!J21+'30'!J21+'31'!J21+'32'!J21+'33'!J21+'34'!J21+'35'!J21+'36'!J21+'37'!J21+'5'!J21+'14'!J21</f>
        <v>306220</v>
      </c>
      <c r="H32" s="607">
        <f>'1'!K21+'2'!K26+'6'!K21+'3'!K21+'4'!K21+'7'!K21+'8'!K22+'9'!K21+'10'!K21+'11'!K21+'12'!K21+'13'!K21+'15'!K21+'16'!K24+'17'!K21+'18'!K21+'19'!K21+'20'!K22+'22'!K21+'23'!K21+'21'!K21+'24'!K21+'25'!K21+'26'!K21+'27'!K21+'28'!K21+'29'!K21+'30'!K21+'31'!K21+'32'!K21+'33'!K21+'34'!K21+'35'!K21+'36'!K21+'37'!K21+'5'!K21+'14'!K21</f>
        <v>200534</v>
      </c>
      <c r="I32" s="786">
        <f>'1'!L21+'2'!L26+'6'!L21+'3'!L21+'4'!L21+'7'!L21+'8'!L22+'9'!L21+'10'!L21+'11'!L21+'12'!L21+'13'!L21+'15'!L21+'16'!L24+'17'!L21+'18'!L21+'19'!L21+'20'!L22+'22'!L21+'23'!L21+'21'!L21+'24'!L21+'25'!L21+'26'!L21+'27'!L21+'28'!L21+'29'!L21+'30'!L21+'31'!L21+'32'!L21+'33'!L21+'34'!L21+'35'!L21+'36'!L21+'37'!L21+'5'!L21+'14'!L21</f>
        <v>294934</v>
      </c>
      <c r="J32" s="606">
        <f>'1'!M21+'2'!M26+'6'!M21+'3'!M21+'4'!M21+'7'!M21+'8'!M22+'9'!M21+'10'!M21+'11'!M21+'12'!M21+'13'!M21+'15'!M21+'16'!M24+'17'!M21+'18'!M21+'19'!M21+'20'!M22+'22'!M21+'23'!M21+'21'!M21+'24'!M21+'25'!M21+'26'!M21+'27'!M21+'28'!M21+'29'!M21+'30'!M21+'31'!M21+'32'!M21+'33'!M21+'34'!M21+'35'!M21+'36'!M21+'37'!M21+'5'!M21+'14'!M21</f>
        <v>0</v>
      </c>
      <c r="K32" s="783">
        <f>'1'!N21+'2'!N26+'6'!N21+'3'!N21+'4'!N21+'7'!N21+'8'!N22+'9'!N21+'10'!N21+'11'!N21+'12'!N21+'13'!N21+'15'!N21+'16'!N24+'17'!N21+'18'!N21+'19'!N21+'20'!N22+'22'!N21+'23'!N21+'21'!N21+'24'!N21+'25'!N21+'26'!N21+'27'!N21+'28'!N21+'29'!N21+'30'!N21+'31'!N21+'32'!N21+'33'!N21+'34'!N21+'35'!N21+'36'!N21+'37'!N21+'5'!N21+'14'!N21</f>
        <v>294934</v>
      </c>
      <c r="L32" s="941">
        <f t="shared" si="2"/>
        <v>96.31441447325453</v>
      </c>
      <c r="M32" s="942">
        <f t="shared" si="3"/>
        <v>147.07431158805989</v>
      </c>
      <c r="O32" s="52"/>
    </row>
    <row r="33" spans="2:15" ht="15" customHeight="1">
      <c r="B33" s="10"/>
      <c r="C33" s="134">
        <v>613600</v>
      </c>
      <c r="D33" s="189"/>
      <c r="E33" s="608" t="s">
        <v>164</v>
      </c>
      <c r="F33" s="606">
        <f>'1'!I22+'2'!I27+'6'!I22+'3'!I22+'4'!I22+'7'!I22+'8'!I23+'9'!I22+'10'!I22+'11'!I22+'12'!I22+'13'!I22+'15'!I22+'16'!I25+'17'!I22+'18'!I22+'19'!I22+'20'!I23+'22'!I22+'23'!I22+'21'!I22+'24'!I22+'25'!I22+'26'!I22+'27'!I22+'28'!I22+'29'!I22+'30'!I22+'31'!I22+'32'!I22+'33'!I22+'34'!I22+'35'!I22+'36'!I22+'37'!I22+'5'!I22+'14'!I22</f>
        <v>32500</v>
      </c>
      <c r="G33" s="753">
        <f>'1'!J22+'2'!J27+'6'!J22+'3'!J22+'4'!J22+'7'!J22+'8'!J23+'9'!J22+'10'!J22+'11'!J22+'12'!J22+'13'!J22+'15'!J22+'16'!J25+'17'!J22+'18'!J22+'19'!J22+'20'!J23+'22'!J22+'23'!J22+'21'!J22+'24'!J22+'25'!J22+'26'!J22+'27'!J22+'28'!J22+'29'!J22+'30'!J22+'31'!J22+'32'!J22+'33'!J22+'34'!J22+'35'!J22+'36'!J22+'37'!J22+'5'!J22+'14'!J22</f>
        <v>32500</v>
      </c>
      <c r="H33" s="607">
        <f>'1'!K22+'2'!K27+'6'!K22+'3'!K22+'4'!K22+'7'!K22+'8'!K23+'9'!K22+'10'!K22+'11'!K22+'12'!K22+'13'!K22+'15'!K22+'16'!K25+'17'!K22+'18'!K22+'19'!K22+'20'!K23+'22'!K22+'23'!K22+'21'!K22+'24'!K22+'25'!K22+'26'!K22+'27'!K22+'28'!K22+'29'!K22+'30'!K22+'31'!K22+'32'!K22+'33'!K22+'34'!K22+'35'!K22+'36'!K22+'37'!K22+'5'!K22+'14'!K22</f>
        <v>32004</v>
      </c>
      <c r="I33" s="786">
        <f>'1'!L22+'2'!L27+'6'!L22+'3'!L22+'4'!L22+'7'!L22+'8'!L23+'9'!L22+'10'!L22+'11'!L22+'12'!L22+'13'!L22+'15'!L22+'16'!L25+'17'!L22+'18'!L22+'19'!L22+'20'!L23+'22'!L22+'23'!L22+'21'!L22+'24'!L22+'25'!L22+'26'!L22+'27'!L22+'28'!L22+'29'!L22+'30'!L22+'31'!L22+'32'!L22+'33'!L22+'34'!L22+'35'!L22+'36'!L22+'37'!L22+'5'!L22+'14'!L22</f>
        <v>32004</v>
      </c>
      <c r="J33" s="606">
        <f>'1'!M22+'2'!M27+'6'!M22+'3'!M22+'4'!M22+'7'!M22+'8'!M23+'9'!M22+'10'!M22+'11'!M22+'12'!M22+'13'!M22+'15'!M22+'16'!M25+'17'!M22+'18'!M22+'19'!M22+'20'!M23+'22'!M22+'23'!M22+'21'!M22+'24'!M22+'25'!M22+'26'!M22+'27'!M22+'28'!M22+'29'!M22+'30'!M22+'31'!M22+'32'!M22+'33'!M22+'34'!M22+'35'!M22+'36'!M22+'37'!M22+'5'!M22+'14'!M22</f>
        <v>0</v>
      </c>
      <c r="K33" s="783">
        <f>'1'!N22+'2'!N27+'6'!N22+'3'!N22+'4'!N22+'7'!N22+'8'!N23+'9'!N22+'10'!N22+'11'!N22+'12'!N22+'13'!N22+'15'!N22+'16'!N25+'17'!N22+'18'!N22+'19'!N22+'20'!N23+'22'!N22+'23'!N22+'21'!N22+'24'!N22+'25'!N22+'26'!N22+'27'!N22+'28'!N22+'29'!N22+'30'!N22+'31'!N22+'32'!N22+'33'!N22+'34'!N22+'35'!N22+'36'!N22+'37'!N22+'5'!N22+'14'!N22</f>
        <v>32004</v>
      </c>
      <c r="L33" s="941">
        <f t="shared" si="2"/>
        <v>98.473846153846154</v>
      </c>
      <c r="M33" s="942">
        <f t="shared" si="3"/>
        <v>100</v>
      </c>
      <c r="O33" s="52"/>
    </row>
    <row r="34" spans="2:15" ht="15" customHeight="1">
      <c r="B34" s="10"/>
      <c r="C34" s="134">
        <v>613700</v>
      </c>
      <c r="D34" s="189"/>
      <c r="E34" s="605" t="s">
        <v>85</v>
      </c>
      <c r="F34" s="606">
        <f>F35+F36</f>
        <v>776900</v>
      </c>
      <c r="G34" s="753">
        <f t="shared" ref="G34:K34" si="16">G35+G36</f>
        <v>779830</v>
      </c>
      <c r="H34" s="607">
        <f t="shared" ref="H34" si="17">H35+H36</f>
        <v>498084</v>
      </c>
      <c r="I34" s="786">
        <f t="shared" si="16"/>
        <v>741895</v>
      </c>
      <c r="J34" s="606">
        <f t="shared" si="16"/>
        <v>0</v>
      </c>
      <c r="K34" s="783">
        <f t="shared" si="16"/>
        <v>741895</v>
      </c>
      <c r="L34" s="941">
        <f t="shared" si="2"/>
        <v>95.135478245258582</v>
      </c>
      <c r="M34" s="942">
        <f t="shared" si="3"/>
        <v>148.94977553986877</v>
      </c>
      <c r="O34" s="52"/>
    </row>
    <row r="35" spans="2:15" ht="15" customHeight="1">
      <c r="B35" s="10"/>
      <c r="C35" s="135">
        <v>613700</v>
      </c>
      <c r="D35" s="190"/>
      <c r="E35" s="609" t="s">
        <v>442</v>
      </c>
      <c r="F35" s="610">
        <f>'1'!I23+'2'!I28+'6'!I23+'3'!I23+'4'!I23+'7'!I23+'8'!I24+'9'!I23+'10'!I23+'11'!I23+'12'!I23+'13'!I23+'15'!I23+'16'!I26+'17'!I23+'18'!I23+'19'!I23+'20'!I24+'22'!I23+'23'!I23+'21'!I23+'24'!I23+'25'!I23+'26'!I23+'27'!I23+'28'!I23+'29'!I23+'30'!I23+'31'!I23+'32'!I23+'33'!I23+'34'!I23+'35'!I23+'36'!I23+'37'!I23+'5'!I23+'14'!I23</f>
        <v>376900</v>
      </c>
      <c r="G35" s="754">
        <f>'1'!J23+'2'!J28+'6'!J23+'3'!J23+'4'!J23+'7'!J23+'8'!J24+'9'!J23+'10'!J23+'11'!J23+'12'!J23+'13'!J23+'15'!J23+'16'!J26+'17'!J23+'18'!J23+'19'!J23+'20'!J24+'22'!J23+'23'!J23+'21'!J23+'24'!J23+'25'!J23+'26'!J23+'27'!J23+'28'!J23+'29'!J23+'30'!J23+'31'!J23+'32'!J23+'33'!J23+'34'!J23+'35'!J23+'36'!J23+'37'!J23+'5'!J23+'14'!J23</f>
        <v>382830</v>
      </c>
      <c r="H35" s="611">
        <f>'1'!K23+'2'!K28+'6'!K23+'3'!K23+'4'!K23+'7'!K23+'8'!K24+'9'!K23+'10'!K23+'11'!K23+'12'!K23+'13'!K23+'15'!K23+'16'!K26+'17'!K23+'18'!K23+'19'!K23+'20'!K24+'22'!K23+'23'!K23+'21'!K23+'24'!K23+'25'!K23+'26'!K23+'27'!K23+'28'!K23+'29'!K23+'30'!K23+'31'!K23+'32'!K23+'33'!K23+'34'!K23+'35'!K23+'36'!K23+'37'!K23+'5'!K23+'14'!K23</f>
        <v>307465</v>
      </c>
      <c r="I35" s="787">
        <f>'1'!L23+'2'!L28+'6'!L23+'3'!L23+'4'!L23+'7'!L23+'8'!L24+'9'!L23+'10'!L23+'11'!L23+'12'!L23+'13'!L23+'15'!L23+'16'!L26+'17'!L23+'18'!L23+'19'!L23+'20'!L24+'22'!L23+'23'!L23+'21'!L23+'24'!L23+'25'!L23+'26'!L23+'27'!L23+'28'!L23+'29'!L23+'30'!L23+'31'!L23+'32'!L23+'33'!L23+'34'!L23+'35'!L23+'36'!L23+'37'!L23+'5'!L23+'14'!L23</f>
        <v>353191</v>
      </c>
      <c r="J35" s="610">
        <f>'1'!M23+'2'!M28+'6'!M23+'3'!M23+'4'!M23+'7'!M23+'8'!M24+'9'!M23+'10'!M23+'11'!M23+'12'!M23+'13'!M23+'15'!M23+'16'!M26+'17'!M23+'18'!M23+'19'!M23+'20'!M24+'22'!M23+'23'!M23+'21'!M23+'24'!M23+'25'!M23+'26'!M23+'27'!M23+'28'!M23+'29'!M23+'30'!M23+'31'!M23+'32'!M23+'33'!M23+'34'!M23+'35'!M23+'36'!M23+'37'!M23+'5'!M23+'14'!M23</f>
        <v>0</v>
      </c>
      <c r="K35" s="788">
        <f>'1'!N23+'2'!N28+'6'!N23+'3'!N23+'4'!N23+'7'!N23+'8'!N24+'9'!N23+'10'!N23+'11'!N23+'12'!N23+'13'!N23+'15'!N23+'16'!N26+'17'!N23+'18'!N23+'19'!N23+'20'!N24+'22'!N23+'23'!N23+'21'!N23+'24'!N23+'25'!N23+'26'!N23+'27'!N23+'28'!N23+'29'!N23+'30'!N23+'31'!N23+'32'!N23+'33'!N23+'34'!N23+'35'!N23+'36'!N23+'37'!N23+'5'!N23+'14'!N23</f>
        <v>353191</v>
      </c>
      <c r="L35" s="943">
        <f t="shared" si="2"/>
        <v>92.257921270537835</v>
      </c>
      <c r="M35" s="944">
        <f t="shared" si="3"/>
        <v>114.87193664319516</v>
      </c>
      <c r="O35" s="52"/>
    </row>
    <row r="36" spans="2:15" ht="15" customHeight="1">
      <c r="B36" s="10"/>
      <c r="C36" s="135">
        <v>613700</v>
      </c>
      <c r="D36" s="190" t="s">
        <v>510</v>
      </c>
      <c r="E36" s="609" t="s">
        <v>443</v>
      </c>
      <c r="F36" s="610">
        <f>'18'!I24</f>
        <v>400000</v>
      </c>
      <c r="G36" s="754">
        <f>'18'!J24</f>
        <v>397000</v>
      </c>
      <c r="H36" s="611">
        <f>'18'!K24</f>
        <v>190619</v>
      </c>
      <c r="I36" s="787">
        <f>'18'!L24</f>
        <v>388704</v>
      </c>
      <c r="J36" s="610">
        <f>'18'!M24</f>
        <v>0</v>
      </c>
      <c r="K36" s="788">
        <f>'18'!N24</f>
        <v>388704</v>
      </c>
      <c r="L36" s="943">
        <f t="shared" si="2"/>
        <v>97.910327455919401</v>
      </c>
      <c r="M36" s="944">
        <f t="shared" si="3"/>
        <v>203.91671344409531</v>
      </c>
      <c r="O36" s="52"/>
    </row>
    <row r="37" spans="2:15" ht="15" customHeight="1">
      <c r="B37" s="10"/>
      <c r="C37" s="134">
        <v>613800</v>
      </c>
      <c r="D37" s="189"/>
      <c r="E37" s="608" t="s">
        <v>143</v>
      </c>
      <c r="F37" s="606">
        <f>F38+F39</f>
        <v>79010</v>
      </c>
      <c r="G37" s="753">
        <f t="shared" ref="G37:K37" si="18">G38+G39</f>
        <v>79010</v>
      </c>
      <c r="H37" s="607">
        <f t="shared" ref="H37" si="19">H38+H39</f>
        <v>54560</v>
      </c>
      <c r="I37" s="786">
        <f t="shared" si="18"/>
        <v>62279</v>
      </c>
      <c r="J37" s="606">
        <f t="shared" si="18"/>
        <v>0</v>
      </c>
      <c r="K37" s="783">
        <f t="shared" si="18"/>
        <v>62279</v>
      </c>
      <c r="L37" s="941">
        <f t="shared" si="2"/>
        <v>78.824199468421725</v>
      </c>
      <c r="M37" s="942">
        <f t="shared" si="3"/>
        <v>114.14772727272727</v>
      </c>
      <c r="O37" s="52"/>
    </row>
    <row r="38" spans="2:15" ht="15" customHeight="1">
      <c r="B38" s="10"/>
      <c r="C38" s="135">
        <v>613800</v>
      </c>
      <c r="D38" s="190"/>
      <c r="E38" s="609" t="s">
        <v>444</v>
      </c>
      <c r="F38" s="610">
        <f>'1'!I24+'2'!I29+'6'!I24+'3'!I24+'4'!I24+'7'!I24+'8'!I25+'9'!I24+'10'!I24+'11'!I24+'12'!I24+'13'!I24+'15'!I24+'16'!I27+'17'!I24+'18'!I25+'19'!I24+'20'!I25+'22'!I24+'23'!I24+'21'!I24+'24'!I24+'25'!I24+'26'!I24+'27'!I24+'28'!I24+'29'!I24+'30'!I24+'31'!I24+'32'!I24+'33'!I24+'34'!I24+'35'!I24+'36'!I24+'37'!I24+'5'!I24+'14'!I24</f>
        <v>79010</v>
      </c>
      <c r="G38" s="754">
        <f>'1'!J24+'2'!J29+'6'!J24+'3'!J24+'4'!J24+'7'!J24+'8'!J25+'9'!J24+'10'!J24+'11'!J24+'12'!J24+'13'!J24+'15'!J24+'16'!J27+'17'!J24+'18'!J25+'19'!J24+'20'!J25+'22'!J24+'23'!J24+'21'!J24+'24'!J24+'25'!J24+'26'!J24+'27'!J24+'28'!J24+'29'!J24+'30'!J24+'31'!J24+'32'!J24+'33'!J24+'34'!J24+'35'!J24+'36'!J24+'37'!J24+'5'!J24+'14'!J24</f>
        <v>79010</v>
      </c>
      <c r="H38" s="611">
        <f>'1'!K24+'2'!K29+'6'!K24+'3'!K24+'4'!K24+'7'!K24+'8'!K25+'9'!K24+'10'!K24+'11'!K24+'12'!K24+'13'!K24+'15'!K24+'16'!K27+'17'!K24+'18'!K25+'19'!K24+'20'!K25+'22'!K24+'23'!K24+'21'!K24+'24'!K24+'25'!K24+'26'!K24+'27'!K24+'28'!K24+'29'!K24+'30'!K24+'31'!K24+'32'!K24+'33'!K24+'34'!K24+'35'!K24+'36'!K24+'37'!K24+'5'!K24+'14'!K24</f>
        <v>54560</v>
      </c>
      <c r="I38" s="787">
        <f>'1'!L24+'2'!L29+'6'!L24+'3'!L24+'4'!L24+'7'!L24+'8'!L25+'9'!L24+'10'!L24+'11'!L24+'12'!L24+'13'!L24+'15'!L24+'16'!L27+'17'!L24+'18'!L25+'19'!L24+'20'!L25+'22'!L24+'23'!L24+'21'!L24+'24'!L24+'25'!L24+'26'!L24+'27'!L24+'28'!L24+'29'!L24+'30'!L24+'31'!L24+'32'!L24+'33'!L24+'34'!L24+'35'!L24+'36'!L24+'37'!L24+'5'!L24+'14'!L24</f>
        <v>62279</v>
      </c>
      <c r="J38" s="610">
        <f>'1'!M24+'2'!M29+'6'!M24+'3'!M24+'4'!M24+'7'!M24+'8'!M25+'9'!M24+'10'!M24+'11'!M24+'12'!M24+'13'!M24+'15'!M24+'16'!M27+'17'!M24+'18'!M25+'19'!M24+'20'!M25+'22'!M24+'23'!M24+'21'!M24+'24'!M24+'25'!M24+'26'!M24+'27'!M24+'28'!M24+'29'!M24+'30'!M24+'31'!M24+'32'!M24+'33'!M24+'34'!M24+'35'!M24+'36'!M24+'37'!M24+'5'!M24+'14'!M24</f>
        <v>0</v>
      </c>
      <c r="K38" s="788">
        <f>'1'!N24+'2'!N29+'6'!N24+'3'!N24+'4'!N24+'7'!N24+'8'!N25+'9'!N24+'10'!N24+'11'!N24+'12'!N24+'13'!N24+'15'!N24+'16'!N27+'17'!N24+'18'!N25+'19'!N24+'20'!N25+'22'!N24+'23'!N24+'21'!N24+'24'!N24+'25'!N24+'26'!N24+'27'!N24+'28'!N24+'29'!N24+'30'!N24+'31'!N24+'32'!N24+'33'!N24+'34'!N24+'35'!N24+'36'!N24+'37'!N24+'5'!N24+'14'!N24</f>
        <v>62279</v>
      </c>
      <c r="L38" s="943">
        <f t="shared" si="2"/>
        <v>78.824199468421725</v>
      </c>
      <c r="M38" s="944">
        <f t="shared" si="3"/>
        <v>114.14772727272727</v>
      </c>
      <c r="O38" s="52"/>
    </row>
    <row r="39" spans="2:15" ht="15" customHeight="1">
      <c r="B39" s="10"/>
      <c r="C39" s="135">
        <v>613800</v>
      </c>
      <c r="D39" s="190"/>
      <c r="E39" s="603" t="s">
        <v>445</v>
      </c>
      <c r="F39" s="563">
        <f>'20'!I26</f>
        <v>0</v>
      </c>
      <c r="G39" s="752">
        <f>'20'!J26</f>
        <v>0</v>
      </c>
      <c r="H39" s="564">
        <f>'20'!K26</f>
        <v>0</v>
      </c>
      <c r="I39" s="784">
        <f>'20'!L26</f>
        <v>0</v>
      </c>
      <c r="J39" s="563">
        <f>'20'!M26</f>
        <v>0</v>
      </c>
      <c r="K39" s="788">
        <f>'20'!N26</f>
        <v>0</v>
      </c>
      <c r="L39" s="943" t="str">
        <f t="shared" si="2"/>
        <v/>
      </c>
      <c r="M39" s="944" t="str">
        <f t="shared" si="3"/>
        <v/>
      </c>
      <c r="O39" s="52"/>
    </row>
    <row r="40" spans="2:15" ht="15" customHeight="1">
      <c r="B40" s="10"/>
      <c r="C40" s="136">
        <v>613900</v>
      </c>
      <c r="D40" s="191"/>
      <c r="E40" s="608" t="s">
        <v>144</v>
      </c>
      <c r="F40" s="612">
        <f t="shared" ref="F40:K40" si="20">SUM(F41:F48)</f>
        <v>2238500</v>
      </c>
      <c r="G40" s="755">
        <f t="shared" si="20"/>
        <v>2234390</v>
      </c>
      <c r="H40" s="613">
        <f t="shared" ref="H40" si="21">SUM(H41:H48)</f>
        <v>1581134</v>
      </c>
      <c r="I40" s="789">
        <f t="shared" si="20"/>
        <v>2063739</v>
      </c>
      <c r="J40" s="612">
        <f t="shared" si="20"/>
        <v>418</v>
      </c>
      <c r="K40" s="790">
        <f t="shared" si="20"/>
        <v>2064157</v>
      </c>
      <c r="L40" s="941">
        <f t="shared" si="2"/>
        <v>92.381231566557318</v>
      </c>
      <c r="M40" s="942">
        <f t="shared" si="3"/>
        <v>130.54915016690552</v>
      </c>
      <c r="O40" s="52"/>
    </row>
    <row r="41" spans="2:15" ht="15" customHeight="1">
      <c r="B41" s="10"/>
      <c r="C41" s="137">
        <v>613900</v>
      </c>
      <c r="D41" s="192"/>
      <c r="E41" s="609" t="s">
        <v>446</v>
      </c>
      <c r="F41" s="614">
        <f>'1'!I25+'2'!I30+'6'!I25+'3'!I25+'4'!I25+'7'!I25+'8'!I26+'9'!I25+'10'!I25+'11'!I25+'12'!I25+'13'!I25+'15'!I25+'16'!I28+'17'!I25+'18'!I26+'19'!I25+'20'!I27+'22'!I25+'23'!I25+'21'!I25+'24'!I25+'25'!I25+'26'!I25+'27'!I25+'28'!I25+'29'!I25+'30'!I25+'31'!I25+'32'!I25+'33'!I25+'34'!I25+'35'!I25+'36'!I25+'37'!I25+'5'!I25+'14'!I25</f>
        <v>1694560</v>
      </c>
      <c r="G41" s="756">
        <f>'1'!J25+'2'!J30+'6'!J25+'3'!J25+'4'!J25+'7'!J25+'8'!J26+'9'!J25+'10'!J25+'11'!J25+'12'!J25+'13'!J25+'15'!J25+'16'!J28+'17'!J25+'18'!J26+'19'!J25+'20'!J27+'22'!J25+'23'!J25+'21'!J25+'24'!J25+'25'!J25+'26'!J25+'27'!J25+'28'!J25+'29'!J25+'30'!J25+'31'!J25+'32'!J25+'33'!J25+'34'!J25+'35'!J25+'36'!J25+'37'!J25+'5'!J25+'14'!J25</f>
        <v>1693630</v>
      </c>
      <c r="H41" s="615">
        <f>'1'!K25+'2'!K30+'6'!K25+'3'!K25+'4'!K25+'7'!K25+'8'!K26+'9'!K25+'10'!K25+'11'!K25+'12'!K25+'13'!K25+'15'!K25+'16'!K28+'17'!K25+'18'!K26+'19'!K25+'20'!K27+'22'!K25+'23'!K25+'21'!K25+'24'!K25+'25'!K25+'26'!K25+'27'!K25+'28'!K25+'29'!K25+'30'!K25+'31'!K25+'32'!K25+'33'!K25+'34'!K25+'35'!K25+'36'!K25+'37'!K25+'5'!K25+'14'!K25</f>
        <v>1195706</v>
      </c>
      <c r="I41" s="791">
        <f>'1'!L25+'2'!L30+'6'!L25+'3'!L25+'4'!L25+'7'!L25+'8'!L26+'9'!L25+'10'!L25+'11'!L25+'12'!L25+'13'!L25+'15'!L25+'16'!L28+'17'!L25+'18'!L26+'19'!L25+'20'!L27+'22'!L25+'23'!L25+'21'!L25+'24'!L25+'25'!L25+'26'!L25+'27'!L25+'28'!L25+'29'!L25+'30'!L25+'31'!L25+'32'!L25+'33'!L25+'34'!L25+'35'!L25+'36'!L25+'37'!L25+'5'!L25+'14'!L25</f>
        <v>1630107</v>
      </c>
      <c r="J41" s="614">
        <f>'1'!M25+'2'!M30+'6'!M25+'3'!M25+'4'!M25+'7'!M25+'8'!M26+'9'!M25+'10'!M25+'11'!M25+'12'!M25+'13'!M25+'15'!M25+'16'!M28+'17'!M25+'18'!M26+'19'!M25+'20'!M27+'22'!M25+'23'!M25+'21'!M25+'24'!M25+'25'!M25+'26'!M25+'27'!M25+'28'!M25+'29'!M25+'30'!M25+'31'!M25+'32'!M25+'33'!M25+'34'!M25+'35'!M25+'36'!M25+'37'!M25+'5'!M25+'14'!M25</f>
        <v>418</v>
      </c>
      <c r="K41" s="792">
        <f>'1'!N25+'2'!N30+'6'!N25+'3'!N25+'4'!N25+'7'!N25+'8'!N26+'9'!N25+'10'!N25+'11'!N25+'12'!N25+'13'!N25+'15'!N25+'16'!N28+'17'!N25+'18'!N26+'19'!N25+'20'!N27+'22'!N25+'23'!N25+'21'!N25+'24'!N25+'25'!N25+'26'!N25+'27'!N25+'28'!N25+'29'!N25+'30'!N25+'31'!N25+'32'!N25+'33'!N25+'34'!N25+'35'!N25+'36'!N25+'37'!N25+'5'!N25+'14'!N25</f>
        <v>1630525</v>
      </c>
      <c r="L41" s="943">
        <f t="shared" si="2"/>
        <v>96.273979558699367</v>
      </c>
      <c r="M41" s="944">
        <f t="shared" si="3"/>
        <v>136.36504291188635</v>
      </c>
      <c r="O41" s="52"/>
    </row>
    <row r="42" spans="2:15" s="161" customFormat="1" ht="15" customHeight="1">
      <c r="B42" s="162"/>
      <c r="C42" s="135">
        <v>613900</v>
      </c>
      <c r="D42" s="192" t="s">
        <v>715</v>
      </c>
      <c r="E42" s="609" t="s">
        <v>714</v>
      </c>
      <c r="F42" s="563">
        <f>'9'!I26</f>
        <v>44500</v>
      </c>
      <c r="G42" s="752">
        <f>'9'!J26</f>
        <v>43020</v>
      </c>
      <c r="H42" s="564">
        <f>'9'!K26</f>
        <v>45987</v>
      </c>
      <c r="I42" s="784">
        <f>'9'!L26</f>
        <v>43018</v>
      </c>
      <c r="J42" s="563">
        <f>'9'!M26</f>
        <v>0</v>
      </c>
      <c r="K42" s="788">
        <f>'9'!N26</f>
        <v>43018</v>
      </c>
      <c r="L42" s="943">
        <f t="shared" si="2"/>
        <v>99.995350999535106</v>
      </c>
      <c r="M42" s="944">
        <f t="shared" si="3"/>
        <v>93.543827603453138</v>
      </c>
      <c r="O42" s="52"/>
    </row>
    <row r="43" spans="2:15" s="447" customFormat="1" ht="15" customHeight="1">
      <c r="B43" s="448"/>
      <c r="C43" s="459">
        <v>613900</v>
      </c>
      <c r="D43" s="460" t="s">
        <v>724</v>
      </c>
      <c r="E43" s="616" t="s">
        <v>730</v>
      </c>
      <c r="F43" s="617">
        <f>'9'!I27</f>
        <v>65000</v>
      </c>
      <c r="G43" s="757">
        <f>'9'!J27</f>
        <v>63300</v>
      </c>
      <c r="H43" s="618">
        <f>'9'!K27</f>
        <v>53460</v>
      </c>
      <c r="I43" s="793">
        <f>'9'!L27</f>
        <v>63285</v>
      </c>
      <c r="J43" s="617">
        <f>'9'!M27</f>
        <v>0</v>
      </c>
      <c r="K43" s="794">
        <f>'9'!N27</f>
        <v>63285</v>
      </c>
      <c r="L43" s="945">
        <f t="shared" si="2"/>
        <v>99.976303317535539</v>
      </c>
      <c r="M43" s="946">
        <f t="shared" si="3"/>
        <v>118.37822671156005</v>
      </c>
      <c r="O43" s="52"/>
    </row>
    <row r="44" spans="2:15" ht="15" customHeight="1">
      <c r="B44" s="10"/>
      <c r="C44" s="135">
        <v>613900</v>
      </c>
      <c r="D44" s="190" t="s">
        <v>504</v>
      </c>
      <c r="E44" s="603" t="s">
        <v>447</v>
      </c>
      <c r="F44" s="563">
        <f>'16'!I29</f>
        <v>222540</v>
      </c>
      <c r="G44" s="752">
        <f>'16'!J29</f>
        <v>222540</v>
      </c>
      <c r="H44" s="564">
        <f>'16'!K29</f>
        <v>61182</v>
      </c>
      <c r="I44" s="784">
        <f>'16'!L29</f>
        <v>157146</v>
      </c>
      <c r="J44" s="563">
        <f>'16'!M29</f>
        <v>0</v>
      </c>
      <c r="K44" s="788">
        <f>'16'!N29</f>
        <v>157146</v>
      </c>
      <c r="L44" s="943">
        <f t="shared" ref="L44:L72" si="22">IF(G44=0,"",K44/G44*100)</f>
        <v>70.614720949042862</v>
      </c>
      <c r="M44" s="944">
        <f t="shared" si="3"/>
        <v>256.85005393743256</v>
      </c>
      <c r="O44" s="52"/>
    </row>
    <row r="45" spans="2:15" ht="15" customHeight="1">
      <c r="B45" s="10"/>
      <c r="C45" s="135">
        <v>613900</v>
      </c>
      <c r="D45" s="190" t="s">
        <v>516</v>
      </c>
      <c r="E45" s="603" t="s">
        <v>448</v>
      </c>
      <c r="F45" s="563">
        <f>'20'!I28</f>
        <v>55000</v>
      </c>
      <c r="G45" s="752">
        <f>'20'!J28</f>
        <v>55000</v>
      </c>
      <c r="H45" s="564">
        <f>'20'!K28</f>
        <v>51430</v>
      </c>
      <c r="I45" s="784">
        <f>'20'!L28</f>
        <v>51655</v>
      </c>
      <c r="J45" s="563">
        <f>'20'!M28</f>
        <v>0</v>
      </c>
      <c r="K45" s="788">
        <f>'20'!N28</f>
        <v>51655</v>
      </c>
      <c r="L45" s="943">
        <f t="shared" si="22"/>
        <v>93.918181818181822</v>
      </c>
      <c r="M45" s="944">
        <f t="shared" si="3"/>
        <v>100.43748784755979</v>
      </c>
      <c r="O45" s="52"/>
    </row>
    <row r="46" spans="2:15" s="161" customFormat="1" ht="15" customHeight="1">
      <c r="B46" s="162"/>
      <c r="C46" s="135">
        <v>613900</v>
      </c>
      <c r="D46" s="190" t="s">
        <v>494</v>
      </c>
      <c r="E46" s="609" t="s">
        <v>857</v>
      </c>
      <c r="F46" s="563">
        <f>'2'!I31</f>
        <v>46800</v>
      </c>
      <c r="G46" s="752">
        <f>'2'!J31</f>
        <v>46800</v>
      </c>
      <c r="H46" s="564">
        <f>'2'!K31</f>
        <v>43493</v>
      </c>
      <c r="I46" s="784">
        <f>'2'!L31</f>
        <v>46528</v>
      </c>
      <c r="J46" s="563">
        <f>'2'!M31</f>
        <v>0</v>
      </c>
      <c r="K46" s="788">
        <f>'2'!N31</f>
        <v>46528</v>
      </c>
      <c r="L46" s="943">
        <f t="shared" si="22"/>
        <v>99.418803418803421</v>
      </c>
      <c r="M46" s="944">
        <f t="shared" si="3"/>
        <v>106.97813441243417</v>
      </c>
      <c r="O46" s="52"/>
    </row>
    <row r="47" spans="2:15" ht="15" customHeight="1">
      <c r="B47" s="10"/>
      <c r="C47" s="135">
        <v>613900</v>
      </c>
      <c r="D47" s="190" t="s">
        <v>744</v>
      </c>
      <c r="E47" s="609" t="s">
        <v>734</v>
      </c>
      <c r="F47" s="563">
        <f>'2'!I32</f>
        <v>80000</v>
      </c>
      <c r="G47" s="752">
        <f>'2'!J32</f>
        <v>80000</v>
      </c>
      <c r="H47" s="564">
        <f>'2'!K32</f>
        <v>92260</v>
      </c>
      <c r="I47" s="784">
        <f>'2'!L32</f>
        <v>72000</v>
      </c>
      <c r="J47" s="563">
        <f>'2'!M32</f>
        <v>0</v>
      </c>
      <c r="K47" s="788">
        <f>'2'!N32</f>
        <v>72000</v>
      </c>
      <c r="L47" s="943">
        <f t="shared" si="22"/>
        <v>90</v>
      </c>
      <c r="M47" s="944">
        <f t="shared" si="3"/>
        <v>78.040320832430083</v>
      </c>
      <c r="O47" s="52"/>
    </row>
    <row r="48" spans="2:15" ht="15" customHeight="1">
      <c r="B48" s="10"/>
      <c r="C48" s="135">
        <v>613900</v>
      </c>
      <c r="D48" s="190" t="s">
        <v>502</v>
      </c>
      <c r="E48" s="603" t="s">
        <v>449</v>
      </c>
      <c r="F48" s="563">
        <f>'15'!I27</f>
        <v>30100</v>
      </c>
      <c r="G48" s="752">
        <f>'15'!J27</f>
        <v>30100</v>
      </c>
      <c r="H48" s="564">
        <f>'15'!K27</f>
        <v>37616</v>
      </c>
      <c r="I48" s="784">
        <f>'15'!L27</f>
        <v>0</v>
      </c>
      <c r="J48" s="563">
        <f>'15'!M27</f>
        <v>0</v>
      </c>
      <c r="K48" s="788">
        <f>'15'!N27</f>
        <v>0</v>
      </c>
      <c r="L48" s="943">
        <f t="shared" si="22"/>
        <v>0</v>
      </c>
      <c r="M48" s="944">
        <f t="shared" si="3"/>
        <v>0</v>
      </c>
      <c r="O48" s="52"/>
    </row>
    <row r="49" spans="2:15" ht="11.25" customHeight="1">
      <c r="B49" s="10"/>
      <c r="C49" s="134"/>
      <c r="D49" s="189"/>
      <c r="E49" s="76"/>
      <c r="F49" s="619"/>
      <c r="G49" s="758"/>
      <c r="H49" s="620"/>
      <c r="I49" s="795"/>
      <c r="J49" s="619"/>
      <c r="K49" s="783"/>
      <c r="L49" s="941" t="str">
        <f t="shared" si="22"/>
        <v/>
      </c>
      <c r="M49" s="942" t="str">
        <f t="shared" si="3"/>
        <v/>
      </c>
    </row>
    <row r="50" spans="2:15" ht="15" customHeight="1">
      <c r="B50" s="10"/>
      <c r="C50" s="263">
        <v>614000</v>
      </c>
      <c r="D50" s="264"/>
      <c r="E50" s="596" t="s">
        <v>165</v>
      </c>
      <c r="F50" s="597">
        <f t="shared" ref="F50:K50" si="23">F51+F60+F69+F81+F86</f>
        <v>16440210</v>
      </c>
      <c r="G50" s="750">
        <f t="shared" si="23"/>
        <v>16350210</v>
      </c>
      <c r="H50" s="598">
        <f t="shared" si="23"/>
        <v>12589083</v>
      </c>
      <c r="I50" s="780">
        <f t="shared" si="23"/>
        <v>12184320</v>
      </c>
      <c r="J50" s="597">
        <f t="shared" si="23"/>
        <v>3732435</v>
      </c>
      <c r="K50" s="781">
        <f t="shared" si="23"/>
        <v>15916755</v>
      </c>
      <c r="L50" s="939">
        <f t="shared" si="22"/>
        <v>97.348933132968924</v>
      </c>
      <c r="M50" s="940">
        <f t="shared" si="3"/>
        <v>126.43299754239447</v>
      </c>
      <c r="O50" s="68"/>
    </row>
    <row r="51" spans="2:15" s="45" customFormat="1" ht="15" customHeight="1">
      <c r="B51" s="138"/>
      <c r="C51" s="567">
        <v>614100</v>
      </c>
      <c r="D51" s="568"/>
      <c r="E51" s="602" t="s">
        <v>461</v>
      </c>
      <c r="F51" s="621">
        <f t="shared" ref="F51:K51" si="24">SUM(F52:F59)</f>
        <v>4265000</v>
      </c>
      <c r="G51" s="759">
        <f t="shared" si="24"/>
        <v>4329000</v>
      </c>
      <c r="H51" s="622">
        <f t="shared" ref="H51" si="25">SUM(H52:H59)</f>
        <v>3467290</v>
      </c>
      <c r="I51" s="796">
        <f t="shared" si="24"/>
        <v>1972177</v>
      </c>
      <c r="J51" s="621">
        <f t="shared" si="24"/>
        <v>2308608</v>
      </c>
      <c r="K51" s="783">
        <f t="shared" si="24"/>
        <v>4280785</v>
      </c>
      <c r="L51" s="941">
        <f t="shared" si="22"/>
        <v>98.886232386232393</v>
      </c>
      <c r="M51" s="942">
        <f t="shared" si="3"/>
        <v>123.46198327800676</v>
      </c>
      <c r="O51" s="53"/>
    </row>
    <row r="52" spans="2:15" s="54" customFormat="1" ht="15" customHeight="1">
      <c r="B52" s="55"/>
      <c r="C52" s="558">
        <v>614100</v>
      </c>
      <c r="D52" s="569" t="s">
        <v>495</v>
      </c>
      <c r="E52" s="609" t="s">
        <v>450</v>
      </c>
      <c r="F52" s="610">
        <f>'2'!I35</f>
        <v>300000</v>
      </c>
      <c r="G52" s="754">
        <f>'2'!J35</f>
        <v>300000</v>
      </c>
      <c r="H52" s="611">
        <f>'2'!K35</f>
        <v>300000</v>
      </c>
      <c r="I52" s="787">
        <f>'2'!L35</f>
        <v>300000</v>
      </c>
      <c r="J52" s="610">
        <f>'2'!M35</f>
        <v>0</v>
      </c>
      <c r="K52" s="788">
        <f>'2'!N35</f>
        <v>300000</v>
      </c>
      <c r="L52" s="943">
        <f t="shared" si="22"/>
        <v>100</v>
      </c>
      <c r="M52" s="944">
        <f t="shared" si="3"/>
        <v>100</v>
      </c>
      <c r="O52" s="53"/>
    </row>
    <row r="53" spans="2:15" s="158" customFormat="1" ht="15" customHeight="1">
      <c r="B53" s="164"/>
      <c r="C53" s="558">
        <v>614100</v>
      </c>
      <c r="D53" s="570" t="s">
        <v>610</v>
      </c>
      <c r="E53" s="623" t="s">
        <v>452</v>
      </c>
      <c r="F53" s="563">
        <f>'15'!I30</f>
        <v>50000</v>
      </c>
      <c r="G53" s="752">
        <f>'15'!J30</f>
        <v>50000</v>
      </c>
      <c r="H53" s="564">
        <f>'15'!K30</f>
        <v>0</v>
      </c>
      <c r="I53" s="784">
        <f>'15'!L30</f>
        <v>50000</v>
      </c>
      <c r="J53" s="563">
        <f>'15'!M30</f>
        <v>0</v>
      </c>
      <c r="K53" s="788">
        <f>'15'!N30</f>
        <v>50000</v>
      </c>
      <c r="L53" s="943">
        <f t="shared" si="22"/>
        <v>100</v>
      </c>
      <c r="M53" s="944" t="str">
        <f t="shared" si="3"/>
        <v/>
      </c>
      <c r="O53" s="53"/>
    </row>
    <row r="54" spans="2:15" s="1" customFormat="1" ht="15" customHeight="1">
      <c r="B54" s="12"/>
      <c r="C54" s="558">
        <v>614100</v>
      </c>
      <c r="D54" s="569" t="s">
        <v>505</v>
      </c>
      <c r="E54" s="624" t="s">
        <v>777</v>
      </c>
      <c r="F54" s="563">
        <f>'16'!I33</f>
        <v>1300000</v>
      </c>
      <c r="G54" s="752">
        <f>'16'!J33</f>
        <v>1300000</v>
      </c>
      <c r="H54" s="564">
        <f>'16'!K33</f>
        <v>900000</v>
      </c>
      <c r="I54" s="784">
        <f>'16'!L33</f>
        <v>1012500</v>
      </c>
      <c r="J54" s="563">
        <f>'16'!M33</f>
        <v>287500</v>
      </c>
      <c r="K54" s="788">
        <f>'16'!N33</f>
        <v>1300000</v>
      </c>
      <c r="L54" s="943">
        <f t="shared" si="22"/>
        <v>100</v>
      </c>
      <c r="M54" s="944">
        <f t="shared" si="3"/>
        <v>144.44444444444443</v>
      </c>
      <c r="O54" s="53"/>
    </row>
    <row r="55" spans="2:15" s="1" customFormat="1" ht="15" customHeight="1">
      <c r="B55" s="12"/>
      <c r="C55" s="565">
        <v>614100</v>
      </c>
      <c r="D55" s="571"/>
      <c r="E55" s="609" t="s">
        <v>783</v>
      </c>
      <c r="F55" s="563">
        <f>'17'!I29</f>
        <v>1700000</v>
      </c>
      <c r="G55" s="752">
        <f>'17'!J29</f>
        <v>1764000</v>
      </c>
      <c r="H55" s="564">
        <f>'17'!K29</f>
        <v>1400000</v>
      </c>
      <c r="I55" s="784">
        <f>'17'!L29</f>
        <v>122800</v>
      </c>
      <c r="J55" s="563">
        <f>'17'!M29</f>
        <v>1641200</v>
      </c>
      <c r="K55" s="788">
        <f>'17'!N29</f>
        <v>1764000</v>
      </c>
      <c r="L55" s="943">
        <f t="shared" si="22"/>
        <v>100</v>
      </c>
      <c r="M55" s="944">
        <f t="shared" si="3"/>
        <v>126</v>
      </c>
      <c r="O55" s="53"/>
    </row>
    <row r="56" spans="2:15" s="1" customFormat="1" ht="15" customHeight="1">
      <c r="B56" s="12"/>
      <c r="C56" s="558">
        <v>614100</v>
      </c>
      <c r="D56" s="572" t="s">
        <v>511</v>
      </c>
      <c r="E56" s="623" t="s">
        <v>451</v>
      </c>
      <c r="F56" s="563">
        <f>'18'!I30</f>
        <v>280000</v>
      </c>
      <c r="G56" s="752">
        <f>'18'!J30</f>
        <v>280000</v>
      </c>
      <c r="H56" s="564">
        <f>'18'!K30</f>
        <v>300000</v>
      </c>
      <c r="I56" s="784">
        <f>'18'!L30</f>
        <v>0</v>
      </c>
      <c r="J56" s="563">
        <f>'18'!M30</f>
        <v>280000</v>
      </c>
      <c r="K56" s="788">
        <f>'18'!N30</f>
        <v>280000</v>
      </c>
      <c r="L56" s="943">
        <f t="shared" si="22"/>
        <v>100</v>
      </c>
      <c r="M56" s="944">
        <f t="shared" si="3"/>
        <v>93.333333333333329</v>
      </c>
      <c r="O56" s="53"/>
    </row>
    <row r="57" spans="2:15" s="1" customFormat="1" ht="15" customHeight="1">
      <c r="B57" s="12"/>
      <c r="C57" s="558">
        <v>614100</v>
      </c>
      <c r="D57" s="569" t="s">
        <v>513</v>
      </c>
      <c r="E57" s="609" t="s">
        <v>789</v>
      </c>
      <c r="F57" s="563">
        <f>'19'!I29</f>
        <v>100000</v>
      </c>
      <c r="G57" s="752">
        <f>'19'!J29</f>
        <v>100000</v>
      </c>
      <c r="H57" s="564">
        <f>'19'!K29</f>
        <v>99879</v>
      </c>
      <c r="I57" s="784">
        <f>'19'!L29</f>
        <v>0</v>
      </c>
      <c r="J57" s="563">
        <f>'19'!M29</f>
        <v>99908</v>
      </c>
      <c r="K57" s="788">
        <f>'19'!N29</f>
        <v>99908</v>
      </c>
      <c r="L57" s="943">
        <f t="shared" si="22"/>
        <v>99.908000000000001</v>
      </c>
      <c r="M57" s="944">
        <f t="shared" si="3"/>
        <v>100.02903513251033</v>
      </c>
      <c r="O57" s="53"/>
    </row>
    <row r="58" spans="2:15" s="1" customFormat="1" ht="15.75" customHeight="1">
      <c r="B58" s="12"/>
      <c r="C58" s="565">
        <v>614100</v>
      </c>
      <c r="D58" s="571" t="s">
        <v>517</v>
      </c>
      <c r="E58" s="878" t="s">
        <v>861</v>
      </c>
      <c r="F58" s="563">
        <f>'20'!I32</f>
        <v>165000</v>
      </c>
      <c r="G58" s="752">
        <f>'20'!J32</f>
        <v>165000</v>
      </c>
      <c r="H58" s="564">
        <f>'20'!K32</f>
        <v>131914</v>
      </c>
      <c r="I58" s="784">
        <f>'20'!L32</f>
        <v>149427</v>
      </c>
      <c r="J58" s="563">
        <f>'20'!M32</f>
        <v>0</v>
      </c>
      <c r="K58" s="788">
        <f>'20'!N32</f>
        <v>149427</v>
      </c>
      <c r="L58" s="943">
        <f t="shared" si="22"/>
        <v>90.561818181818182</v>
      </c>
      <c r="M58" s="944">
        <f t="shared" si="3"/>
        <v>113.27607380566127</v>
      </c>
      <c r="O58" s="53"/>
    </row>
    <row r="59" spans="2:15" s="1" customFormat="1" ht="15" customHeight="1">
      <c r="B59" s="12"/>
      <c r="C59" s="573" t="s">
        <v>100</v>
      </c>
      <c r="D59" s="566" t="s">
        <v>518</v>
      </c>
      <c r="E59" s="624" t="s">
        <v>784</v>
      </c>
      <c r="F59" s="610">
        <f>'20'!I33</f>
        <v>370000</v>
      </c>
      <c r="G59" s="754">
        <f>'20'!J33</f>
        <v>370000</v>
      </c>
      <c r="H59" s="611">
        <f>'20'!K33</f>
        <v>335497</v>
      </c>
      <c r="I59" s="787">
        <f>'20'!L33</f>
        <v>337450</v>
      </c>
      <c r="J59" s="610">
        <f>'20'!M33</f>
        <v>0</v>
      </c>
      <c r="K59" s="788">
        <f>'20'!N33</f>
        <v>337450</v>
      </c>
      <c r="L59" s="943">
        <f t="shared" si="22"/>
        <v>91.202702702702695</v>
      </c>
      <c r="M59" s="944">
        <f t="shared" si="3"/>
        <v>100.58212144967018</v>
      </c>
      <c r="O59" s="53"/>
    </row>
    <row r="60" spans="2:15" s="45" customFormat="1" ht="15" customHeight="1">
      <c r="B60" s="138"/>
      <c r="C60" s="574" t="s">
        <v>98</v>
      </c>
      <c r="D60" s="575"/>
      <c r="E60" s="625" t="s">
        <v>462</v>
      </c>
      <c r="F60" s="621">
        <f>SUM(F61:F68)</f>
        <v>6584610</v>
      </c>
      <c r="G60" s="759">
        <f t="shared" ref="G60:K60" si="26">SUM(G61:G68)</f>
        <v>6520610</v>
      </c>
      <c r="H60" s="622">
        <f t="shared" ref="H60" si="27">SUM(H61:H68)</f>
        <v>5378440</v>
      </c>
      <c r="I60" s="796">
        <f t="shared" si="26"/>
        <v>6150477</v>
      </c>
      <c r="J60" s="621">
        <f t="shared" si="26"/>
        <v>305978</v>
      </c>
      <c r="K60" s="783">
        <f t="shared" si="26"/>
        <v>6456455</v>
      </c>
      <c r="L60" s="941">
        <f t="shared" si="22"/>
        <v>99.016119657516711</v>
      </c>
      <c r="M60" s="942">
        <f t="shared" si="3"/>
        <v>120.04326533344241</v>
      </c>
      <c r="O60" s="53"/>
    </row>
    <row r="61" spans="2:15" s="1" customFormat="1" ht="15" customHeight="1">
      <c r="B61" s="12"/>
      <c r="C61" s="573" t="s">
        <v>98</v>
      </c>
      <c r="D61" s="566" t="s">
        <v>496</v>
      </c>
      <c r="E61" s="626" t="s">
        <v>453</v>
      </c>
      <c r="F61" s="610">
        <f>'2'!I36</f>
        <v>440000</v>
      </c>
      <c r="G61" s="754">
        <f>'2'!J36</f>
        <v>440000</v>
      </c>
      <c r="H61" s="611">
        <f>'2'!K36</f>
        <v>150000</v>
      </c>
      <c r="I61" s="787">
        <f>'2'!L36</f>
        <v>440000</v>
      </c>
      <c r="J61" s="610">
        <f>'2'!M36</f>
        <v>0</v>
      </c>
      <c r="K61" s="788">
        <f>'2'!N36</f>
        <v>440000</v>
      </c>
      <c r="L61" s="943">
        <f t="shared" si="22"/>
        <v>100</v>
      </c>
      <c r="M61" s="944">
        <f t="shared" si="3"/>
        <v>293.33333333333331</v>
      </c>
      <c r="O61" s="53"/>
    </row>
    <row r="62" spans="2:15" s="158" customFormat="1" ht="27" customHeight="1">
      <c r="B62" s="164"/>
      <c r="C62" s="565">
        <v>614200</v>
      </c>
      <c r="D62" s="566" t="s">
        <v>617</v>
      </c>
      <c r="E62" s="627" t="s">
        <v>860</v>
      </c>
      <c r="F62" s="563">
        <f>'6'!I29</f>
        <v>132110</v>
      </c>
      <c r="G62" s="752">
        <f>'6'!J29</f>
        <v>132110</v>
      </c>
      <c r="H62" s="564">
        <f>'6'!K29</f>
        <v>80000</v>
      </c>
      <c r="I62" s="784">
        <f>'6'!L29</f>
        <v>132102</v>
      </c>
      <c r="J62" s="563">
        <f>'6'!M29</f>
        <v>0</v>
      </c>
      <c r="K62" s="788">
        <f>'6'!N29</f>
        <v>132102</v>
      </c>
      <c r="L62" s="943">
        <f t="shared" si="22"/>
        <v>99.99394444023919</v>
      </c>
      <c r="M62" s="944">
        <f t="shared" si="3"/>
        <v>165.1275</v>
      </c>
      <c r="O62" s="53"/>
    </row>
    <row r="63" spans="2:15" s="158" customFormat="1" ht="15" customHeight="1">
      <c r="B63" s="164"/>
      <c r="C63" s="565" t="s">
        <v>98</v>
      </c>
      <c r="D63" s="566" t="s">
        <v>601</v>
      </c>
      <c r="E63" s="609" t="s">
        <v>780</v>
      </c>
      <c r="F63" s="563">
        <f>'17'!I30</f>
        <v>70000</v>
      </c>
      <c r="G63" s="752">
        <f>'17'!J30</f>
        <v>70000</v>
      </c>
      <c r="H63" s="564">
        <f>'17'!K30</f>
        <v>55000</v>
      </c>
      <c r="I63" s="784">
        <f>'17'!L30</f>
        <v>70000</v>
      </c>
      <c r="J63" s="563">
        <f>'17'!M30</f>
        <v>0</v>
      </c>
      <c r="K63" s="788">
        <f>'17'!N30</f>
        <v>70000</v>
      </c>
      <c r="L63" s="943">
        <f t="shared" si="22"/>
        <v>100</v>
      </c>
      <c r="M63" s="944">
        <f t="shared" si="3"/>
        <v>127.27272727272727</v>
      </c>
      <c r="O63" s="53"/>
    </row>
    <row r="64" spans="2:15" s="158" customFormat="1" ht="15" customHeight="1">
      <c r="B64" s="164"/>
      <c r="C64" s="565" t="s">
        <v>98</v>
      </c>
      <c r="D64" s="566" t="s">
        <v>602</v>
      </c>
      <c r="E64" s="609" t="s">
        <v>781</v>
      </c>
      <c r="F64" s="563">
        <f>'17'!I31</f>
        <v>3800000</v>
      </c>
      <c r="G64" s="752">
        <f>'17'!J31</f>
        <v>3736000</v>
      </c>
      <c r="H64" s="564">
        <f>'17'!K31</f>
        <v>3312095</v>
      </c>
      <c r="I64" s="784">
        <f>'17'!L31</f>
        <v>3496028</v>
      </c>
      <c r="J64" s="563">
        <f>'17'!M31</f>
        <v>236786</v>
      </c>
      <c r="K64" s="788">
        <f>'17'!N31</f>
        <v>3732814</v>
      </c>
      <c r="L64" s="943">
        <f t="shared" si="22"/>
        <v>99.914721627408994</v>
      </c>
      <c r="M64" s="944">
        <f t="shared" si="3"/>
        <v>112.70250400426316</v>
      </c>
      <c r="O64" s="53"/>
    </row>
    <row r="65" spans="2:15" s="1" customFormat="1" ht="15" customHeight="1">
      <c r="B65" s="12"/>
      <c r="C65" s="565" t="s">
        <v>98</v>
      </c>
      <c r="D65" s="571" t="s">
        <v>519</v>
      </c>
      <c r="E65" s="624" t="s">
        <v>454</v>
      </c>
      <c r="F65" s="563">
        <f>'20'!I34</f>
        <v>152500</v>
      </c>
      <c r="G65" s="752">
        <f>'20'!J34</f>
        <v>152500</v>
      </c>
      <c r="H65" s="564">
        <f>'20'!K34</f>
        <v>149800</v>
      </c>
      <c r="I65" s="784">
        <f>'20'!L34</f>
        <v>152400</v>
      </c>
      <c r="J65" s="563">
        <f>'20'!M34</f>
        <v>0</v>
      </c>
      <c r="K65" s="788">
        <f>'20'!N34</f>
        <v>152400</v>
      </c>
      <c r="L65" s="943">
        <f t="shared" si="22"/>
        <v>99.934426229508205</v>
      </c>
      <c r="M65" s="944">
        <f t="shared" si="3"/>
        <v>101.73564753004005</v>
      </c>
      <c r="O65" s="53"/>
    </row>
    <row r="66" spans="2:15" s="1" customFormat="1" ht="24.75" customHeight="1">
      <c r="B66" s="12"/>
      <c r="C66" s="565" t="s">
        <v>98</v>
      </c>
      <c r="D66" s="571" t="s">
        <v>520</v>
      </c>
      <c r="E66" s="627" t="s">
        <v>859</v>
      </c>
      <c r="F66" s="563">
        <f>'20'!I35</f>
        <v>20000</v>
      </c>
      <c r="G66" s="752">
        <f>'20'!J35</f>
        <v>20000</v>
      </c>
      <c r="H66" s="564">
        <f>'20'!K35</f>
        <v>15000</v>
      </c>
      <c r="I66" s="784">
        <f>'20'!L35</f>
        <v>10000</v>
      </c>
      <c r="J66" s="563">
        <f>'20'!M35</f>
        <v>0</v>
      </c>
      <c r="K66" s="788">
        <f>'20'!N35</f>
        <v>10000</v>
      </c>
      <c r="L66" s="943">
        <f t="shared" si="22"/>
        <v>50</v>
      </c>
      <c r="M66" s="944">
        <f t="shared" si="3"/>
        <v>66.666666666666657</v>
      </c>
      <c r="O66" s="53"/>
    </row>
    <row r="67" spans="2:15" s="1" customFormat="1" ht="15" customHeight="1">
      <c r="B67" s="12"/>
      <c r="C67" s="565">
        <v>614200</v>
      </c>
      <c r="D67" s="571" t="s">
        <v>523</v>
      </c>
      <c r="E67" s="624" t="s">
        <v>793</v>
      </c>
      <c r="F67" s="563">
        <f>'31'!I29</f>
        <v>1860000</v>
      </c>
      <c r="G67" s="752">
        <f>'31'!J28</f>
        <v>1860000</v>
      </c>
      <c r="H67" s="564">
        <f>'31'!K28</f>
        <v>1589243</v>
      </c>
      <c r="I67" s="784">
        <f>'31'!L28</f>
        <v>1849947</v>
      </c>
      <c r="J67" s="563">
        <f>'31'!M28</f>
        <v>0</v>
      </c>
      <c r="K67" s="788">
        <f>'31'!N28</f>
        <v>1849947</v>
      </c>
      <c r="L67" s="943">
        <f t="shared" si="22"/>
        <v>99.459516129032252</v>
      </c>
      <c r="M67" s="944">
        <f t="shared" si="3"/>
        <v>116.40428807929311</v>
      </c>
      <c r="O67" s="53"/>
    </row>
    <row r="68" spans="2:15" s="1" customFormat="1" ht="15" customHeight="1">
      <c r="B68" s="12"/>
      <c r="C68" s="565" t="s">
        <v>98</v>
      </c>
      <c r="D68" s="571" t="s">
        <v>524</v>
      </c>
      <c r="E68" s="609" t="s">
        <v>455</v>
      </c>
      <c r="F68" s="563">
        <f>'33'!I29</f>
        <v>110000</v>
      </c>
      <c r="G68" s="752">
        <f>'33'!J29</f>
        <v>110000</v>
      </c>
      <c r="H68" s="564">
        <f>'33'!K29</f>
        <v>27302</v>
      </c>
      <c r="I68" s="784">
        <f>'33'!L29</f>
        <v>0</v>
      </c>
      <c r="J68" s="563">
        <f>'33'!M29</f>
        <v>69192</v>
      </c>
      <c r="K68" s="788">
        <f>'33'!N29</f>
        <v>69192</v>
      </c>
      <c r="L68" s="943">
        <f t="shared" si="22"/>
        <v>62.901818181818179</v>
      </c>
      <c r="M68" s="944">
        <f t="shared" si="3"/>
        <v>253.43198300490806</v>
      </c>
      <c r="O68" s="53"/>
    </row>
    <row r="69" spans="2:15" s="45" customFormat="1" ht="15" customHeight="1">
      <c r="B69" s="138"/>
      <c r="C69" s="576" t="s">
        <v>99</v>
      </c>
      <c r="D69" s="577"/>
      <c r="E69" s="628" t="s">
        <v>463</v>
      </c>
      <c r="F69" s="629">
        <f>SUM(F70:F80)</f>
        <v>1645000</v>
      </c>
      <c r="G69" s="760">
        <f t="shared" ref="G69:K69" si="28">SUM(G70:G80)</f>
        <v>1645000</v>
      </c>
      <c r="H69" s="630">
        <f t="shared" ref="H69" si="29">SUM(H70:H80)</f>
        <v>1315000</v>
      </c>
      <c r="I69" s="797">
        <f t="shared" si="28"/>
        <v>1645000</v>
      </c>
      <c r="J69" s="629">
        <f t="shared" si="28"/>
        <v>0</v>
      </c>
      <c r="K69" s="783">
        <f t="shared" si="28"/>
        <v>1645000</v>
      </c>
      <c r="L69" s="941">
        <f t="shared" si="22"/>
        <v>100</v>
      </c>
      <c r="M69" s="942">
        <f t="shared" si="3"/>
        <v>125.09505703422053</v>
      </c>
      <c r="O69" s="53"/>
    </row>
    <row r="70" spans="2:15" s="1" customFormat="1" ht="15" customHeight="1">
      <c r="B70" s="12"/>
      <c r="C70" s="565" t="s">
        <v>99</v>
      </c>
      <c r="D70" s="571" t="s">
        <v>750</v>
      </c>
      <c r="E70" s="624" t="s">
        <v>774</v>
      </c>
      <c r="F70" s="563">
        <f>'2'!I41</f>
        <v>140000</v>
      </c>
      <c r="G70" s="752">
        <f>'2'!J41</f>
        <v>140000</v>
      </c>
      <c r="H70" s="564">
        <f>'2'!K41</f>
        <v>140000</v>
      </c>
      <c r="I70" s="784">
        <f>'2'!L41</f>
        <v>140000</v>
      </c>
      <c r="J70" s="563">
        <f>'2'!M41</f>
        <v>0</v>
      </c>
      <c r="K70" s="788">
        <f>'2'!N41</f>
        <v>140000</v>
      </c>
      <c r="L70" s="943">
        <f t="shared" si="22"/>
        <v>100</v>
      </c>
      <c r="M70" s="944">
        <f t="shared" si="3"/>
        <v>100</v>
      </c>
      <c r="O70" s="53"/>
    </row>
    <row r="71" spans="2:15" s="1" customFormat="1" ht="15" customHeight="1">
      <c r="B71" s="12"/>
      <c r="C71" s="565" t="s">
        <v>99</v>
      </c>
      <c r="D71" s="571" t="s">
        <v>497</v>
      </c>
      <c r="E71" s="609" t="s">
        <v>775</v>
      </c>
      <c r="F71" s="563">
        <f>'2'!I37</f>
        <v>70000</v>
      </c>
      <c r="G71" s="752">
        <f>'2'!J37</f>
        <v>70000</v>
      </c>
      <c r="H71" s="564">
        <f>'2'!K37</f>
        <v>50000</v>
      </c>
      <c r="I71" s="784">
        <f>'2'!L37</f>
        <v>70000</v>
      </c>
      <c r="J71" s="563">
        <f>'2'!M37</f>
        <v>0</v>
      </c>
      <c r="K71" s="788">
        <f>'2'!N37</f>
        <v>70000</v>
      </c>
      <c r="L71" s="943">
        <f t="shared" si="22"/>
        <v>100</v>
      </c>
      <c r="M71" s="944">
        <f t="shared" si="3"/>
        <v>140</v>
      </c>
      <c r="O71" s="53"/>
    </row>
    <row r="72" spans="2:15" ht="15" customHeight="1">
      <c r="B72" s="10"/>
      <c r="C72" s="565" t="s">
        <v>99</v>
      </c>
      <c r="D72" s="571" t="s">
        <v>498</v>
      </c>
      <c r="E72" s="609" t="s">
        <v>456</v>
      </c>
      <c r="F72" s="610">
        <f>'2'!I38</f>
        <v>30000</v>
      </c>
      <c r="G72" s="754">
        <f>'2'!J38</f>
        <v>30000</v>
      </c>
      <c r="H72" s="611">
        <f>'2'!K38</f>
        <v>30000</v>
      </c>
      <c r="I72" s="787">
        <f>'2'!L38</f>
        <v>30000</v>
      </c>
      <c r="J72" s="610">
        <f>'2'!M38</f>
        <v>0</v>
      </c>
      <c r="K72" s="788">
        <f>'2'!N38</f>
        <v>30000</v>
      </c>
      <c r="L72" s="943">
        <f t="shared" si="22"/>
        <v>100</v>
      </c>
      <c r="M72" s="944">
        <f t="shared" si="3"/>
        <v>100</v>
      </c>
      <c r="O72" s="53"/>
    </row>
    <row r="73" spans="2:15" s="1" customFormat="1" ht="15" customHeight="1">
      <c r="B73" s="22"/>
      <c r="C73" s="573" t="s">
        <v>99</v>
      </c>
      <c r="D73" s="566" t="s">
        <v>499</v>
      </c>
      <c r="E73" s="609" t="s">
        <v>457</v>
      </c>
      <c r="F73" s="610">
        <f>'2'!I39</f>
        <v>35000</v>
      </c>
      <c r="G73" s="754">
        <f>'2'!J39</f>
        <v>35000</v>
      </c>
      <c r="H73" s="611">
        <f>'2'!K39</f>
        <v>35000</v>
      </c>
      <c r="I73" s="787">
        <f>'2'!L39</f>
        <v>35000</v>
      </c>
      <c r="J73" s="610">
        <f>'2'!M39</f>
        <v>0</v>
      </c>
      <c r="K73" s="788">
        <f>'2'!N39</f>
        <v>35000</v>
      </c>
      <c r="L73" s="943">
        <f t="shared" ref="L73:L106" si="30">IF(G73=0,"",K73/G73*100)</f>
        <v>100</v>
      </c>
      <c r="M73" s="944">
        <f t="shared" ref="M73:M107" si="31">IF(H73=0,"",K73/H73*100)</f>
        <v>100</v>
      </c>
      <c r="O73" s="53"/>
    </row>
    <row r="74" spans="2:15" s="1" customFormat="1" ht="15" customHeight="1">
      <c r="B74" s="22"/>
      <c r="C74" s="573" t="s">
        <v>99</v>
      </c>
      <c r="D74" s="566" t="s">
        <v>500</v>
      </c>
      <c r="E74" s="609" t="s">
        <v>481</v>
      </c>
      <c r="F74" s="610">
        <f>'2'!I40</f>
        <v>0</v>
      </c>
      <c r="G74" s="754">
        <f>'2'!J40</f>
        <v>0</v>
      </c>
      <c r="H74" s="611">
        <f>'2'!K40</f>
        <v>5000</v>
      </c>
      <c r="I74" s="787">
        <f>'2'!L40</f>
        <v>0</v>
      </c>
      <c r="J74" s="610">
        <f>'2'!M40</f>
        <v>0</v>
      </c>
      <c r="K74" s="788">
        <f>'2'!N40</f>
        <v>0</v>
      </c>
      <c r="L74" s="943" t="str">
        <f t="shared" si="30"/>
        <v/>
      </c>
      <c r="M74" s="944">
        <f t="shared" si="31"/>
        <v>0</v>
      </c>
      <c r="O74" s="53"/>
    </row>
    <row r="75" spans="2:15" s="467" customFormat="1" ht="15" customHeight="1">
      <c r="B75" s="468"/>
      <c r="C75" s="578" t="s">
        <v>99</v>
      </c>
      <c r="D75" s="579" t="s">
        <v>749</v>
      </c>
      <c r="E75" s="609" t="s">
        <v>747</v>
      </c>
      <c r="F75" s="610">
        <f>'17'!I32</f>
        <v>100000</v>
      </c>
      <c r="G75" s="754">
        <f>'17'!J32</f>
        <v>100000</v>
      </c>
      <c r="H75" s="611">
        <f>'17'!K32</f>
        <v>95000</v>
      </c>
      <c r="I75" s="787">
        <f>'17'!L32</f>
        <v>100000</v>
      </c>
      <c r="J75" s="610">
        <f>'17'!M32</f>
        <v>0</v>
      </c>
      <c r="K75" s="785">
        <f>'17'!N32</f>
        <v>100000</v>
      </c>
      <c r="L75" s="943">
        <f t="shared" si="30"/>
        <v>100</v>
      </c>
      <c r="M75" s="944">
        <f t="shared" si="31"/>
        <v>105.26315789473684</v>
      </c>
      <c r="O75" s="53"/>
    </row>
    <row r="76" spans="2:15" ht="15" customHeight="1" thickBot="1">
      <c r="B76" s="16"/>
      <c r="C76" s="573" t="s">
        <v>99</v>
      </c>
      <c r="D76" s="566" t="s">
        <v>521</v>
      </c>
      <c r="E76" s="624" t="s">
        <v>768</v>
      </c>
      <c r="F76" s="610">
        <f>'20'!I36</f>
        <v>370000</v>
      </c>
      <c r="G76" s="754">
        <f>'20'!J36</f>
        <v>370000</v>
      </c>
      <c r="H76" s="611">
        <f>'20'!K36</f>
        <v>320000</v>
      </c>
      <c r="I76" s="787">
        <f>'20'!L36</f>
        <v>370000</v>
      </c>
      <c r="J76" s="610">
        <f>'20'!M36</f>
        <v>0</v>
      </c>
      <c r="K76" s="788">
        <f>'20'!N36</f>
        <v>370000</v>
      </c>
      <c r="L76" s="943">
        <f t="shared" si="30"/>
        <v>100</v>
      </c>
      <c r="M76" s="944">
        <f t="shared" si="31"/>
        <v>115.625</v>
      </c>
      <c r="O76" s="53"/>
    </row>
    <row r="77" spans="2:15" ht="15" customHeight="1">
      <c r="C77" s="573" t="s">
        <v>99</v>
      </c>
      <c r="D77" s="566" t="s">
        <v>522</v>
      </c>
      <c r="E77" s="624" t="s">
        <v>769</v>
      </c>
      <c r="F77" s="610">
        <f>'20'!I37</f>
        <v>390000</v>
      </c>
      <c r="G77" s="754">
        <f>'20'!J37</f>
        <v>390000</v>
      </c>
      <c r="H77" s="611">
        <f>'20'!K37</f>
        <v>250000</v>
      </c>
      <c r="I77" s="787">
        <f>'20'!L37</f>
        <v>390000</v>
      </c>
      <c r="J77" s="610">
        <f>'20'!M37</f>
        <v>0</v>
      </c>
      <c r="K77" s="788">
        <f>'20'!N37</f>
        <v>390000</v>
      </c>
      <c r="L77" s="943">
        <f t="shared" si="30"/>
        <v>100</v>
      </c>
      <c r="M77" s="944">
        <f t="shared" si="31"/>
        <v>156</v>
      </c>
      <c r="O77" s="53"/>
    </row>
    <row r="78" spans="2:15" ht="15" customHeight="1">
      <c r="C78" s="573" t="s">
        <v>99</v>
      </c>
      <c r="D78" s="566" t="s">
        <v>525</v>
      </c>
      <c r="E78" s="624" t="s">
        <v>469</v>
      </c>
      <c r="F78" s="610">
        <f>'33'!I30</f>
        <v>0</v>
      </c>
      <c r="G78" s="754">
        <f>'33'!J30</f>
        <v>0</v>
      </c>
      <c r="H78" s="611">
        <f>'33'!K30</f>
        <v>0</v>
      </c>
      <c r="I78" s="787">
        <f>'33'!L30</f>
        <v>0</v>
      </c>
      <c r="J78" s="610">
        <f>'33'!M30</f>
        <v>0</v>
      </c>
      <c r="K78" s="788">
        <f>'33'!N30</f>
        <v>0</v>
      </c>
      <c r="L78" s="943" t="str">
        <f t="shared" si="30"/>
        <v/>
      </c>
      <c r="M78" s="944" t="str">
        <f t="shared" si="31"/>
        <v/>
      </c>
      <c r="O78" s="53"/>
    </row>
    <row r="79" spans="2:15" s="161" customFormat="1" ht="15" customHeight="1">
      <c r="C79" s="573" t="s">
        <v>99</v>
      </c>
      <c r="D79" s="566" t="s">
        <v>608</v>
      </c>
      <c r="E79" s="624" t="s">
        <v>770</v>
      </c>
      <c r="F79" s="610">
        <f>'20'!I38</f>
        <v>350000</v>
      </c>
      <c r="G79" s="754">
        <f>'20'!J38</f>
        <v>350000</v>
      </c>
      <c r="H79" s="611">
        <f>'20'!K38</f>
        <v>310000</v>
      </c>
      <c r="I79" s="787">
        <f>'20'!L38</f>
        <v>350000</v>
      </c>
      <c r="J79" s="610">
        <f>'20'!M38</f>
        <v>0</v>
      </c>
      <c r="K79" s="788">
        <f>'20'!N38</f>
        <v>350000</v>
      </c>
      <c r="L79" s="943">
        <f t="shared" si="30"/>
        <v>100</v>
      </c>
      <c r="M79" s="944">
        <f t="shared" si="31"/>
        <v>112.90322580645163</v>
      </c>
      <c r="O79" s="53"/>
    </row>
    <row r="80" spans="2:15" s="161" customFormat="1" ht="15" customHeight="1">
      <c r="C80" s="573" t="s">
        <v>99</v>
      </c>
      <c r="D80" s="566" t="s">
        <v>609</v>
      </c>
      <c r="E80" s="624" t="s">
        <v>771</v>
      </c>
      <c r="F80" s="610">
        <f>'20'!I39</f>
        <v>160000</v>
      </c>
      <c r="G80" s="754">
        <f>'20'!J39</f>
        <v>160000</v>
      </c>
      <c r="H80" s="611">
        <f>'20'!K39</f>
        <v>80000</v>
      </c>
      <c r="I80" s="787">
        <f>'20'!L39</f>
        <v>160000</v>
      </c>
      <c r="J80" s="610">
        <f>'20'!M39</f>
        <v>0</v>
      </c>
      <c r="K80" s="788">
        <f>'20'!N39</f>
        <v>160000</v>
      </c>
      <c r="L80" s="943">
        <f t="shared" si="30"/>
        <v>100</v>
      </c>
      <c r="M80" s="944">
        <f t="shared" si="31"/>
        <v>200</v>
      </c>
      <c r="O80" s="53"/>
    </row>
    <row r="81" spans="3:15" s="45" customFormat="1" ht="15" customHeight="1">
      <c r="C81" s="574" t="s">
        <v>169</v>
      </c>
      <c r="D81" s="575"/>
      <c r="E81" s="628" t="s">
        <v>464</v>
      </c>
      <c r="F81" s="621">
        <f>SUM(F82:F85)</f>
        <v>3890000</v>
      </c>
      <c r="G81" s="759">
        <f t="shared" ref="G81:K81" si="32">SUM(G82:G85)</f>
        <v>3800000</v>
      </c>
      <c r="H81" s="622">
        <f t="shared" ref="H81" si="33">SUM(H82:H85)</f>
        <v>2287711</v>
      </c>
      <c r="I81" s="796">
        <f t="shared" si="32"/>
        <v>2362728</v>
      </c>
      <c r="J81" s="621">
        <f t="shared" si="32"/>
        <v>1117849</v>
      </c>
      <c r="K81" s="783">
        <f t="shared" si="32"/>
        <v>3480577</v>
      </c>
      <c r="L81" s="941">
        <f t="shared" si="30"/>
        <v>91.594131578947369</v>
      </c>
      <c r="M81" s="942">
        <f t="shared" si="31"/>
        <v>152.14233790894042</v>
      </c>
      <c r="O81" s="53"/>
    </row>
    <row r="82" spans="3:15" ht="15" customHeight="1">
      <c r="C82" s="573" t="s">
        <v>169</v>
      </c>
      <c r="D82" s="566" t="s">
        <v>503</v>
      </c>
      <c r="E82" s="624" t="s">
        <v>485</v>
      </c>
      <c r="F82" s="610">
        <f>'15'!I31</f>
        <v>1050000</v>
      </c>
      <c r="G82" s="754">
        <f>'15'!J31</f>
        <v>960000</v>
      </c>
      <c r="H82" s="611">
        <f>'15'!K31</f>
        <v>1029688</v>
      </c>
      <c r="I82" s="787">
        <f>'15'!L31</f>
        <v>214325</v>
      </c>
      <c r="J82" s="610">
        <f>'15'!M31</f>
        <v>736446</v>
      </c>
      <c r="K82" s="788">
        <f>'15'!N31</f>
        <v>950771</v>
      </c>
      <c r="L82" s="943">
        <f t="shared" si="30"/>
        <v>99.038645833333334</v>
      </c>
      <c r="M82" s="944">
        <f t="shared" si="31"/>
        <v>92.335833767121684</v>
      </c>
      <c r="O82" s="53"/>
    </row>
    <row r="83" spans="3:15" ht="15" customHeight="1">
      <c r="C83" s="565" t="s">
        <v>169</v>
      </c>
      <c r="D83" s="571" t="s">
        <v>512</v>
      </c>
      <c r="E83" s="624" t="s">
        <v>790</v>
      </c>
      <c r="F83" s="563">
        <f>'19'!I30</f>
        <v>2150000</v>
      </c>
      <c r="G83" s="752">
        <f>'19'!J30</f>
        <v>2150000</v>
      </c>
      <c r="H83" s="564">
        <f>'19'!K30</f>
        <v>1048510</v>
      </c>
      <c r="I83" s="784">
        <f>'19'!L30</f>
        <v>2148403</v>
      </c>
      <c r="J83" s="563">
        <f>'19'!M30</f>
        <v>0</v>
      </c>
      <c r="K83" s="788">
        <f>'19'!N30</f>
        <v>2148403</v>
      </c>
      <c r="L83" s="943">
        <f t="shared" si="30"/>
        <v>99.925720930232558</v>
      </c>
      <c r="M83" s="944">
        <f t="shared" si="31"/>
        <v>204.90057319434243</v>
      </c>
      <c r="O83" s="53"/>
    </row>
    <row r="84" spans="3:15" ht="15" customHeight="1">
      <c r="C84" s="565" t="s">
        <v>169</v>
      </c>
      <c r="D84" s="571" t="s">
        <v>514</v>
      </c>
      <c r="E84" s="624" t="s">
        <v>791</v>
      </c>
      <c r="F84" s="563">
        <f>'19'!I31</f>
        <v>490000</v>
      </c>
      <c r="G84" s="752">
        <f>'19'!J31</f>
        <v>490000</v>
      </c>
      <c r="H84" s="564">
        <f>'19'!K31</f>
        <v>167844</v>
      </c>
      <c r="I84" s="784">
        <f>'19'!L31</f>
        <v>0</v>
      </c>
      <c r="J84" s="563">
        <f>'19'!M31</f>
        <v>189436</v>
      </c>
      <c r="K84" s="788">
        <f>'19'!N31</f>
        <v>189436</v>
      </c>
      <c r="L84" s="943">
        <f t="shared" si="30"/>
        <v>38.660408163265309</v>
      </c>
      <c r="M84" s="944">
        <f t="shared" si="31"/>
        <v>112.86432639832225</v>
      </c>
      <c r="O84" s="53"/>
    </row>
    <row r="85" spans="3:15" ht="15" customHeight="1">
      <c r="C85" s="565" t="s">
        <v>169</v>
      </c>
      <c r="D85" s="571" t="s">
        <v>515</v>
      </c>
      <c r="E85" s="631" t="s">
        <v>458</v>
      </c>
      <c r="F85" s="563">
        <f>'19'!I32</f>
        <v>200000</v>
      </c>
      <c r="G85" s="752">
        <f>'19'!J32</f>
        <v>200000</v>
      </c>
      <c r="H85" s="564">
        <f>'19'!K32</f>
        <v>41669</v>
      </c>
      <c r="I85" s="784">
        <f>'19'!L32</f>
        <v>0</v>
      </c>
      <c r="J85" s="563">
        <f>'19'!M32</f>
        <v>191967</v>
      </c>
      <c r="K85" s="788">
        <f>'19'!N32</f>
        <v>191967</v>
      </c>
      <c r="L85" s="943">
        <f t="shared" si="30"/>
        <v>95.983499999999992</v>
      </c>
      <c r="M85" s="944">
        <f t="shared" si="31"/>
        <v>460.69500107993957</v>
      </c>
      <c r="O85" s="53"/>
    </row>
    <row r="86" spans="3:15" s="45" customFormat="1" ht="15" customHeight="1">
      <c r="C86" s="576">
        <v>614800</v>
      </c>
      <c r="D86" s="577"/>
      <c r="E86" s="632" t="s">
        <v>465</v>
      </c>
      <c r="F86" s="629">
        <f>SUM(F87:F88)</f>
        <v>55600</v>
      </c>
      <c r="G86" s="760">
        <f t="shared" ref="G86:K86" si="34">SUM(G87:G88)</f>
        <v>55600</v>
      </c>
      <c r="H86" s="630">
        <f t="shared" ref="H86" si="35">SUM(H87:H88)</f>
        <v>140642</v>
      </c>
      <c r="I86" s="797">
        <f t="shared" si="34"/>
        <v>53938</v>
      </c>
      <c r="J86" s="629">
        <f t="shared" si="34"/>
        <v>0</v>
      </c>
      <c r="K86" s="783">
        <f t="shared" si="34"/>
        <v>53938</v>
      </c>
      <c r="L86" s="941">
        <f t="shared" si="30"/>
        <v>97.010791366906474</v>
      </c>
      <c r="M86" s="942">
        <f t="shared" si="31"/>
        <v>38.351274868104838</v>
      </c>
      <c r="O86" s="53"/>
    </row>
    <row r="87" spans="3:15" ht="15" customHeight="1">
      <c r="C87" s="565">
        <v>614800</v>
      </c>
      <c r="D87" s="571" t="s">
        <v>506</v>
      </c>
      <c r="E87" s="631" t="s">
        <v>459</v>
      </c>
      <c r="F87" s="563">
        <f>'16'!I34</f>
        <v>52000</v>
      </c>
      <c r="G87" s="752">
        <f>'16'!J34</f>
        <v>52000</v>
      </c>
      <c r="H87" s="564">
        <f>'16'!K34</f>
        <v>118637</v>
      </c>
      <c r="I87" s="784">
        <f>'16'!L34</f>
        <v>51820</v>
      </c>
      <c r="J87" s="563">
        <f>'16'!M34</f>
        <v>0</v>
      </c>
      <c r="K87" s="788">
        <f>'16'!N34</f>
        <v>51820</v>
      </c>
      <c r="L87" s="943">
        <f t="shared" si="30"/>
        <v>99.653846153846146</v>
      </c>
      <c r="M87" s="944">
        <f t="shared" si="31"/>
        <v>43.679459190640358</v>
      </c>
      <c r="O87" s="53"/>
    </row>
    <row r="88" spans="3:15" ht="27" customHeight="1">
      <c r="C88" s="565">
        <v>614800</v>
      </c>
      <c r="D88" s="571" t="s">
        <v>507</v>
      </c>
      <c r="E88" s="633" t="s">
        <v>460</v>
      </c>
      <c r="F88" s="563">
        <f>'16'!I35</f>
        <v>3600</v>
      </c>
      <c r="G88" s="752">
        <f>'16'!J35</f>
        <v>3600</v>
      </c>
      <c r="H88" s="564">
        <f>'16'!K35</f>
        <v>22005</v>
      </c>
      <c r="I88" s="784">
        <f>'16'!L35</f>
        <v>2118</v>
      </c>
      <c r="J88" s="563">
        <f>'16'!M35</f>
        <v>0</v>
      </c>
      <c r="K88" s="788">
        <f>'16'!N35</f>
        <v>2118</v>
      </c>
      <c r="L88" s="943">
        <f t="shared" si="30"/>
        <v>58.833333333333336</v>
      </c>
      <c r="M88" s="944">
        <f t="shared" si="31"/>
        <v>9.6250852079072935</v>
      </c>
      <c r="O88" s="53"/>
    </row>
    <row r="89" spans="3:15" ht="13.5" customHeight="1">
      <c r="C89" s="580"/>
      <c r="D89" s="581"/>
      <c r="E89" s="634"/>
      <c r="F89" s="635"/>
      <c r="G89" s="761"/>
      <c r="H89" s="636"/>
      <c r="I89" s="798"/>
      <c r="J89" s="635"/>
      <c r="K89" s="781"/>
      <c r="L89" s="941" t="str">
        <f t="shared" si="30"/>
        <v/>
      </c>
      <c r="M89" s="942" t="str">
        <f t="shared" si="31"/>
        <v/>
      </c>
    </row>
    <row r="90" spans="3:15" ht="15" customHeight="1">
      <c r="C90" s="582">
        <v>615000</v>
      </c>
      <c r="D90" s="583"/>
      <c r="E90" s="637" t="s">
        <v>87</v>
      </c>
      <c r="F90" s="597">
        <f>SUM(F91:F95)</f>
        <v>1801990</v>
      </c>
      <c r="G90" s="750">
        <f t="shared" ref="G90:K90" si="36">SUM(G91:G95)</f>
        <v>1801990</v>
      </c>
      <c r="H90" s="598">
        <f t="shared" ref="H90" si="37">SUM(H91:H95)</f>
        <v>1454071</v>
      </c>
      <c r="I90" s="780">
        <f t="shared" si="36"/>
        <v>230000</v>
      </c>
      <c r="J90" s="597">
        <f t="shared" si="36"/>
        <v>1571990</v>
      </c>
      <c r="K90" s="781">
        <f t="shared" si="36"/>
        <v>1801990</v>
      </c>
      <c r="L90" s="939">
        <f t="shared" si="30"/>
        <v>100</v>
      </c>
      <c r="M90" s="940">
        <f t="shared" si="31"/>
        <v>123.92723601529774</v>
      </c>
    </row>
    <row r="91" spans="3:15" ht="15" customHeight="1">
      <c r="C91" s="584" t="s">
        <v>170</v>
      </c>
      <c r="D91" s="577"/>
      <c r="E91" s="638" t="s">
        <v>806</v>
      </c>
      <c r="F91" s="599">
        <f>'2'!I44</f>
        <v>230000</v>
      </c>
      <c r="G91" s="751">
        <f>'2'!J44</f>
        <v>230000</v>
      </c>
      <c r="H91" s="600">
        <f>'2'!K44</f>
        <v>628758</v>
      </c>
      <c r="I91" s="782">
        <f>'2'!L44</f>
        <v>230000</v>
      </c>
      <c r="J91" s="599">
        <f>'2'!M44</f>
        <v>0</v>
      </c>
      <c r="K91" s="783">
        <f>'2'!N44</f>
        <v>230000</v>
      </c>
      <c r="L91" s="941">
        <f t="shared" si="30"/>
        <v>100</v>
      </c>
      <c r="M91" s="942">
        <f t="shared" si="31"/>
        <v>36.580051466541974</v>
      </c>
    </row>
    <row r="92" spans="3:15" s="161" customFormat="1" ht="29.25" customHeight="1">
      <c r="C92" s="585" t="s">
        <v>170</v>
      </c>
      <c r="D92" s="575" t="s">
        <v>829</v>
      </c>
      <c r="E92" s="867" t="str">
        <f>'15'!H34</f>
        <v xml:space="preserve"> Kapitalni grant jedinicama lokalne samouprave za razvoj
 poduzetničke infrastrukture</v>
      </c>
      <c r="F92" s="599">
        <f>'15'!I34</f>
        <v>400000</v>
      </c>
      <c r="G92" s="751">
        <f>'15'!J34</f>
        <v>400000</v>
      </c>
      <c r="H92" s="600">
        <f>'15'!K34</f>
        <v>0</v>
      </c>
      <c r="I92" s="782">
        <f>'15'!L34</f>
        <v>0</v>
      </c>
      <c r="J92" s="599">
        <f>'15'!M34</f>
        <v>400000</v>
      </c>
      <c r="K92" s="783">
        <f>'15'!N34</f>
        <v>400000</v>
      </c>
      <c r="L92" s="941">
        <f t="shared" ref="L92" si="38">IF(G92=0,"",K92/G92*100)</f>
        <v>100</v>
      </c>
      <c r="M92" s="942" t="str">
        <f t="shared" si="31"/>
        <v/>
      </c>
    </row>
    <row r="93" spans="3:15" s="161" customFormat="1" ht="15" customHeight="1">
      <c r="C93" s="585" t="s">
        <v>170</v>
      </c>
      <c r="D93" s="575" t="s">
        <v>716</v>
      </c>
      <c r="E93" s="639" t="s">
        <v>663</v>
      </c>
      <c r="F93" s="599">
        <f>'19'!I35</f>
        <v>400000</v>
      </c>
      <c r="G93" s="751">
        <f>'19'!J35</f>
        <v>400000</v>
      </c>
      <c r="H93" s="600">
        <f>'19'!K35</f>
        <v>150000</v>
      </c>
      <c r="I93" s="782">
        <f>'19'!L35</f>
        <v>0</v>
      </c>
      <c r="J93" s="599">
        <f>'19'!M35</f>
        <v>400000</v>
      </c>
      <c r="K93" s="783">
        <f>'19'!N35</f>
        <v>400000</v>
      </c>
      <c r="L93" s="941">
        <f t="shared" si="30"/>
        <v>100</v>
      </c>
      <c r="M93" s="942">
        <f t="shared" si="31"/>
        <v>266.66666666666663</v>
      </c>
    </row>
    <row r="94" spans="3:15" s="161" customFormat="1" ht="15" customHeight="1">
      <c r="C94" s="585" t="s">
        <v>170</v>
      </c>
      <c r="D94" s="575" t="s">
        <v>717</v>
      </c>
      <c r="E94" s="639" t="s">
        <v>660</v>
      </c>
      <c r="F94" s="599">
        <f>'19'!I36</f>
        <v>150000</v>
      </c>
      <c r="G94" s="751">
        <f>'19'!J36</f>
        <v>150000</v>
      </c>
      <c r="H94" s="600">
        <f>'19'!K36</f>
        <v>100000</v>
      </c>
      <c r="I94" s="782">
        <f>'19'!L36</f>
        <v>0</v>
      </c>
      <c r="J94" s="599">
        <f>'19'!M36</f>
        <v>150000</v>
      </c>
      <c r="K94" s="783">
        <f>'19'!N36</f>
        <v>150000</v>
      </c>
      <c r="L94" s="941">
        <f t="shared" si="30"/>
        <v>100</v>
      </c>
      <c r="M94" s="942">
        <f t="shared" si="31"/>
        <v>150</v>
      </c>
    </row>
    <row r="95" spans="3:15" s="161" customFormat="1" ht="15" customHeight="1">
      <c r="C95" s="585" t="s">
        <v>612</v>
      </c>
      <c r="D95" s="575" t="s">
        <v>611</v>
      </c>
      <c r="E95" s="639" t="s">
        <v>659</v>
      </c>
      <c r="F95" s="599">
        <f>'15'!I35</f>
        <v>621990</v>
      </c>
      <c r="G95" s="751">
        <f>'15'!J35</f>
        <v>621990</v>
      </c>
      <c r="H95" s="600">
        <f>'15'!K35</f>
        <v>575313</v>
      </c>
      <c r="I95" s="782">
        <f>'15'!L35</f>
        <v>0</v>
      </c>
      <c r="J95" s="599">
        <f>'15'!M35</f>
        <v>621990</v>
      </c>
      <c r="K95" s="783">
        <f>'15'!N35</f>
        <v>621990</v>
      </c>
      <c r="L95" s="941">
        <f t="shared" si="30"/>
        <v>100</v>
      </c>
      <c r="M95" s="942">
        <f t="shared" si="31"/>
        <v>108.11332266088198</v>
      </c>
    </row>
    <row r="96" spans="3:15" ht="12.75" customHeight="1">
      <c r="C96" s="586"/>
      <c r="D96" s="587"/>
      <c r="E96" s="640"/>
      <c r="F96" s="599"/>
      <c r="G96" s="751"/>
      <c r="H96" s="600"/>
      <c r="I96" s="782"/>
      <c r="J96" s="599"/>
      <c r="K96" s="783"/>
      <c r="L96" s="941" t="str">
        <f t="shared" si="30"/>
        <v/>
      </c>
      <c r="M96" s="942" t="str">
        <f t="shared" si="31"/>
        <v/>
      </c>
    </row>
    <row r="97" spans="3:13" ht="15" customHeight="1">
      <c r="C97" s="588" t="s">
        <v>97</v>
      </c>
      <c r="D97" s="589"/>
      <c r="E97" s="637" t="s">
        <v>166</v>
      </c>
      <c r="F97" s="597">
        <f t="shared" ref="F97:K97" si="39">SUM(F98:F99)</f>
        <v>28920</v>
      </c>
      <c r="G97" s="750">
        <f t="shared" si="39"/>
        <v>28920</v>
      </c>
      <c r="H97" s="598">
        <f t="shared" ref="H97" si="40">SUM(H98:H99)</f>
        <v>34759</v>
      </c>
      <c r="I97" s="780">
        <f t="shared" si="39"/>
        <v>28910</v>
      </c>
      <c r="J97" s="597">
        <f t="shared" si="39"/>
        <v>0</v>
      </c>
      <c r="K97" s="781">
        <f t="shared" si="39"/>
        <v>28910</v>
      </c>
      <c r="L97" s="939">
        <f t="shared" si="30"/>
        <v>99.965421853388662</v>
      </c>
      <c r="M97" s="940">
        <f t="shared" si="31"/>
        <v>83.172703472481942</v>
      </c>
    </row>
    <row r="98" spans="3:13" ht="15" customHeight="1">
      <c r="C98" s="590">
        <v>616200</v>
      </c>
      <c r="D98" s="568" t="s">
        <v>508</v>
      </c>
      <c r="E98" s="638" t="s">
        <v>726</v>
      </c>
      <c r="F98" s="599">
        <f>'16'!I38</f>
        <v>16390</v>
      </c>
      <c r="G98" s="751">
        <f>'16'!J38</f>
        <v>16390</v>
      </c>
      <c r="H98" s="600">
        <f>'16'!K38</f>
        <v>17050</v>
      </c>
      <c r="I98" s="782">
        <f>'16'!L38</f>
        <v>16384</v>
      </c>
      <c r="J98" s="599">
        <f>'16'!M38</f>
        <v>0</v>
      </c>
      <c r="K98" s="783">
        <f>'16'!N38</f>
        <v>16384</v>
      </c>
      <c r="L98" s="941">
        <f t="shared" si="30"/>
        <v>99.963392312385608</v>
      </c>
      <c r="M98" s="942">
        <f t="shared" si="31"/>
        <v>96.093841642228739</v>
      </c>
    </row>
    <row r="99" spans="3:13" ht="15" customHeight="1">
      <c r="C99" s="590">
        <v>616200</v>
      </c>
      <c r="D99" s="568" t="s">
        <v>509</v>
      </c>
      <c r="E99" s="638" t="s">
        <v>727</v>
      </c>
      <c r="F99" s="599">
        <f>'16'!I39</f>
        <v>12530</v>
      </c>
      <c r="G99" s="751">
        <f>'16'!J39</f>
        <v>12530</v>
      </c>
      <c r="H99" s="600">
        <f>'16'!K39</f>
        <v>17709</v>
      </c>
      <c r="I99" s="782">
        <f>'16'!L39</f>
        <v>12526</v>
      </c>
      <c r="J99" s="599">
        <f>'16'!M39</f>
        <v>0</v>
      </c>
      <c r="K99" s="783">
        <f>'16'!N39</f>
        <v>12526</v>
      </c>
      <c r="L99" s="941">
        <f t="shared" si="30"/>
        <v>99.968076616121309</v>
      </c>
      <c r="M99" s="942">
        <f t="shared" si="31"/>
        <v>70.732395956858099</v>
      </c>
    </row>
    <row r="100" spans="3:13" ht="12" customHeight="1">
      <c r="C100" s="590"/>
      <c r="D100" s="568"/>
      <c r="E100" s="638"/>
      <c r="F100" s="599"/>
      <c r="G100" s="751"/>
      <c r="H100" s="600"/>
      <c r="I100" s="782"/>
      <c r="J100" s="599"/>
      <c r="K100" s="783"/>
      <c r="L100" s="941" t="str">
        <f t="shared" si="30"/>
        <v/>
      </c>
      <c r="M100" s="942" t="str">
        <f t="shared" si="31"/>
        <v/>
      </c>
    </row>
    <row r="101" spans="3:13" ht="15" customHeight="1">
      <c r="C101" s="591">
        <v>821000</v>
      </c>
      <c r="D101" s="592"/>
      <c r="E101" s="596" t="s">
        <v>88</v>
      </c>
      <c r="F101" s="597">
        <f t="shared" ref="F101:K101" si="41">SUM(F102:F107)</f>
        <v>3688470</v>
      </c>
      <c r="G101" s="750">
        <f t="shared" si="41"/>
        <v>3688470</v>
      </c>
      <c r="H101" s="598">
        <f t="shared" ref="H101" si="42">SUM(H102:H107)</f>
        <v>1867774</v>
      </c>
      <c r="I101" s="780">
        <f t="shared" si="41"/>
        <v>612875</v>
      </c>
      <c r="J101" s="597">
        <f t="shared" si="41"/>
        <v>2714516</v>
      </c>
      <c r="K101" s="781">
        <f t="shared" si="41"/>
        <v>3327391</v>
      </c>
      <c r="L101" s="939">
        <f t="shared" si="30"/>
        <v>90.210602228024086</v>
      </c>
      <c r="M101" s="940">
        <f t="shared" si="31"/>
        <v>178.14740969731884</v>
      </c>
    </row>
    <row r="102" spans="3:13" ht="15" customHeight="1">
      <c r="C102" s="593">
        <v>821200</v>
      </c>
      <c r="D102" s="594"/>
      <c r="E102" s="605" t="s">
        <v>89</v>
      </c>
      <c r="F102" s="606">
        <f>'1'!I29+'2'!I47+'6'!I32+'3'!I29+'4'!I29+'5'!I29+'7'!I29+'8'!I30+'9'!I31+'10'!I30+'11'!I29+'12'!I29+'13'!I29+'15'!I38+'16'!I42+'17'!I35+'18'!I33+'19'!I39+'20'!I42+'21'!I29+'22'!I29+'23'!I29+'24'!I29+'25'!I29+'26'!I29+'27'!I29+'28'!I29+'29'!I29+'30'!I29+'31'!I32+'32'!I29+'33'!I33+'34'!I29+'35'!I29+'36'!I29+'37'!I29+'14'!I29</f>
        <v>1118450</v>
      </c>
      <c r="G102" s="753">
        <f>'1'!J29+'2'!J47+'6'!J32+'3'!J29+'4'!J29+'5'!J29+'7'!J29+'8'!J30+'9'!J31+'10'!J30+'11'!J29+'12'!J29+'13'!J29+'15'!J38+'16'!J42+'17'!J35+'18'!J33+'19'!J39+'20'!J42+'21'!J29+'22'!J29+'23'!J29+'24'!J29+'25'!J29+'26'!J29+'27'!J29+'28'!J29+'29'!J29+'30'!J29+'31'!J32+'32'!J29+'33'!J33+'34'!J29+'35'!J29+'36'!J29+'37'!J29+'14'!J29</f>
        <v>1116250</v>
      </c>
      <c r="H102" s="607">
        <f>'1'!K29+'2'!K47+'6'!K32+'3'!K29+'4'!K29+'5'!K29+'7'!K29+'8'!K30+'9'!K31+'10'!K30+'11'!K29+'12'!K29+'13'!K29+'15'!K38+'16'!K42+'17'!K35+'18'!K33+'19'!K39+'20'!K42+'21'!K29+'22'!K29+'23'!K29+'24'!K29+'25'!K29+'26'!K29+'27'!K29+'28'!K29+'29'!K29+'30'!K29+'31'!K32+'32'!K29+'33'!K33+'34'!K29+'35'!K29+'36'!K29+'37'!K29+'14'!K29</f>
        <v>408264</v>
      </c>
      <c r="I102" s="786">
        <f>'1'!L29+'2'!L47+'6'!L32+'3'!L29+'4'!L29+'5'!L29+'7'!L29+'8'!L30+'9'!L31+'10'!L30+'11'!L29+'12'!L29+'13'!L29+'15'!L38+'16'!L42+'17'!L35+'18'!L33+'19'!L39+'20'!L42+'21'!L29+'22'!L29+'23'!L29+'24'!L29+'25'!L29+'26'!L29+'27'!L29+'28'!L29+'29'!L29+'30'!L29+'31'!L32+'32'!L29+'33'!L33+'34'!L29+'35'!L29+'36'!L29+'37'!L29+'14'!L29</f>
        <v>120076</v>
      </c>
      <c r="J102" s="606">
        <f>'1'!M29+'2'!M47+'6'!M32+'3'!M29+'4'!M29+'5'!M29+'7'!M29+'8'!M30+'9'!M31+'10'!M30+'11'!M29+'12'!M29+'13'!M29+'15'!M38+'16'!M42+'17'!M35+'18'!M33+'19'!M39+'20'!M42+'21'!M29+'22'!M29+'23'!M29+'24'!M29+'25'!M29+'26'!M29+'27'!M29+'28'!M29+'29'!M29+'30'!M29+'31'!M32+'32'!M29+'33'!M33+'34'!M29+'35'!M29+'36'!M29+'37'!M29+'14'!M29</f>
        <v>701752</v>
      </c>
      <c r="K102" s="783">
        <f>'1'!N29+'2'!N47+'6'!N32+'3'!N29+'4'!N29+'5'!N29+'7'!N29+'8'!N30+'9'!N31+'10'!N30+'11'!N29+'12'!N29+'13'!N29+'15'!N38+'16'!N42+'17'!N35+'18'!N33+'19'!N39+'20'!N42+'21'!N29+'22'!N29+'23'!N29+'24'!N29+'25'!N29+'26'!N29+'27'!N29+'28'!N29+'29'!N29+'30'!N29+'31'!N32+'32'!N29+'33'!N33+'34'!N29+'35'!N29+'36'!N29+'37'!N29+'14'!N29</f>
        <v>821828</v>
      </c>
      <c r="L102" s="941">
        <f t="shared" si="30"/>
        <v>73.624008958566634</v>
      </c>
      <c r="M102" s="942">
        <f t="shared" si="31"/>
        <v>201.29817960927241</v>
      </c>
    </row>
    <row r="103" spans="3:13" ht="15" customHeight="1">
      <c r="C103" s="593">
        <v>821300</v>
      </c>
      <c r="D103" s="594"/>
      <c r="E103" s="605" t="s">
        <v>90</v>
      </c>
      <c r="F103" s="606">
        <f>'1'!I30+'2'!I48+'6'!I33+'3'!I30+'4'!I30+'5'!I30+'7'!I30+'8'!I31+'9'!I32+'10'!I31+'11'!I30+'12'!I30+'13'!I30+'15'!I39+'16'!I43+'17'!I36+'18'!I34+'19'!I40+'20'!I43+'21'!I30+'22'!I30+'23'!I30+'24'!I30+'25'!I30+'26'!I30+'27'!I30+'28'!I30+'29'!I30+'30'!I30+'31'!I33+'32'!I30+'33'!I34+'34'!I30+'35'!I30+'36'!I30+'37'!I30+'14'!I30</f>
        <v>585020</v>
      </c>
      <c r="G103" s="753">
        <f>'1'!J30+'2'!J48+'6'!J33+'3'!J30+'4'!J30+'5'!J30+'7'!J30+'8'!J31+'9'!J32+'10'!J31+'11'!J30+'12'!J30+'13'!J30+'15'!J39+'16'!J43+'17'!J36+'18'!J34+'19'!J40+'20'!J43+'21'!J30+'22'!J30+'23'!J30+'24'!J30+'25'!J30+'26'!J30+'27'!J30+'28'!J30+'29'!J30+'30'!J30+'31'!J33+'32'!J30+'33'!J34+'34'!J30+'35'!J30+'36'!J30+'37'!J30+'14'!J30</f>
        <v>587220</v>
      </c>
      <c r="H103" s="607">
        <f>'1'!K30+'2'!K48+'6'!K33+'3'!K30+'4'!K30+'5'!K30+'7'!K30+'8'!K31+'9'!K32+'10'!K31+'11'!K30+'12'!K30+'13'!K30+'15'!K39+'16'!K43+'17'!K36+'18'!K34+'19'!K40+'20'!K43+'21'!K30+'22'!K30+'23'!K30+'24'!K30+'25'!K30+'26'!K30+'27'!K30+'28'!K30+'29'!K30+'30'!K30+'31'!K33+'32'!K30+'33'!K34+'34'!K30+'35'!K30+'36'!K30+'37'!K30+'14'!K30</f>
        <v>431345</v>
      </c>
      <c r="I103" s="786">
        <f>'1'!L30+'2'!L48+'6'!L33+'3'!L30+'4'!L30+'5'!L30+'7'!L30+'8'!L31+'9'!L32+'10'!L31+'11'!L30+'12'!L30+'13'!L30+'15'!L39+'16'!L43+'17'!L36+'18'!L34+'19'!L40+'20'!L43+'21'!L30+'22'!L30+'23'!L30+'24'!L30+'25'!L30+'26'!L30+'27'!L30+'28'!L30+'29'!L30+'30'!L30+'31'!L33+'32'!L30+'33'!L34+'34'!L30+'35'!L30+'36'!L30+'37'!L30+'14'!L30</f>
        <v>487842</v>
      </c>
      <c r="J103" s="606">
        <f>'1'!M30+'2'!M48+'6'!M33+'3'!M30+'4'!M30+'5'!M30+'7'!M30+'8'!M31+'9'!M32+'10'!M31+'11'!M30+'12'!M30+'13'!M30+'15'!M39+'16'!M43+'17'!M36+'18'!M34+'19'!M40+'20'!M43+'21'!M30+'22'!M30+'23'!M30+'24'!M30+'25'!M30+'26'!M30+'27'!M30+'28'!M30+'29'!M30+'30'!M30+'31'!M33+'32'!M30+'33'!M34+'34'!M30+'35'!M30+'36'!M30+'37'!M30+'14'!M30</f>
        <v>48559</v>
      </c>
      <c r="K103" s="783">
        <f>'1'!N30+'2'!N48+'6'!N33+'3'!N30+'4'!N30+'5'!N30+'7'!N30+'8'!N31+'9'!N32+'10'!N31+'11'!N30+'12'!N30+'13'!N30+'15'!N39+'16'!N43+'17'!N36+'18'!N34+'19'!N40+'20'!N43+'21'!N30+'22'!N30+'23'!N30+'24'!N30+'25'!N30+'26'!N30+'27'!N30+'28'!N30+'29'!N30+'30'!N30+'31'!N33+'32'!N30+'33'!N34+'34'!N30+'35'!N30+'36'!N30+'37'!N30+'14'!N30</f>
        <v>536401</v>
      </c>
      <c r="L103" s="941">
        <f t="shared" si="30"/>
        <v>91.345832907598506</v>
      </c>
      <c r="M103" s="942">
        <f t="shared" si="31"/>
        <v>124.35544633645921</v>
      </c>
    </row>
    <row r="104" spans="3:13" s="161" customFormat="1" ht="15" customHeight="1">
      <c r="C104" s="593">
        <v>821300</v>
      </c>
      <c r="D104" s="594" t="s">
        <v>812</v>
      </c>
      <c r="E104" s="641" t="s">
        <v>799</v>
      </c>
      <c r="F104" s="606">
        <f>'33'!I35</f>
        <v>0</v>
      </c>
      <c r="G104" s="753">
        <f>'33'!J35</f>
        <v>0</v>
      </c>
      <c r="H104" s="607">
        <f>'33'!K35</f>
        <v>0</v>
      </c>
      <c r="I104" s="786">
        <f>'33'!L35</f>
        <v>0</v>
      </c>
      <c r="J104" s="606">
        <f>'33'!M35</f>
        <v>0</v>
      </c>
      <c r="K104" s="783">
        <f>'33'!N35</f>
        <v>0</v>
      </c>
      <c r="L104" s="941" t="str">
        <f t="shared" ref="L104" si="43">IF(G104=0,"",K104/G104*100)</f>
        <v/>
      </c>
      <c r="M104" s="942" t="str">
        <f t="shared" si="31"/>
        <v/>
      </c>
    </row>
    <row r="105" spans="3:13" ht="15" customHeight="1">
      <c r="C105" s="593">
        <v>821500</v>
      </c>
      <c r="D105" s="594"/>
      <c r="E105" s="642" t="s">
        <v>426</v>
      </c>
      <c r="F105" s="606">
        <f>'2'!I49+'1'!I31</f>
        <v>5000</v>
      </c>
      <c r="G105" s="753">
        <f>'2'!J49+'1'!J31</f>
        <v>5000</v>
      </c>
      <c r="H105" s="607">
        <f>'2'!K49+'1'!K31</f>
        <v>0</v>
      </c>
      <c r="I105" s="786">
        <f>'2'!L49+'1'!L31</f>
        <v>4957</v>
      </c>
      <c r="J105" s="606">
        <f>'2'!M49+'1'!M31</f>
        <v>0</v>
      </c>
      <c r="K105" s="783">
        <f>'2'!N49+'1'!N31</f>
        <v>4957</v>
      </c>
      <c r="L105" s="941">
        <f t="shared" si="30"/>
        <v>99.14</v>
      </c>
      <c r="M105" s="942" t="str">
        <f t="shared" si="31"/>
        <v/>
      </c>
    </row>
    <row r="106" spans="3:13" s="161" customFormat="1" ht="15" customHeight="1">
      <c r="C106" s="593">
        <v>821500</v>
      </c>
      <c r="D106" s="594" t="s">
        <v>615</v>
      </c>
      <c r="E106" s="641" t="s">
        <v>614</v>
      </c>
      <c r="F106" s="606">
        <f>'18'!I35</f>
        <v>1410000</v>
      </c>
      <c r="G106" s="753">
        <f>'18'!J35</f>
        <v>1375000</v>
      </c>
      <c r="H106" s="607">
        <f>'18'!K35</f>
        <v>818662</v>
      </c>
      <c r="I106" s="786">
        <f>'18'!L35</f>
        <v>0</v>
      </c>
      <c r="J106" s="606">
        <f>'18'!M35</f>
        <v>1359513</v>
      </c>
      <c r="K106" s="783">
        <f>'18'!N35</f>
        <v>1359513</v>
      </c>
      <c r="L106" s="941">
        <f t="shared" si="30"/>
        <v>98.873672727272734</v>
      </c>
      <c r="M106" s="942">
        <f t="shared" si="31"/>
        <v>166.06523815689502</v>
      </c>
    </row>
    <row r="107" spans="3:13" s="161" customFormat="1" ht="15" customHeight="1">
      <c r="C107" s="593">
        <v>821600</v>
      </c>
      <c r="D107" s="594" t="s">
        <v>616</v>
      </c>
      <c r="E107" s="641" t="s">
        <v>613</v>
      </c>
      <c r="F107" s="606">
        <f>'18'!I36</f>
        <v>570000</v>
      </c>
      <c r="G107" s="753">
        <f>'18'!J36</f>
        <v>605000</v>
      </c>
      <c r="H107" s="607">
        <f>'18'!K36</f>
        <v>209503</v>
      </c>
      <c r="I107" s="786">
        <f>'18'!L36</f>
        <v>0</v>
      </c>
      <c r="J107" s="606">
        <f>'18'!M36</f>
        <v>604692</v>
      </c>
      <c r="K107" s="783">
        <f>'18'!N36</f>
        <v>604692</v>
      </c>
      <c r="L107" s="941">
        <f t="shared" ref="L107" si="44">IF(G107=0,"",K107/G107*100)</f>
        <v>99.949090909090913</v>
      </c>
      <c r="M107" s="942">
        <f t="shared" si="31"/>
        <v>288.63166637231922</v>
      </c>
    </row>
    <row r="108" spans="3:13" ht="11.25" customHeight="1">
      <c r="C108" s="590"/>
      <c r="D108" s="568"/>
      <c r="E108" s="76"/>
      <c r="F108" s="643"/>
      <c r="G108" s="762"/>
      <c r="H108" s="644"/>
      <c r="I108" s="799"/>
      <c r="J108" s="643"/>
      <c r="K108" s="783"/>
      <c r="L108" s="941" t="str">
        <f>IF(G108=0,"",K108/G108*100)</f>
        <v/>
      </c>
      <c r="M108" s="942" t="str">
        <f>IF(H108=0,"",K108/H108*100)</f>
        <v/>
      </c>
    </row>
    <row r="109" spans="3:13" ht="15" customHeight="1">
      <c r="C109" s="591">
        <v>823000</v>
      </c>
      <c r="D109" s="592"/>
      <c r="E109" s="596" t="s">
        <v>167</v>
      </c>
      <c r="F109" s="597">
        <f t="shared" ref="F109:K109" si="45">SUM(F110:F111)</f>
        <v>515920</v>
      </c>
      <c r="G109" s="750">
        <f t="shared" si="45"/>
        <v>515920</v>
      </c>
      <c r="H109" s="598">
        <f t="shared" ref="H109" si="46">SUM(H110:H111)</f>
        <v>512956</v>
      </c>
      <c r="I109" s="780">
        <f t="shared" si="45"/>
        <v>365544</v>
      </c>
      <c r="J109" s="597">
        <f t="shared" si="45"/>
        <v>150364</v>
      </c>
      <c r="K109" s="781">
        <f t="shared" si="45"/>
        <v>515908</v>
      </c>
      <c r="L109" s="939">
        <f>IF(G109=0,"",K109/G109*100)</f>
        <v>99.997674057993493</v>
      </c>
      <c r="M109" s="940">
        <f>IF(H109=0,"",K109/H109*100)</f>
        <v>100.575487956082</v>
      </c>
    </row>
    <row r="110" spans="3:13" ht="15" customHeight="1">
      <c r="C110" s="590">
        <v>823200</v>
      </c>
      <c r="D110" s="568" t="s">
        <v>508</v>
      </c>
      <c r="E110" s="645" t="s">
        <v>731</v>
      </c>
      <c r="F110" s="599">
        <f>'16'!I46</f>
        <v>85630</v>
      </c>
      <c r="G110" s="751">
        <f>'16'!J46</f>
        <v>85630</v>
      </c>
      <c r="H110" s="600">
        <f>'16'!K46</f>
        <v>82673</v>
      </c>
      <c r="I110" s="782">
        <f>'16'!L46</f>
        <v>85625</v>
      </c>
      <c r="J110" s="599">
        <f>'16'!M46</f>
        <v>0</v>
      </c>
      <c r="K110" s="783">
        <f>'16'!N46</f>
        <v>85625</v>
      </c>
      <c r="L110" s="941">
        <f>IF(G110=0,"",K110/G110*100)</f>
        <v>99.994160924909494</v>
      </c>
      <c r="M110" s="942">
        <f>IF(H110=0,"",K110/H110*100)</f>
        <v>103.57069418068777</v>
      </c>
    </row>
    <row r="111" spans="3:13" ht="15" customHeight="1">
      <c r="C111" s="590">
        <v>823200</v>
      </c>
      <c r="D111" s="568" t="s">
        <v>509</v>
      </c>
      <c r="E111" s="645" t="s">
        <v>732</v>
      </c>
      <c r="F111" s="599">
        <f>'16'!I47</f>
        <v>430290</v>
      </c>
      <c r="G111" s="751">
        <f>'16'!J47</f>
        <v>430290</v>
      </c>
      <c r="H111" s="600">
        <f>'16'!K47</f>
        <v>430283</v>
      </c>
      <c r="I111" s="782">
        <f>'16'!L47</f>
        <v>279919</v>
      </c>
      <c r="J111" s="599">
        <f>'16'!M47</f>
        <v>150364</v>
      </c>
      <c r="K111" s="783">
        <f>'16'!N47</f>
        <v>430283</v>
      </c>
      <c r="L111" s="941">
        <f>IF(G111=0,"",K111/G111*100)</f>
        <v>99.998373190174078</v>
      </c>
      <c r="M111" s="942">
        <f>IF(H111=0,"",K111/H111*100)</f>
        <v>100</v>
      </c>
    </row>
    <row r="112" spans="3:13" ht="8.25" customHeight="1">
      <c r="C112" s="590"/>
      <c r="D112" s="568"/>
      <c r="E112" s="11"/>
      <c r="F112" s="29"/>
      <c r="G112" s="372"/>
      <c r="H112" s="398"/>
      <c r="I112" s="369"/>
      <c r="J112" s="156"/>
      <c r="K112" s="776"/>
      <c r="L112" s="933" t="str">
        <f>IF(G112=0,"",K112/G112*100)</f>
        <v/>
      </c>
      <c r="M112" s="934" t="str">
        <f>IF(H112=0,"",K112/H112*100)</f>
        <v/>
      </c>
    </row>
    <row r="113" spans="3:15" ht="15" customHeight="1">
      <c r="C113" s="595"/>
      <c r="D113" s="581"/>
      <c r="E113" s="8" t="s">
        <v>91</v>
      </c>
      <c r="F113" s="172" t="s">
        <v>893</v>
      </c>
      <c r="G113" s="745" t="s">
        <v>893</v>
      </c>
      <c r="H113" s="552" t="s">
        <v>937</v>
      </c>
      <c r="I113" s="772"/>
      <c r="J113" s="172"/>
      <c r="K113" s="767"/>
      <c r="L113" s="933"/>
      <c r="M113" s="934"/>
    </row>
    <row r="114" spans="3:15" ht="15" customHeight="1">
      <c r="C114" s="4"/>
      <c r="D114" s="188"/>
      <c r="E114" s="8" t="s">
        <v>805</v>
      </c>
      <c r="F114" s="15">
        <f>'1'!I34+'2'!I52+'4 (S)'!I36+'6'!I36+'3'!I33+'4'!I33+'5'!I33+'7'!I33+'8'!I34+'9'!I35+'10'!I34+'11'!I33+'12'!I33+'13'!I33+'15'!I42+'16'!I50+'17'!I39+'18'!I39+'19'!I43+'20'!I46+'21'!I33+'22'!I33+'23'!I33+'24'!I33+'25'!I33+'26'!I33+'27'!I33+'28'!I33+'29'!I33+'30'!I33+'31'!I36+'32'!I33+'33'!I38+'34'!I33+'35'!I33+'36'!I33+'37'!I33+'14'!I33</f>
        <v>58756610</v>
      </c>
      <c r="G114" s="367">
        <f>'1'!J34+'2'!J52+'4 (S)'!J36+'6'!J36+'3'!J33+'4'!J33+'5'!J33+'7'!J33+'8'!J34+'9'!J35+'10'!J34+'11'!J33+'12'!J33+'13'!J33+'15'!J42+'16'!J50+'17'!J39+'18'!J39+'19'!J43+'20'!J46+'21'!J33+'22'!J33+'23'!J33+'24'!J33+'25'!J33+'26'!J33+'27'!J33+'28'!J33+'29'!J33+'30'!J33+'31'!J36+'32'!J33+'33'!J38+'34'!J33+'35'!J33+'36'!J33+'37'!J33+'14'!J33</f>
        <v>58756610</v>
      </c>
      <c r="H114" s="356">
        <f>'1'!K34+'2'!K52+'4 (S)'!K36+'6'!K36+'3'!K33+'4'!K33+'5'!K33+'7'!K33+'8'!K34+'9'!K35+'10'!K34+'11'!K33+'12'!K33+'13'!K33+'15'!K42+'16'!K50+'17'!K39+'18'!K39+'19'!K43+'20'!K46+'21'!K33+'22'!K33+'23'!K33+'24'!K33+'25'!K33+'26'!K33+'27'!K33+'28'!K33+'29'!K33+'30'!K33+'31'!K36+'32'!K33+'33'!K38+'34'!K33+'35'!K33+'36'!K33+'37'!K33+'14'!K33</f>
        <v>46983401</v>
      </c>
      <c r="I114" s="370">
        <f>'1'!L34+'2'!L52+'4 (S)'!K36+'6'!L36+'3'!L33+'4'!L33+'5'!L33+'7'!L33+'8'!L34+'9'!L35+'10'!L34+'11'!L33+'12'!L33+'13'!L33+'15'!L42+'16'!L50+'17'!L39+'18'!L39+'19'!L43+'20'!L46+'21'!L33+'22'!L33+'23'!L33+'24'!L33+'25'!L33+'26'!L33+'27'!L33+'28'!L33+'29'!L33+'30'!L33+'31'!L36+'32'!L33+'33'!L38+'34'!L33+'35'!L33+'36'!L33+'37'!L33+'14'!L33</f>
        <v>48774605</v>
      </c>
      <c r="J114" s="165">
        <f>'1'!M34+'2'!M52+'4 (S)'!L36+'6'!M36+'3'!M33+'4'!M33+'5'!M33+'7'!M33+'8'!M34+'9'!M35+'10'!M34+'11'!M33+'12'!M33+'13'!M33+'15'!M42+'16'!M50+'17'!M39+'18'!M39+'19'!M43+'20'!M46+'21'!M33+'22'!M33+'23'!M33+'24'!M33+'25'!M33+'26'!M33+'27'!M33+'28'!M33+'29'!M33+'30'!M33+'31'!M36+'32'!M33+'33'!M38+'34'!M33+'35'!M33+'36'!M33+'37'!M33+'14'!M33</f>
        <v>8427201</v>
      </c>
      <c r="K114" s="774">
        <f>'1'!N34+'2'!N52+'4 (S)'!M36+'6'!N36+'3'!N33+'4'!N33+'5'!N33+'7'!N33+'8'!N34+'9'!N35+'10'!N34+'11'!N33+'12'!N33+'13'!N33+'15'!N42+'16'!N50+'17'!N39+'18'!N39+'19'!N43+'20'!N46+'21'!N33+'22'!N33+'23'!N33+'24'!N33+'25'!N33+'26'!N33+'27'!N33+'28'!N33+'29'!N33+'30'!N33+'31'!N36+'32'!N33+'33'!N38+'34'!N33+'35'!N33+'36'!N33+'37'!N33+'14'!N33</f>
        <v>57201806</v>
      </c>
      <c r="L114" s="947">
        <f>IF(G114=0,"",K114/G114*100)</f>
        <v>97.353822829465486</v>
      </c>
      <c r="M114" s="948">
        <f>IF(H114=0,"",K114/H114*100)</f>
        <v>121.74896832181221</v>
      </c>
      <c r="O114" s="51"/>
    </row>
    <row r="115" spans="3:15" ht="9" customHeight="1" thickBot="1">
      <c r="C115" s="28"/>
      <c r="D115" s="194"/>
      <c r="E115" s="17"/>
      <c r="F115" s="27"/>
      <c r="G115" s="27"/>
      <c r="H115" s="511"/>
      <c r="I115" s="16"/>
      <c r="J115" s="17"/>
      <c r="K115" s="800"/>
      <c r="L115" s="949"/>
      <c r="M115" s="950" t="str">
        <f>IF(H115=0,"",K115/H115*100)</f>
        <v/>
      </c>
    </row>
    <row r="116" spans="3:15" ht="9" customHeight="1" thickBot="1">
      <c r="C116" s="43"/>
      <c r="D116" s="175"/>
      <c r="E116" s="44"/>
      <c r="F116" s="44"/>
      <c r="G116" s="44"/>
      <c r="H116" s="44"/>
      <c r="I116" s="44"/>
      <c r="J116" s="44"/>
      <c r="K116" s="44"/>
      <c r="L116" s="861"/>
      <c r="M116" s="861"/>
    </row>
    <row r="117" spans="3:15" ht="7.5" customHeight="1"/>
    <row r="118" spans="3:15" ht="8.25" customHeight="1">
      <c r="C118" s="32"/>
      <c r="D118" s="168"/>
    </row>
    <row r="119" spans="3:15" s="447" customFormat="1" ht="12" customHeight="1">
      <c r="C119" s="475"/>
      <c r="D119" s="475"/>
      <c r="J119" s="476"/>
      <c r="K119" s="477"/>
    </row>
    <row r="120" spans="3:15" s="447" customFormat="1" ht="6.75" customHeight="1">
      <c r="C120" s="478"/>
      <c r="D120" s="478"/>
      <c r="J120" s="476"/>
      <c r="K120" s="477"/>
    </row>
    <row r="121" spans="3:15" s="447" customFormat="1" ht="12" customHeight="1">
      <c r="C121" s="1014"/>
      <c r="D121" s="1014"/>
      <c r="E121" s="1014"/>
      <c r="F121" s="845"/>
      <c r="G121" s="845"/>
      <c r="H121" s="845"/>
      <c r="I121" s="845"/>
      <c r="J121" s="845"/>
      <c r="K121" s="480"/>
    </row>
    <row r="122" spans="3:15" s="447" customFormat="1" ht="18" customHeight="1">
      <c r="C122" s="845"/>
      <c r="D122" s="845"/>
      <c r="E122" s="845"/>
      <c r="F122" s="845"/>
      <c r="G122" s="845"/>
      <c r="H122" s="845"/>
      <c r="I122" s="845"/>
      <c r="J122" s="845"/>
      <c r="K122" s="480"/>
    </row>
    <row r="123" spans="3:15" s="447" customFormat="1" ht="12" customHeight="1">
      <c r="C123" s="1010"/>
      <c r="D123" s="1010"/>
      <c r="E123" s="1010"/>
      <c r="F123" s="1010"/>
      <c r="G123" s="1010"/>
      <c r="H123" s="1010"/>
      <c r="I123" s="1010"/>
      <c r="J123" s="1010"/>
      <c r="K123" s="1010"/>
    </row>
    <row r="124" spans="3:15" ht="15" customHeight="1">
      <c r="C124" s="475"/>
      <c r="D124" s="475"/>
      <c r="E124" s="447"/>
      <c r="F124" s="447"/>
      <c r="G124" s="447"/>
      <c r="H124" s="447"/>
      <c r="I124" s="447"/>
      <c r="J124" s="447"/>
      <c r="K124" s="476"/>
      <c r="L124" s="477"/>
      <c r="M124" s="477"/>
    </row>
    <row r="125" spans="3:15" ht="6.75" customHeight="1">
      <c r="C125" s="478"/>
      <c r="D125" s="478"/>
      <c r="E125" s="447"/>
      <c r="F125" s="447"/>
      <c r="G125" s="447"/>
      <c r="H125" s="447"/>
      <c r="I125" s="447"/>
      <c r="J125" s="447"/>
      <c r="K125" s="476"/>
      <c r="L125" s="477"/>
      <c r="M125" s="477"/>
    </row>
    <row r="126" spans="3:15" ht="12" customHeight="1">
      <c r="C126" s="1014"/>
      <c r="D126" s="1014"/>
      <c r="E126" s="1014"/>
      <c r="F126" s="479"/>
      <c r="G126" s="479"/>
      <c r="H126" s="719"/>
      <c r="I126" s="479"/>
      <c r="J126" s="479"/>
      <c r="K126" s="479"/>
      <c r="L126" s="480"/>
      <c r="M126" s="480"/>
    </row>
    <row r="127" spans="3:15" ht="9" customHeight="1">
      <c r="C127" s="479"/>
      <c r="D127" s="479"/>
      <c r="E127" s="479"/>
      <c r="F127" s="479"/>
      <c r="G127" s="479"/>
      <c r="H127" s="719"/>
      <c r="I127" s="479"/>
      <c r="J127" s="479"/>
      <c r="K127" s="479"/>
      <c r="L127" s="480"/>
      <c r="M127" s="480"/>
    </row>
    <row r="128" spans="3:15" ht="12" customHeight="1">
      <c r="C128" s="1010"/>
      <c r="D128" s="1010"/>
      <c r="E128" s="1010"/>
      <c r="F128" s="1010"/>
      <c r="G128" s="1010"/>
      <c r="H128" s="1010"/>
      <c r="I128" s="1010"/>
      <c r="J128" s="1010"/>
      <c r="K128" s="1010"/>
      <c r="L128" s="1010"/>
      <c r="M128" s="908"/>
    </row>
  </sheetData>
  <mergeCells count="15">
    <mergeCell ref="M4:M5"/>
    <mergeCell ref="C128:L128"/>
    <mergeCell ref="K3:L3"/>
    <mergeCell ref="C3:E3"/>
    <mergeCell ref="C126:E126"/>
    <mergeCell ref="I4:K4"/>
    <mergeCell ref="C4:C5"/>
    <mergeCell ref="D4:D5"/>
    <mergeCell ref="E4:E5"/>
    <mergeCell ref="F4:F5"/>
    <mergeCell ref="G4:G5"/>
    <mergeCell ref="L4:L5"/>
    <mergeCell ref="H4:H5"/>
    <mergeCell ref="C121:E121"/>
    <mergeCell ref="C123:K123"/>
  </mergeCells>
  <phoneticPr fontId="2" type="noConversion"/>
  <pageMargins left="0.68" right="0.27" top="0.35433070866141736" bottom="0.51181102362204722" header="0.39370078740157483" footer="0.31496062992125984"/>
  <pageSetup paperSize="9" scale="87" firstPageNumber="7" orientation="landscape" r:id="rId1"/>
  <headerFooter alignWithMargins="0">
    <oddFooter>&amp;R&amp;P</oddFooter>
  </headerFooter>
  <rowBreaks count="1" manualBreakCount="1">
    <brk id="40" min="2" max="12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T97"/>
  <sheetViews>
    <sheetView tabSelected="1" zoomScaleNormal="100" workbookViewId="0">
      <selection activeCell="L33" sqref="L33"/>
    </sheetView>
  </sheetViews>
  <sheetFormatPr defaultColWidth="9.140625" defaultRowHeight="12.75"/>
  <cols>
    <col min="1" max="1" width="4.42578125" style="161" customWidth="1"/>
    <col min="2" max="2" width="4.7109375" style="9" customWidth="1"/>
    <col min="3" max="3" width="5.140625" style="9" customWidth="1"/>
    <col min="4" max="4" width="5" style="9" customWidth="1"/>
    <col min="5" max="5" width="5" style="161" customWidth="1"/>
    <col min="6" max="6" width="8.7109375" style="18" customWidth="1"/>
    <col min="7" max="7" width="8.7109375" style="166" customWidth="1"/>
    <col min="8" max="8" width="50.7109375" style="9" customWidth="1"/>
    <col min="9" max="10" width="14.7109375" style="9" customWidth="1"/>
    <col min="11" max="11" width="12.5703125" style="161" customWidth="1"/>
    <col min="12" max="13" width="14.7109375" style="161" customWidth="1"/>
    <col min="14" max="14" width="15.7109375" style="9" customWidth="1"/>
    <col min="15" max="16" width="7.7109375" style="214" customWidth="1"/>
    <col min="17" max="17" width="9.140625" style="9"/>
    <col min="18" max="18" width="9.5703125" style="9" bestFit="1" customWidth="1"/>
    <col min="19" max="16384" width="9.140625" style="9"/>
  </cols>
  <sheetData>
    <row r="1" spans="1:20" ht="13.5" thickBot="1"/>
    <row r="2" spans="1:20" s="79" customFormat="1" ht="20.100000000000001" customHeight="1" thickTop="1" thickBot="1">
      <c r="A2" s="244"/>
      <c r="B2" s="1034" t="s">
        <v>107</v>
      </c>
      <c r="C2" s="1035"/>
      <c r="D2" s="1035"/>
      <c r="E2" s="1035"/>
      <c r="F2" s="1035"/>
      <c r="G2" s="1035"/>
      <c r="H2" s="1035"/>
      <c r="I2" s="1035"/>
      <c r="J2" s="1035"/>
      <c r="K2" s="1035"/>
      <c r="L2" s="1035"/>
      <c r="M2" s="1035"/>
      <c r="N2" s="1035"/>
      <c r="O2" s="1035"/>
      <c r="P2" s="1036"/>
    </row>
    <row r="3" spans="1:20" s="1" customFormat="1" ht="8.1" customHeight="1" thickTop="1" thickBot="1">
      <c r="A3" s="158"/>
      <c r="E3" s="158"/>
      <c r="F3" s="2"/>
      <c r="G3" s="159"/>
      <c r="H3" s="1039"/>
      <c r="I3" s="1039"/>
      <c r="J3" s="139"/>
      <c r="K3" s="721"/>
      <c r="L3" s="74"/>
      <c r="M3" s="74"/>
      <c r="N3" s="74"/>
      <c r="O3" s="208"/>
      <c r="P3" s="208"/>
    </row>
    <row r="4" spans="1:20" s="1" customFormat="1" ht="39" customHeight="1">
      <c r="A4" s="158"/>
      <c r="B4" s="1043" t="s">
        <v>76</v>
      </c>
      <c r="C4" s="1045" t="s">
        <v>77</v>
      </c>
      <c r="D4" s="1047" t="s">
        <v>102</v>
      </c>
      <c r="E4" s="1056" t="s">
        <v>692</v>
      </c>
      <c r="F4" s="1050" t="s">
        <v>466</v>
      </c>
      <c r="G4" s="1048" t="s">
        <v>493</v>
      </c>
      <c r="H4" s="1050" t="s">
        <v>78</v>
      </c>
      <c r="I4" s="1052" t="s">
        <v>901</v>
      </c>
      <c r="J4" s="1053" t="s">
        <v>813</v>
      </c>
      <c r="K4" s="1037" t="s">
        <v>906</v>
      </c>
      <c r="L4" s="1040" t="s">
        <v>905</v>
      </c>
      <c r="M4" s="1041"/>
      <c r="N4" s="1042"/>
      <c r="O4" s="1054" t="s">
        <v>945</v>
      </c>
      <c r="P4" s="1032" t="s">
        <v>946</v>
      </c>
      <c r="R4" s="61"/>
    </row>
    <row r="5" spans="1:20" s="158" customFormat="1" ht="27" customHeight="1">
      <c r="B5" s="1044"/>
      <c r="C5" s="1046"/>
      <c r="D5" s="1046"/>
      <c r="E5" s="1049"/>
      <c r="F5" s="1051"/>
      <c r="G5" s="1049"/>
      <c r="H5" s="1051"/>
      <c r="I5" s="1051"/>
      <c r="J5" s="1051"/>
      <c r="K5" s="1038"/>
      <c r="L5" s="368" t="s">
        <v>526</v>
      </c>
      <c r="M5" s="241" t="s">
        <v>527</v>
      </c>
      <c r="N5" s="764" t="s">
        <v>319</v>
      </c>
      <c r="O5" s="1055"/>
      <c r="P5" s="1033"/>
    </row>
    <row r="6" spans="1:20" s="2" customFormat="1" ht="12.75" customHeight="1">
      <c r="A6" s="159"/>
      <c r="B6" s="328">
        <v>1</v>
      </c>
      <c r="C6" s="195">
        <v>2</v>
      </c>
      <c r="D6" s="195">
        <v>3</v>
      </c>
      <c r="E6" s="195">
        <v>4</v>
      </c>
      <c r="F6" s="195">
        <v>5</v>
      </c>
      <c r="G6" s="195">
        <v>6</v>
      </c>
      <c r="H6" s="195">
        <v>7</v>
      </c>
      <c r="I6" s="195">
        <v>8</v>
      </c>
      <c r="J6" s="195">
        <v>9</v>
      </c>
      <c r="K6" s="188">
        <v>10</v>
      </c>
      <c r="L6" s="328">
        <v>11</v>
      </c>
      <c r="M6" s="195">
        <v>12</v>
      </c>
      <c r="N6" s="810" t="s">
        <v>694</v>
      </c>
      <c r="O6" s="929" t="s">
        <v>814</v>
      </c>
      <c r="P6" s="930" t="s">
        <v>944</v>
      </c>
    </row>
    <row r="7" spans="1:20" s="2" customFormat="1" ht="12.95" customHeight="1">
      <c r="A7" s="159"/>
      <c r="B7" s="6">
        <v>10</v>
      </c>
      <c r="C7" s="7" t="s">
        <v>79</v>
      </c>
      <c r="D7" s="7" t="s">
        <v>80</v>
      </c>
      <c r="E7" s="415" t="s">
        <v>693</v>
      </c>
      <c r="F7" s="5"/>
      <c r="G7" s="160"/>
      <c r="H7" s="5"/>
      <c r="I7" s="5"/>
      <c r="J7" s="5"/>
      <c r="K7" s="173"/>
      <c r="L7" s="4"/>
      <c r="M7" s="160"/>
      <c r="N7" s="811"/>
      <c r="O7" s="951"/>
      <c r="P7" s="952"/>
    </row>
    <row r="8" spans="1:20" s="1" customFormat="1" ht="12.95" customHeight="1">
      <c r="A8" s="158"/>
      <c r="B8" s="12"/>
      <c r="C8" s="8"/>
      <c r="D8" s="8"/>
      <c r="E8" s="8"/>
      <c r="F8" s="176">
        <v>611000</v>
      </c>
      <c r="G8" s="195"/>
      <c r="H8" s="8" t="s">
        <v>140</v>
      </c>
      <c r="I8" s="227">
        <f t="shared" ref="I8:N8" si="0">SUM(I9:I11)</f>
        <v>624400</v>
      </c>
      <c r="J8" s="227">
        <f t="shared" si="0"/>
        <v>624400</v>
      </c>
      <c r="K8" s="723">
        <f t="shared" si="0"/>
        <v>591594</v>
      </c>
      <c r="L8" s="482">
        <f t="shared" si="0"/>
        <v>610970</v>
      </c>
      <c r="M8" s="125">
        <f t="shared" si="0"/>
        <v>0</v>
      </c>
      <c r="N8" s="812">
        <f t="shared" si="0"/>
        <v>610970</v>
      </c>
      <c r="O8" s="953">
        <f t="shared" ref="O8:O32" si="1">IF(J8=0,"",N8/J8*100)</f>
        <v>97.849135169762974</v>
      </c>
      <c r="P8" s="954">
        <f>IF(K8=0,"",N8/K8*100)</f>
        <v>103.27521915367635</v>
      </c>
      <c r="R8" s="50"/>
    </row>
    <row r="9" spans="1:20" ht="12.95" customHeight="1">
      <c r="B9" s="10"/>
      <c r="C9" s="11"/>
      <c r="D9" s="11"/>
      <c r="E9" s="163"/>
      <c r="F9" s="177">
        <v>611100</v>
      </c>
      <c r="G9" s="196"/>
      <c r="H9" s="428" t="s">
        <v>161</v>
      </c>
      <c r="I9" s="235">
        <f>497000+6*2000</f>
        <v>509000</v>
      </c>
      <c r="J9" s="235">
        <f>497000+6*2000</f>
        <v>509000</v>
      </c>
      <c r="K9" s="487">
        <v>489198</v>
      </c>
      <c r="L9" s="357">
        <v>499542</v>
      </c>
      <c r="M9" s="124">
        <v>0</v>
      </c>
      <c r="N9" s="813">
        <f>SUM(L9:M9)</f>
        <v>499542</v>
      </c>
      <c r="O9" s="955">
        <f t="shared" si="1"/>
        <v>98.141846758349701</v>
      </c>
      <c r="P9" s="956">
        <f t="shared" ref="P9:P53" si="2">IF(K9=0,"",N9/K9*100)</f>
        <v>102.11448125298959</v>
      </c>
      <c r="Q9" s="45"/>
      <c r="R9" s="50"/>
      <c r="S9" s="51"/>
      <c r="T9" s="51"/>
    </row>
    <row r="10" spans="1:20" ht="12.95" customHeight="1">
      <c r="B10" s="10"/>
      <c r="C10" s="11"/>
      <c r="D10" s="11"/>
      <c r="E10" s="163"/>
      <c r="F10" s="177">
        <v>611200</v>
      </c>
      <c r="G10" s="196"/>
      <c r="H10" s="428" t="s">
        <v>162</v>
      </c>
      <c r="I10" s="235">
        <f>101800+1000+18*700</f>
        <v>115400</v>
      </c>
      <c r="J10" s="235">
        <f>101800+1000+18*700</f>
        <v>115400</v>
      </c>
      <c r="K10" s="487">
        <v>102396</v>
      </c>
      <c r="L10" s="357">
        <v>111428</v>
      </c>
      <c r="M10" s="124">
        <v>0</v>
      </c>
      <c r="N10" s="813">
        <f t="shared" ref="N10:N11" si="3">SUM(L10:M10)</f>
        <v>111428</v>
      </c>
      <c r="O10" s="955">
        <f t="shared" si="1"/>
        <v>96.558058925476615</v>
      </c>
      <c r="P10" s="956">
        <f t="shared" si="2"/>
        <v>108.82065705691627</v>
      </c>
      <c r="R10" s="50"/>
    </row>
    <row r="11" spans="1:20" ht="12.95" customHeight="1">
      <c r="B11" s="10"/>
      <c r="C11" s="11"/>
      <c r="D11" s="11"/>
      <c r="E11" s="163"/>
      <c r="F11" s="177">
        <v>611200</v>
      </c>
      <c r="G11" s="196"/>
      <c r="H11" s="120" t="s">
        <v>434</v>
      </c>
      <c r="I11" s="230">
        <v>0</v>
      </c>
      <c r="J11" s="230">
        <v>0</v>
      </c>
      <c r="K11" s="487">
        <v>0</v>
      </c>
      <c r="L11" s="357">
        <v>0</v>
      </c>
      <c r="M11" s="124">
        <v>0</v>
      </c>
      <c r="N11" s="813">
        <f t="shared" si="3"/>
        <v>0</v>
      </c>
      <c r="O11" s="955" t="str">
        <f t="shared" si="1"/>
        <v/>
      </c>
      <c r="P11" s="956" t="str">
        <f t="shared" si="2"/>
        <v/>
      </c>
      <c r="R11" s="50"/>
    </row>
    <row r="12" spans="1:20" ht="8.1" customHeight="1">
      <c r="B12" s="10"/>
      <c r="C12" s="11"/>
      <c r="D12" s="11"/>
      <c r="E12" s="163"/>
      <c r="F12" s="177"/>
      <c r="G12" s="196"/>
      <c r="H12" s="120"/>
      <c r="I12" s="230"/>
      <c r="J12" s="230"/>
      <c r="K12" s="487"/>
      <c r="L12" s="357"/>
      <c r="M12" s="124"/>
      <c r="N12" s="813"/>
      <c r="O12" s="955" t="str">
        <f t="shared" si="1"/>
        <v/>
      </c>
      <c r="P12" s="956" t="str">
        <f t="shared" si="2"/>
        <v/>
      </c>
      <c r="R12" s="50"/>
    </row>
    <row r="13" spans="1:20" ht="12.95" customHeight="1">
      <c r="B13" s="12"/>
      <c r="C13" s="8"/>
      <c r="D13" s="8"/>
      <c r="E13" s="8"/>
      <c r="F13" s="176">
        <v>612000</v>
      </c>
      <c r="G13" s="195"/>
      <c r="H13" s="8" t="s">
        <v>139</v>
      </c>
      <c r="I13" s="227">
        <f t="shared" ref="I13:N13" si="4">I14+I15</f>
        <v>53700</v>
      </c>
      <c r="J13" s="227">
        <f t="shared" si="4"/>
        <v>53700</v>
      </c>
      <c r="K13" s="723">
        <f t="shared" si="4"/>
        <v>51366</v>
      </c>
      <c r="L13" s="482">
        <f t="shared" si="4"/>
        <v>52452</v>
      </c>
      <c r="M13" s="125">
        <f t="shared" si="4"/>
        <v>0</v>
      </c>
      <c r="N13" s="812">
        <f t="shared" si="4"/>
        <v>52452</v>
      </c>
      <c r="O13" s="953">
        <f t="shared" si="1"/>
        <v>97.675977653631278</v>
      </c>
      <c r="P13" s="954">
        <f t="shared" si="2"/>
        <v>102.11423899077209</v>
      </c>
      <c r="R13" s="50"/>
    </row>
    <row r="14" spans="1:20" s="1" customFormat="1" ht="12.95" customHeight="1">
      <c r="A14" s="158"/>
      <c r="B14" s="10"/>
      <c r="C14" s="11"/>
      <c r="D14" s="11"/>
      <c r="E14" s="163"/>
      <c r="F14" s="177">
        <v>612100</v>
      </c>
      <c r="G14" s="196"/>
      <c r="H14" s="13" t="s">
        <v>81</v>
      </c>
      <c r="I14" s="230">
        <f>52200+6*250</f>
        <v>53700</v>
      </c>
      <c r="J14" s="230">
        <f>52200+6*250</f>
        <v>53700</v>
      </c>
      <c r="K14" s="487">
        <v>51366</v>
      </c>
      <c r="L14" s="357">
        <v>52452</v>
      </c>
      <c r="M14" s="124">
        <v>0</v>
      </c>
      <c r="N14" s="813">
        <f>SUM(L14:M14)</f>
        <v>52452</v>
      </c>
      <c r="O14" s="955">
        <f t="shared" si="1"/>
        <v>97.675977653631278</v>
      </c>
      <c r="P14" s="956">
        <f t="shared" si="2"/>
        <v>102.11423899077209</v>
      </c>
      <c r="R14" s="50"/>
    </row>
    <row r="15" spans="1:20" ht="8.1" customHeight="1">
      <c r="B15" s="10"/>
      <c r="C15" s="11"/>
      <c r="D15" s="11"/>
      <c r="E15" s="163"/>
      <c r="F15" s="177"/>
      <c r="G15" s="196"/>
      <c r="H15" s="11"/>
      <c r="I15" s="230"/>
      <c r="J15" s="230"/>
      <c r="K15" s="487"/>
      <c r="L15" s="358"/>
      <c r="M15" s="156"/>
      <c r="N15" s="776"/>
      <c r="O15" s="955" t="str">
        <f t="shared" si="1"/>
        <v/>
      </c>
      <c r="P15" s="956" t="str">
        <f t="shared" si="2"/>
        <v/>
      </c>
      <c r="R15" s="50"/>
    </row>
    <row r="16" spans="1:20" ht="12.95" customHeight="1">
      <c r="B16" s="12"/>
      <c r="C16" s="8"/>
      <c r="D16" s="8"/>
      <c r="E16" s="8"/>
      <c r="F16" s="176">
        <v>613000</v>
      </c>
      <c r="G16" s="195"/>
      <c r="H16" s="8" t="s">
        <v>141</v>
      </c>
      <c r="I16" s="227">
        <f t="shared" ref="I16:N16" si="5">SUM(I17:I26)</f>
        <v>271820</v>
      </c>
      <c r="J16" s="227">
        <f t="shared" si="5"/>
        <v>271820</v>
      </c>
      <c r="K16" s="723">
        <f t="shared" si="5"/>
        <v>247475</v>
      </c>
      <c r="L16" s="483">
        <f t="shared" si="5"/>
        <v>264503</v>
      </c>
      <c r="M16" s="169">
        <f t="shared" si="5"/>
        <v>0</v>
      </c>
      <c r="N16" s="774">
        <f t="shared" si="5"/>
        <v>264503</v>
      </c>
      <c r="O16" s="953">
        <f t="shared" si="1"/>
        <v>97.30814509601943</v>
      </c>
      <c r="P16" s="954">
        <f t="shared" si="2"/>
        <v>106.88069501969896</v>
      </c>
      <c r="R16" s="50"/>
    </row>
    <row r="17" spans="1:19" s="1" customFormat="1" ht="12.95" customHeight="1">
      <c r="A17" s="158"/>
      <c r="B17" s="10"/>
      <c r="C17" s="11"/>
      <c r="D17" s="11"/>
      <c r="E17" s="163"/>
      <c r="F17" s="177">
        <v>613100</v>
      </c>
      <c r="G17" s="196"/>
      <c r="H17" s="11" t="s">
        <v>82</v>
      </c>
      <c r="I17" s="230">
        <v>7000</v>
      </c>
      <c r="J17" s="230">
        <v>7000</v>
      </c>
      <c r="K17" s="487">
        <v>4192</v>
      </c>
      <c r="L17" s="358">
        <v>4299</v>
      </c>
      <c r="M17" s="231">
        <v>0</v>
      </c>
      <c r="N17" s="813">
        <f t="shared" ref="N17:N26" si="6">SUM(L17:M17)</f>
        <v>4299</v>
      </c>
      <c r="O17" s="955">
        <f t="shared" si="1"/>
        <v>61.414285714285711</v>
      </c>
      <c r="P17" s="956">
        <f t="shared" si="2"/>
        <v>102.55248091603053</v>
      </c>
      <c r="R17" s="50"/>
    </row>
    <row r="18" spans="1:19" ht="12.95" customHeight="1">
      <c r="B18" s="10"/>
      <c r="C18" s="11"/>
      <c r="D18" s="11"/>
      <c r="E18" s="163"/>
      <c r="F18" s="177">
        <v>613200</v>
      </c>
      <c r="G18" s="196"/>
      <c r="H18" s="11" t="s">
        <v>83</v>
      </c>
      <c r="I18" s="230">
        <v>8500</v>
      </c>
      <c r="J18" s="230">
        <v>8500</v>
      </c>
      <c r="K18" s="487">
        <v>7502</v>
      </c>
      <c r="L18" s="358">
        <v>6900</v>
      </c>
      <c r="M18" s="231">
        <v>0</v>
      </c>
      <c r="N18" s="813">
        <f t="shared" si="6"/>
        <v>6900</v>
      </c>
      <c r="O18" s="955">
        <f t="shared" si="1"/>
        <v>81.17647058823529</v>
      </c>
      <c r="P18" s="956">
        <f t="shared" si="2"/>
        <v>91.975473207144759</v>
      </c>
      <c r="R18" s="50"/>
    </row>
    <row r="19" spans="1:19" ht="12.95" customHeight="1">
      <c r="B19" s="10"/>
      <c r="C19" s="11"/>
      <c r="D19" s="11"/>
      <c r="E19" s="163"/>
      <c r="F19" s="177">
        <v>613300</v>
      </c>
      <c r="G19" s="196"/>
      <c r="H19" s="20" t="s">
        <v>163</v>
      </c>
      <c r="I19" s="230">
        <v>7000</v>
      </c>
      <c r="J19" s="230">
        <v>7000</v>
      </c>
      <c r="K19" s="487">
        <v>6924</v>
      </c>
      <c r="L19" s="358">
        <v>6449</v>
      </c>
      <c r="M19" s="231">
        <v>0</v>
      </c>
      <c r="N19" s="813">
        <f t="shared" si="6"/>
        <v>6449</v>
      </c>
      <c r="O19" s="955">
        <f t="shared" si="1"/>
        <v>92.128571428571433</v>
      </c>
      <c r="P19" s="956">
        <f t="shared" si="2"/>
        <v>93.139803581744644</v>
      </c>
      <c r="R19" s="50"/>
    </row>
    <row r="20" spans="1:19" ht="12.95" customHeight="1">
      <c r="B20" s="10"/>
      <c r="C20" s="11"/>
      <c r="D20" s="11"/>
      <c r="E20" s="163"/>
      <c r="F20" s="177">
        <v>613400</v>
      </c>
      <c r="G20" s="196"/>
      <c r="H20" s="20" t="s">
        <v>142</v>
      </c>
      <c r="I20" s="230">
        <v>4500</v>
      </c>
      <c r="J20" s="230">
        <v>4500</v>
      </c>
      <c r="K20" s="487">
        <v>3736</v>
      </c>
      <c r="L20" s="357">
        <v>4226</v>
      </c>
      <c r="M20" s="235">
        <v>0</v>
      </c>
      <c r="N20" s="813">
        <f t="shared" si="6"/>
        <v>4226</v>
      </c>
      <c r="O20" s="955">
        <f t="shared" si="1"/>
        <v>93.911111111111111</v>
      </c>
      <c r="P20" s="956">
        <f t="shared" si="2"/>
        <v>113.11563169164882</v>
      </c>
      <c r="R20" s="50"/>
    </row>
    <row r="21" spans="1:19" ht="12.95" customHeight="1">
      <c r="B21" s="10"/>
      <c r="C21" s="11"/>
      <c r="D21" s="11"/>
      <c r="E21" s="163"/>
      <c r="F21" s="177">
        <v>613500</v>
      </c>
      <c r="G21" s="196"/>
      <c r="H21" s="11" t="s">
        <v>84</v>
      </c>
      <c r="I21" s="230">
        <v>12100</v>
      </c>
      <c r="J21" s="230">
        <v>12100</v>
      </c>
      <c r="K21" s="487">
        <v>5782</v>
      </c>
      <c r="L21" s="357">
        <v>10975</v>
      </c>
      <c r="M21" s="235">
        <v>0</v>
      </c>
      <c r="N21" s="813">
        <f t="shared" si="6"/>
        <v>10975</v>
      </c>
      <c r="O21" s="955">
        <f t="shared" si="1"/>
        <v>90.702479338842977</v>
      </c>
      <c r="P21" s="956">
        <f t="shared" si="2"/>
        <v>189.8132134209616</v>
      </c>
      <c r="R21" s="50"/>
    </row>
    <row r="22" spans="1:19" ht="12.95" customHeight="1">
      <c r="B22" s="10"/>
      <c r="C22" s="11"/>
      <c r="D22" s="11"/>
      <c r="E22" s="163"/>
      <c r="F22" s="177">
        <v>613600</v>
      </c>
      <c r="G22" s="196"/>
      <c r="H22" s="20" t="s">
        <v>164</v>
      </c>
      <c r="I22" s="230">
        <v>0</v>
      </c>
      <c r="J22" s="230">
        <v>0</v>
      </c>
      <c r="K22" s="487">
        <v>0</v>
      </c>
      <c r="L22" s="358">
        <v>0</v>
      </c>
      <c r="M22" s="231">
        <v>0</v>
      </c>
      <c r="N22" s="813">
        <f t="shared" si="6"/>
        <v>0</v>
      </c>
      <c r="O22" s="955" t="str">
        <f t="shared" si="1"/>
        <v/>
      </c>
      <c r="P22" s="956" t="str">
        <f t="shared" si="2"/>
        <v/>
      </c>
      <c r="R22" s="50"/>
    </row>
    <row r="23" spans="1:19" ht="12.95" customHeight="1">
      <c r="B23" s="10"/>
      <c r="C23" s="11"/>
      <c r="D23" s="11"/>
      <c r="E23" s="163"/>
      <c r="F23" s="177">
        <v>613700</v>
      </c>
      <c r="G23" s="196"/>
      <c r="H23" s="11" t="s">
        <v>85</v>
      </c>
      <c r="I23" s="230">
        <v>5000</v>
      </c>
      <c r="J23" s="230">
        <v>5000</v>
      </c>
      <c r="K23" s="487">
        <v>4265</v>
      </c>
      <c r="L23" s="358">
        <v>4873</v>
      </c>
      <c r="M23" s="231">
        <v>0</v>
      </c>
      <c r="N23" s="813">
        <f t="shared" si="6"/>
        <v>4873</v>
      </c>
      <c r="O23" s="955">
        <f t="shared" si="1"/>
        <v>97.460000000000008</v>
      </c>
      <c r="P23" s="956">
        <f t="shared" si="2"/>
        <v>114.25556858147714</v>
      </c>
      <c r="R23" s="50"/>
    </row>
    <row r="24" spans="1:19" ht="12.95" customHeight="1">
      <c r="B24" s="10"/>
      <c r="C24" s="11"/>
      <c r="D24" s="11"/>
      <c r="E24" s="163"/>
      <c r="F24" s="177">
        <v>613800</v>
      </c>
      <c r="G24" s="196"/>
      <c r="H24" s="20" t="s">
        <v>143</v>
      </c>
      <c r="I24" s="230">
        <v>2720</v>
      </c>
      <c r="J24" s="230">
        <v>2720</v>
      </c>
      <c r="K24" s="487">
        <v>2075</v>
      </c>
      <c r="L24" s="358">
        <v>2671</v>
      </c>
      <c r="M24" s="231">
        <v>0</v>
      </c>
      <c r="N24" s="813">
        <f t="shared" si="6"/>
        <v>2671</v>
      </c>
      <c r="O24" s="955">
        <f t="shared" si="1"/>
        <v>98.198529411764696</v>
      </c>
      <c r="P24" s="956">
        <f t="shared" si="2"/>
        <v>128.72289156626508</v>
      </c>
      <c r="R24" s="50"/>
    </row>
    <row r="25" spans="1:19" ht="12.95" customHeight="1">
      <c r="B25" s="10"/>
      <c r="C25" s="11"/>
      <c r="D25" s="11"/>
      <c r="E25" s="163"/>
      <c r="F25" s="177">
        <v>613900</v>
      </c>
      <c r="G25" s="196"/>
      <c r="H25" s="20" t="s">
        <v>144</v>
      </c>
      <c r="I25" s="230">
        <v>225000</v>
      </c>
      <c r="J25" s="230">
        <v>225000</v>
      </c>
      <c r="K25" s="487">
        <v>212999</v>
      </c>
      <c r="L25" s="357">
        <v>224110</v>
      </c>
      <c r="M25" s="235">
        <v>0</v>
      </c>
      <c r="N25" s="813">
        <f t="shared" si="6"/>
        <v>224110</v>
      </c>
      <c r="O25" s="955">
        <f t="shared" si="1"/>
        <v>99.604444444444439</v>
      </c>
      <c r="P25" s="956">
        <f t="shared" si="2"/>
        <v>105.21645641528833</v>
      </c>
      <c r="Q25" s="58"/>
      <c r="R25" s="50"/>
    </row>
    <row r="26" spans="1:19" ht="12.95" customHeight="1">
      <c r="B26" s="10"/>
      <c r="C26" s="11"/>
      <c r="D26" s="11"/>
      <c r="E26" s="163"/>
      <c r="F26" s="177">
        <v>613900</v>
      </c>
      <c r="G26" s="196"/>
      <c r="H26" s="120" t="s">
        <v>435</v>
      </c>
      <c r="I26" s="230">
        <v>0</v>
      </c>
      <c r="J26" s="230">
        <v>0</v>
      </c>
      <c r="K26" s="487">
        <v>0</v>
      </c>
      <c r="L26" s="358">
        <v>0</v>
      </c>
      <c r="M26" s="231">
        <v>0</v>
      </c>
      <c r="N26" s="813">
        <f t="shared" si="6"/>
        <v>0</v>
      </c>
      <c r="O26" s="955" t="str">
        <f t="shared" si="1"/>
        <v/>
      </c>
      <c r="P26" s="956" t="str">
        <f t="shared" si="2"/>
        <v/>
      </c>
      <c r="R26" s="50"/>
      <c r="S26" s="45"/>
    </row>
    <row r="27" spans="1:19" ht="8.1" customHeight="1">
      <c r="B27" s="10"/>
      <c r="C27" s="11"/>
      <c r="D27" s="11"/>
      <c r="E27" s="163"/>
      <c r="F27" s="177"/>
      <c r="G27" s="196"/>
      <c r="H27" s="11"/>
      <c r="I27" s="230"/>
      <c r="J27" s="230"/>
      <c r="K27" s="487"/>
      <c r="L27" s="358"/>
      <c r="M27" s="156"/>
      <c r="N27" s="776"/>
      <c r="O27" s="955" t="str">
        <f t="shared" si="1"/>
        <v/>
      </c>
      <c r="P27" s="956" t="str">
        <f t="shared" si="2"/>
        <v/>
      </c>
      <c r="R27" s="50"/>
    </row>
    <row r="28" spans="1:19" ht="12.95" customHeight="1">
      <c r="B28" s="12"/>
      <c r="C28" s="8"/>
      <c r="D28" s="8"/>
      <c r="E28" s="8"/>
      <c r="F28" s="176">
        <v>821000</v>
      </c>
      <c r="G28" s="195"/>
      <c r="H28" s="8" t="s">
        <v>88</v>
      </c>
      <c r="I28" s="227">
        <f t="shared" ref="I28:J28" si="7">SUM(I29:I31)</f>
        <v>36500</v>
      </c>
      <c r="J28" s="227">
        <f t="shared" si="7"/>
        <v>36500</v>
      </c>
      <c r="K28" s="723">
        <f t="shared" ref="K28" si="8">SUM(K29:K31)</f>
        <v>950</v>
      </c>
      <c r="L28" s="484">
        <f t="shared" ref="L28:N28" si="9">SUM(L29:L31)</f>
        <v>35602</v>
      </c>
      <c r="M28" s="165">
        <f t="shared" si="9"/>
        <v>0</v>
      </c>
      <c r="N28" s="774">
        <f t="shared" si="9"/>
        <v>35602</v>
      </c>
      <c r="O28" s="953">
        <f t="shared" si="1"/>
        <v>97.539726027397251</v>
      </c>
      <c r="P28" s="954">
        <f t="shared" si="2"/>
        <v>3747.5789473684208</v>
      </c>
      <c r="R28" s="50"/>
    </row>
    <row r="29" spans="1:19" s="1" customFormat="1" ht="12.95" customHeight="1">
      <c r="A29" s="158"/>
      <c r="B29" s="10"/>
      <c r="C29" s="11"/>
      <c r="D29" s="11"/>
      <c r="E29" s="163"/>
      <c r="F29" s="177">
        <v>821200</v>
      </c>
      <c r="G29" s="196"/>
      <c r="H29" s="11" t="s">
        <v>89</v>
      </c>
      <c r="I29" s="230">
        <v>0</v>
      </c>
      <c r="J29" s="230">
        <v>0</v>
      </c>
      <c r="K29" s="487">
        <v>0</v>
      </c>
      <c r="L29" s="357">
        <v>0</v>
      </c>
      <c r="M29" s="157">
        <v>0</v>
      </c>
      <c r="N29" s="813">
        <f t="shared" ref="N29:N30" si="10">SUM(L29:M29)</f>
        <v>0</v>
      </c>
      <c r="O29" s="955" t="str">
        <f t="shared" si="1"/>
        <v/>
      </c>
      <c r="P29" s="956" t="str">
        <f t="shared" si="2"/>
        <v/>
      </c>
      <c r="R29" s="50"/>
    </row>
    <row r="30" spans="1:19" ht="12.95" customHeight="1">
      <c r="B30" s="10"/>
      <c r="C30" s="11"/>
      <c r="D30" s="11"/>
      <c r="E30" s="163"/>
      <c r="F30" s="177">
        <v>821300</v>
      </c>
      <c r="G30" s="196"/>
      <c r="H30" s="11" t="s">
        <v>90</v>
      </c>
      <c r="I30" s="230">
        <v>31500</v>
      </c>
      <c r="J30" s="230">
        <v>31500</v>
      </c>
      <c r="K30" s="487">
        <v>950</v>
      </c>
      <c r="L30" s="357">
        <v>30645</v>
      </c>
      <c r="M30" s="157">
        <v>0</v>
      </c>
      <c r="N30" s="813">
        <f t="shared" si="10"/>
        <v>30645</v>
      </c>
      <c r="O30" s="955">
        <f t="shared" si="1"/>
        <v>97.285714285714292</v>
      </c>
      <c r="P30" s="956">
        <f t="shared" si="2"/>
        <v>3225.7894736842104</v>
      </c>
      <c r="Q30" s="45"/>
      <c r="R30" s="50"/>
    </row>
    <row r="31" spans="1:19" s="161" customFormat="1" ht="12.95" customHeight="1">
      <c r="B31" s="162"/>
      <c r="C31" s="163"/>
      <c r="D31" s="163"/>
      <c r="E31" s="163"/>
      <c r="F31" s="177">
        <v>821500</v>
      </c>
      <c r="G31" s="196"/>
      <c r="H31" s="219" t="s">
        <v>426</v>
      </c>
      <c r="I31" s="230">
        <v>5000</v>
      </c>
      <c r="J31" s="230">
        <v>5000</v>
      </c>
      <c r="K31" s="487">
        <v>0</v>
      </c>
      <c r="L31" s="357">
        <v>4957</v>
      </c>
      <c r="M31" s="157">
        <v>0</v>
      </c>
      <c r="N31" s="813">
        <f t="shared" ref="N31" si="11">SUM(L31:M31)</f>
        <v>4957</v>
      </c>
      <c r="O31" s="955">
        <f t="shared" ref="O31" si="12">IF(J31=0,"",N31/J31*100)</f>
        <v>99.14</v>
      </c>
      <c r="P31" s="956" t="str">
        <f t="shared" si="2"/>
        <v/>
      </c>
      <c r="Q31" s="45"/>
      <c r="R31" s="50"/>
    </row>
    <row r="32" spans="1:19" ht="8.1" customHeight="1">
      <c r="B32" s="10"/>
      <c r="C32" s="11"/>
      <c r="D32" s="11"/>
      <c r="E32" s="163"/>
      <c r="F32" s="177"/>
      <c r="G32" s="196"/>
      <c r="H32" s="11"/>
      <c r="I32" s="230"/>
      <c r="J32" s="230"/>
      <c r="K32" s="487"/>
      <c r="L32" s="358"/>
      <c r="M32" s="156"/>
      <c r="N32" s="776"/>
      <c r="O32" s="955" t="str">
        <f t="shared" si="1"/>
        <v/>
      </c>
      <c r="P32" s="956" t="str">
        <f t="shared" si="2"/>
        <v/>
      </c>
      <c r="R32" s="50"/>
    </row>
    <row r="33" spans="1:18" ht="12.95" customHeight="1">
      <c r="B33" s="12"/>
      <c r="C33" s="8"/>
      <c r="D33" s="8"/>
      <c r="E33" s="8"/>
      <c r="F33" s="176"/>
      <c r="G33" s="195"/>
      <c r="H33" s="8" t="s">
        <v>91</v>
      </c>
      <c r="I33" s="349">
        <v>24</v>
      </c>
      <c r="J33" s="349">
        <v>24</v>
      </c>
      <c r="K33" s="724">
        <v>21</v>
      </c>
      <c r="L33" s="485">
        <v>21</v>
      </c>
      <c r="M33" s="172"/>
      <c r="N33" s="767">
        <v>21</v>
      </c>
      <c r="O33" s="955"/>
      <c r="P33" s="956"/>
      <c r="R33" s="50"/>
    </row>
    <row r="34" spans="1:18" s="1" customFormat="1" ht="12.95" customHeight="1">
      <c r="A34" s="158"/>
      <c r="B34" s="12"/>
      <c r="C34" s="8"/>
      <c r="D34" s="8"/>
      <c r="E34" s="8"/>
      <c r="F34" s="176"/>
      <c r="G34" s="195"/>
      <c r="H34" s="8" t="s">
        <v>105</v>
      </c>
      <c r="I34" s="15">
        <f t="shared" ref="I34:N34" si="13">I8+I13+I16+I28</f>
        <v>986420</v>
      </c>
      <c r="J34" s="15">
        <f t="shared" si="13"/>
        <v>986420</v>
      </c>
      <c r="K34" s="153">
        <f t="shared" ref="K34" si="14">K8+K13+K16+K28</f>
        <v>891385</v>
      </c>
      <c r="L34" s="370">
        <f t="shared" si="13"/>
        <v>963527</v>
      </c>
      <c r="M34" s="165">
        <f t="shared" si="13"/>
        <v>0</v>
      </c>
      <c r="N34" s="774">
        <f t="shared" si="13"/>
        <v>963527</v>
      </c>
      <c r="O34" s="953">
        <f>IF(J34=0,"",N34/J34*100)</f>
        <v>97.679183309340843</v>
      </c>
      <c r="P34" s="954">
        <f t="shared" si="2"/>
        <v>108.09324814754568</v>
      </c>
      <c r="R34" s="50"/>
    </row>
    <row r="35" spans="1:18" s="1" customFormat="1" ht="12.95" customHeight="1">
      <c r="A35" s="158"/>
      <c r="B35" s="12"/>
      <c r="C35" s="8"/>
      <c r="D35" s="8"/>
      <c r="E35" s="8"/>
      <c r="F35" s="176"/>
      <c r="G35" s="195"/>
      <c r="H35" s="8" t="s">
        <v>92</v>
      </c>
      <c r="I35" s="15">
        <f>I34</f>
        <v>986420</v>
      </c>
      <c r="J35" s="165">
        <f t="shared" ref="J35:L36" si="15">J34</f>
        <v>986420</v>
      </c>
      <c r="K35" s="153">
        <f t="shared" ref="K35" si="16">K34</f>
        <v>891385</v>
      </c>
      <c r="L35" s="370">
        <f t="shared" si="15"/>
        <v>963527</v>
      </c>
      <c r="M35" s="165">
        <f>M34</f>
        <v>0</v>
      </c>
      <c r="N35" s="774">
        <f>N34</f>
        <v>963527</v>
      </c>
      <c r="O35" s="953">
        <f>IF(J35=0,"",N35/J35*100)</f>
        <v>97.679183309340843</v>
      </c>
      <c r="P35" s="954">
        <f t="shared" si="2"/>
        <v>108.09324814754568</v>
      </c>
    </row>
    <row r="36" spans="1:18" s="1" customFormat="1" ht="12.95" customHeight="1">
      <c r="A36" s="158"/>
      <c r="B36" s="12"/>
      <c r="C36" s="8"/>
      <c r="D36" s="8"/>
      <c r="E36" s="8"/>
      <c r="F36" s="176"/>
      <c r="G36" s="195"/>
      <c r="H36" s="8" t="s">
        <v>93</v>
      </c>
      <c r="I36" s="15">
        <f>I35</f>
        <v>986420</v>
      </c>
      <c r="J36" s="165">
        <f t="shared" si="15"/>
        <v>986420</v>
      </c>
      <c r="K36" s="153">
        <f t="shared" ref="K36" si="17">K35</f>
        <v>891385</v>
      </c>
      <c r="L36" s="370">
        <f t="shared" si="15"/>
        <v>963527</v>
      </c>
      <c r="M36" s="165">
        <f>M35</f>
        <v>0</v>
      </c>
      <c r="N36" s="774">
        <f>N35</f>
        <v>963527</v>
      </c>
      <c r="O36" s="953">
        <f>IF(J36=0,"",N36/J36*100)</f>
        <v>97.679183309340843</v>
      </c>
      <c r="P36" s="954">
        <f t="shared" si="2"/>
        <v>108.09324814754568</v>
      </c>
    </row>
    <row r="37" spans="1:18" s="1" customFormat="1" ht="8.1" customHeight="1" thickBot="1">
      <c r="A37" s="158"/>
      <c r="B37" s="16"/>
      <c r="C37" s="17"/>
      <c r="D37" s="17"/>
      <c r="E37" s="17"/>
      <c r="F37" s="178"/>
      <c r="G37" s="197"/>
      <c r="H37" s="17"/>
      <c r="I37" s="31"/>
      <c r="J37" s="31"/>
      <c r="K37" s="725"/>
      <c r="L37" s="371"/>
      <c r="M37" s="31"/>
      <c r="N37" s="814"/>
      <c r="O37" s="957"/>
      <c r="P37" s="958" t="str">
        <f t="shared" si="2"/>
        <v/>
      </c>
    </row>
    <row r="38" spans="1:18" ht="12.95" customHeight="1">
      <c r="F38" s="179"/>
      <c r="G38" s="198"/>
      <c r="N38" s="253"/>
      <c r="P38" s="214" t="str">
        <f t="shared" si="2"/>
        <v/>
      </c>
    </row>
    <row r="39" spans="1:18" ht="12.95" customHeight="1">
      <c r="B39" s="45"/>
      <c r="F39" s="179"/>
      <c r="G39" s="198"/>
      <c r="L39" s="401"/>
      <c r="N39" s="253"/>
      <c r="P39" s="214" t="str">
        <f t="shared" si="2"/>
        <v/>
      </c>
    </row>
    <row r="40" spans="1:18" ht="12.95" customHeight="1">
      <c r="F40" s="179"/>
      <c r="G40" s="198"/>
      <c r="N40" s="253"/>
      <c r="P40" s="214" t="str">
        <f t="shared" si="2"/>
        <v/>
      </c>
    </row>
    <row r="41" spans="1:18" ht="12.95" customHeight="1">
      <c r="F41" s="179"/>
      <c r="G41" s="198"/>
      <c r="N41" s="253"/>
      <c r="O41" s="466"/>
      <c r="P41" s="466" t="str">
        <f t="shared" si="2"/>
        <v/>
      </c>
    </row>
    <row r="42" spans="1:18" ht="12.95" customHeight="1">
      <c r="F42" s="179"/>
      <c r="G42" s="198"/>
      <c r="N42" s="253"/>
      <c r="P42" s="214" t="str">
        <f t="shared" si="2"/>
        <v/>
      </c>
    </row>
    <row r="43" spans="1:18" ht="12.95" customHeight="1">
      <c r="F43" s="179"/>
      <c r="G43" s="198"/>
      <c r="N43" s="253"/>
      <c r="P43" s="214" t="str">
        <f t="shared" si="2"/>
        <v/>
      </c>
    </row>
    <row r="44" spans="1:18" ht="12.95" customHeight="1">
      <c r="F44" s="179"/>
      <c r="G44" s="198"/>
      <c r="N44" s="253"/>
      <c r="P44" s="214" t="str">
        <f t="shared" si="2"/>
        <v/>
      </c>
    </row>
    <row r="45" spans="1:18" ht="12.95" customHeight="1">
      <c r="F45" s="179"/>
      <c r="G45" s="198"/>
      <c r="N45" s="253"/>
      <c r="P45" s="214" t="str">
        <f t="shared" si="2"/>
        <v/>
      </c>
    </row>
    <row r="46" spans="1:18" ht="12.95" customHeight="1">
      <c r="F46" s="179"/>
      <c r="G46" s="198"/>
      <c r="N46" s="253"/>
      <c r="P46" s="214" t="str">
        <f t="shared" si="2"/>
        <v/>
      </c>
    </row>
    <row r="47" spans="1:18" ht="12.95" customHeight="1">
      <c r="F47" s="179"/>
      <c r="G47" s="198"/>
      <c r="N47" s="253"/>
      <c r="P47" s="214" t="str">
        <f t="shared" si="2"/>
        <v/>
      </c>
    </row>
    <row r="48" spans="1:18" ht="12.95" customHeight="1">
      <c r="F48" s="179"/>
      <c r="G48" s="198"/>
      <c r="N48" s="253"/>
      <c r="P48" s="214" t="str">
        <f t="shared" si="2"/>
        <v/>
      </c>
    </row>
    <row r="49" spans="6:16" ht="12.95" customHeight="1">
      <c r="F49" s="179"/>
      <c r="G49" s="198"/>
      <c r="N49" s="253"/>
      <c r="P49" s="214" t="str">
        <f t="shared" si="2"/>
        <v/>
      </c>
    </row>
    <row r="50" spans="6:16" ht="12.95" customHeight="1">
      <c r="F50" s="179"/>
      <c r="G50" s="198"/>
      <c r="N50" s="253"/>
      <c r="P50" s="214" t="str">
        <f t="shared" si="2"/>
        <v/>
      </c>
    </row>
    <row r="51" spans="6:16" ht="12.95" customHeight="1">
      <c r="F51" s="179"/>
      <c r="G51" s="198"/>
      <c r="N51" s="253"/>
      <c r="P51" s="214" t="str">
        <f t="shared" si="2"/>
        <v/>
      </c>
    </row>
    <row r="52" spans="6:16" ht="12.95" customHeight="1">
      <c r="F52" s="179"/>
      <c r="G52" s="198"/>
      <c r="N52" s="253"/>
      <c r="P52" s="214" t="str">
        <f t="shared" si="2"/>
        <v/>
      </c>
    </row>
    <row r="53" spans="6:16" ht="12.95" customHeight="1">
      <c r="F53" s="179"/>
      <c r="G53" s="198"/>
      <c r="N53" s="253"/>
      <c r="P53" s="214" t="str">
        <f t="shared" si="2"/>
        <v/>
      </c>
    </row>
    <row r="54" spans="6:16" ht="12.95" customHeight="1">
      <c r="F54" s="179"/>
      <c r="G54" s="198"/>
      <c r="N54" s="253"/>
    </row>
    <row r="55" spans="6:16" ht="12.95" customHeight="1">
      <c r="F55" s="179"/>
      <c r="G55" s="198"/>
      <c r="N55" s="253"/>
    </row>
    <row r="56" spans="6:16" ht="12.95" customHeight="1">
      <c r="F56" s="179"/>
      <c r="G56" s="198"/>
      <c r="N56" s="253"/>
    </row>
    <row r="57" spans="6:16" ht="12.95" customHeight="1">
      <c r="F57" s="179"/>
      <c r="G57" s="198"/>
      <c r="N57" s="253"/>
    </row>
    <row r="58" spans="6:16" ht="12.95" customHeight="1">
      <c r="F58" s="179"/>
      <c r="G58" s="198"/>
      <c r="N58" s="253"/>
    </row>
    <row r="59" spans="6:16" ht="12.95" customHeight="1">
      <c r="F59" s="179"/>
      <c r="G59" s="198"/>
      <c r="N59" s="253"/>
    </row>
    <row r="60" spans="6:16" ht="12.95" customHeight="1">
      <c r="F60" s="179"/>
      <c r="G60" s="198"/>
      <c r="N60" s="253"/>
    </row>
    <row r="61" spans="6:16" ht="17.100000000000001" customHeight="1">
      <c r="F61" s="179"/>
      <c r="G61" s="198"/>
      <c r="N61" s="253"/>
    </row>
    <row r="62" spans="6:16" ht="14.25">
      <c r="F62" s="179"/>
      <c r="G62" s="198"/>
      <c r="N62" s="253"/>
    </row>
    <row r="63" spans="6:16" ht="14.25">
      <c r="F63" s="179"/>
      <c r="G63" s="198"/>
      <c r="N63" s="253"/>
    </row>
    <row r="64" spans="6:16" ht="14.25">
      <c r="F64" s="179"/>
      <c r="G64" s="198"/>
      <c r="N64" s="253"/>
    </row>
    <row r="65" spans="6:14" ht="14.25">
      <c r="F65" s="179"/>
      <c r="G65" s="198"/>
      <c r="N65" s="253"/>
    </row>
    <row r="66" spans="6:14" ht="14.25">
      <c r="F66" s="179"/>
      <c r="G66" s="198"/>
      <c r="N66" s="253"/>
    </row>
    <row r="67" spans="6:14" ht="14.25">
      <c r="F67" s="179"/>
      <c r="G67" s="198"/>
      <c r="N67" s="253"/>
    </row>
    <row r="68" spans="6:14" ht="14.25">
      <c r="F68" s="179"/>
      <c r="G68" s="198"/>
      <c r="N68" s="253"/>
    </row>
    <row r="69" spans="6:14" ht="14.25">
      <c r="F69" s="179"/>
      <c r="G69" s="198"/>
      <c r="N69" s="253"/>
    </row>
    <row r="70" spans="6:14" ht="14.25">
      <c r="F70" s="179"/>
      <c r="G70" s="198"/>
      <c r="N70" s="253"/>
    </row>
    <row r="71" spans="6:14" ht="14.25">
      <c r="F71" s="179"/>
      <c r="G71" s="198"/>
      <c r="N71" s="253"/>
    </row>
    <row r="72" spans="6:14" ht="14.25">
      <c r="F72" s="179"/>
      <c r="G72" s="198"/>
      <c r="N72" s="253"/>
    </row>
    <row r="73" spans="6:14" ht="14.25">
      <c r="F73" s="179"/>
      <c r="G73" s="198"/>
      <c r="N73" s="253"/>
    </row>
    <row r="74" spans="6:14" ht="14.25">
      <c r="F74" s="179"/>
      <c r="G74" s="198"/>
      <c r="N74" s="253"/>
    </row>
    <row r="75" spans="6:14" ht="14.25">
      <c r="F75" s="179"/>
      <c r="G75" s="179"/>
      <c r="N75" s="253"/>
    </row>
    <row r="76" spans="6:14" ht="14.25">
      <c r="F76" s="179"/>
      <c r="G76" s="179"/>
      <c r="N76" s="253"/>
    </row>
    <row r="77" spans="6:14" ht="14.25">
      <c r="F77" s="179"/>
      <c r="G77" s="179"/>
      <c r="N77" s="253"/>
    </row>
    <row r="78" spans="6:14" ht="14.25">
      <c r="F78" s="179"/>
      <c r="G78" s="179"/>
      <c r="N78" s="253"/>
    </row>
    <row r="79" spans="6:14" ht="14.25">
      <c r="F79" s="179"/>
      <c r="G79" s="179"/>
      <c r="N79" s="253"/>
    </row>
    <row r="80" spans="6:14" ht="14.25">
      <c r="F80" s="179"/>
      <c r="G80" s="179"/>
      <c r="N80" s="253"/>
    </row>
    <row r="81" spans="6:14" ht="14.25">
      <c r="F81" s="179"/>
      <c r="G81" s="179"/>
      <c r="N81" s="253"/>
    </row>
    <row r="82" spans="6:14" ht="14.25">
      <c r="F82" s="179"/>
      <c r="G82" s="179"/>
      <c r="N82" s="253"/>
    </row>
    <row r="83" spans="6:14" ht="14.25">
      <c r="F83" s="179"/>
      <c r="G83" s="179"/>
      <c r="N83" s="253"/>
    </row>
    <row r="84" spans="6:14" ht="14.25">
      <c r="F84" s="179"/>
      <c r="G84" s="179"/>
      <c r="N84" s="253"/>
    </row>
    <row r="85" spans="6:14" ht="14.25">
      <c r="F85" s="179"/>
      <c r="G85" s="179"/>
      <c r="N85" s="253"/>
    </row>
    <row r="86" spans="6:14" ht="14.25">
      <c r="F86" s="179"/>
      <c r="G86" s="179"/>
      <c r="N86" s="253"/>
    </row>
    <row r="87" spans="6:14" ht="14.25">
      <c r="F87" s="179"/>
      <c r="G87" s="179"/>
      <c r="N87" s="253"/>
    </row>
    <row r="88" spans="6:14" ht="14.25">
      <c r="F88" s="179"/>
      <c r="G88" s="179"/>
      <c r="N88" s="253"/>
    </row>
    <row r="89" spans="6:14" ht="14.25">
      <c r="F89" s="179"/>
      <c r="G89" s="179"/>
      <c r="N89" s="253"/>
    </row>
    <row r="90" spans="6:14" ht="14.25">
      <c r="F90" s="179"/>
      <c r="G90" s="179"/>
      <c r="N90" s="253"/>
    </row>
    <row r="91" spans="6:14" ht="14.25">
      <c r="F91" s="179"/>
      <c r="G91" s="179"/>
      <c r="N91" s="253"/>
    </row>
    <row r="92" spans="6:14">
      <c r="G92" s="179"/>
    </row>
    <row r="93" spans="6:14">
      <c r="G93" s="179"/>
    </row>
    <row r="94" spans="6:14">
      <c r="G94" s="179"/>
    </row>
    <row r="95" spans="6:14">
      <c r="G95" s="179"/>
    </row>
    <row r="96" spans="6:14">
      <c r="G96" s="179"/>
    </row>
    <row r="97" spans="7:7">
      <c r="G97" s="179"/>
    </row>
  </sheetData>
  <mergeCells count="15">
    <mergeCell ref="P4:P5"/>
    <mergeCell ref="B2:P2"/>
    <mergeCell ref="K4:K5"/>
    <mergeCell ref="H3:I3"/>
    <mergeCell ref="L4:N4"/>
    <mergeCell ref="B4:B5"/>
    <mergeCell ref="C4:C5"/>
    <mergeCell ref="D4:D5"/>
    <mergeCell ref="G4:G5"/>
    <mergeCell ref="F4:F5"/>
    <mergeCell ref="I4:I5"/>
    <mergeCell ref="J4:J5"/>
    <mergeCell ref="O4:O5"/>
    <mergeCell ref="H4:H5"/>
    <mergeCell ref="E4:E5"/>
  </mergeCells>
  <phoneticPr fontId="2" type="noConversion"/>
  <pageMargins left="0.56999999999999995" right="0.31496062992125984" top="0.35433070866141736" bottom="0.51181102362204722" header="0.39370078740157483" footer="0.31496062992125984"/>
  <pageSetup paperSize="9" scale="70" orientation="landscape" r:id="rId1"/>
  <headerFooter alignWithMargins="0">
    <oddFooter>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T92"/>
  <sheetViews>
    <sheetView topLeftCell="B16" zoomScaleNormal="100" workbookViewId="0">
      <selection activeCell="N52" sqref="N52"/>
    </sheetView>
  </sheetViews>
  <sheetFormatPr defaultColWidth="9.140625" defaultRowHeight="12.75"/>
  <cols>
    <col min="1" max="1" width="4.42578125" style="161" customWidth="1"/>
    <col min="2" max="2" width="4.7109375" style="9" customWidth="1"/>
    <col min="3" max="3" width="5.140625" style="9" customWidth="1"/>
    <col min="4" max="4" width="5" style="9" customWidth="1"/>
    <col min="5" max="5" width="5" style="161" customWidth="1"/>
    <col min="6" max="6" width="8.7109375" style="18" customWidth="1"/>
    <col min="7" max="7" width="8.7109375" style="166" customWidth="1"/>
    <col min="8" max="8" width="50.7109375" style="9" customWidth="1"/>
    <col min="9" max="10" width="14.7109375" style="9" customWidth="1"/>
    <col min="11" max="11" width="12.5703125" style="161" customWidth="1"/>
    <col min="12" max="13" width="14.7109375" style="161" customWidth="1"/>
    <col min="14" max="14" width="15.7109375" style="9" customWidth="1"/>
    <col min="15" max="16" width="7.7109375" style="214" customWidth="1"/>
    <col min="17" max="16384" width="9.140625" style="9"/>
  </cols>
  <sheetData>
    <row r="1" spans="1:18" ht="13.5" thickBot="1"/>
    <row r="2" spans="1:18" s="79" customFormat="1" ht="20.100000000000001" customHeight="1" thickTop="1" thickBot="1">
      <c r="A2" s="244"/>
      <c r="B2" s="1034" t="s">
        <v>109</v>
      </c>
      <c r="C2" s="1035"/>
      <c r="D2" s="1035"/>
      <c r="E2" s="1035"/>
      <c r="F2" s="1035"/>
      <c r="G2" s="1035"/>
      <c r="H2" s="1035"/>
      <c r="I2" s="1035"/>
      <c r="J2" s="1035"/>
      <c r="K2" s="1035"/>
      <c r="L2" s="1035"/>
      <c r="M2" s="1035"/>
      <c r="N2" s="1035"/>
      <c r="O2" s="1057"/>
      <c r="P2" s="1036"/>
      <c r="R2" s="244"/>
    </row>
    <row r="3" spans="1:18" s="1" customFormat="1" ht="8.1" customHeight="1" thickTop="1" thickBot="1">
      <c r="A3" s="158"/>
      <c r="E3" s="158"/>
      <c r="F3" s="2"/>
      <c r="G3" s="159"/>
      <c r="H3" s="1039"/>
      <c r="I3" s="1039"/>
      <c r="J3" s="139"/>
      <c r="K3" s="721"/>
      <c r="L3" s="74"/>
      <c r="M3" s="74"/>
      <c r="N3" s="74"/>
      <c r="O3" s="208"/>
      <c r="P3" s="208"/>
    </row>
    <row r="4" spans="1:18" s="1" customFormat="1" ht="39" customHeight="1">
      <c r="A4" s="158"/>
      <c r="B4" s="1043" t="s">
        <v>76</v>
      </c>
      <c r="C4" s="1045" t="s">
        <v>77</v>
      </c>
      <c r="D4" s="1047" t="s">
        <v>102</v>
      </c>
      <c r="E4" s="1062" t="s">
        <v>692</v>
      </c>
      <c r="F4" s="1058" t="s">
        <v>466</v>
      </c>
      <c r="G4" s="1048" t="s">
        <v>493</v>
      </c>
      <c r="H4" s="1050" t="s">
        <v>78</v>
      </c>
      <c r="I4" s="1059" t="s">
        <v>901</v>
      </c>
      <c r="J4" s="1060" t="s">
        <v>813</v>
      </c>
      <c r="K4" s="1037" t="s">
        <v>906</v>
      </c>
      <c r="L4" s="1040" t="s">
        <v>905</v>
      </c>
      <c r="M4" s="1041"/>
      <c r="N4" s="1042"/>
      <c r="O4" s="1054" t="s">
        <v>945</v>
      </c>
      <c r="P4" s="1032" t="s">
        <v>946</v>
      </c>
    </row>
    <row r="5" spans="1:18" s="158" customFormat="1" ht="27" customHeight="1">
      <c r="B5" s="1044"/>
      <c r="C5" s="1046"/>
      <c r="D5" s="1046"/>
      <c r="E5" s="1049"/>
      <c r="F5" s="1051"/>
      <c r="G5" s="1049"/>
      <c r="H5" s="1051"/>
      <c r="I5" s="1051"/>
      <c r="J5" s="1061"/>
      <c r="K5" s="1038"/>
      <c r="L5" s="373" t="s">
        <v>526</v>
      </c>
      <c r="M5" s="242" t="s">
        <v>527</v>
      </c>
      <c r="N5" s="764" t="s">
        <v>319</v>
      </c>
      <c r="O5" s="1055"/>
      <c r="P5" s="1033"/>
    </row>
    <row r="6" spans="1:18" s="2" customFormat="1" ht="12.95" customHeight="1">
      <c r="A6" s="159"/>
      <c r="B6" s="328">
        <v>1</v>
      </c>
      <c r="C6" s="195">
        <v>2</v>
      </c>
      <c r="D6" s="195">
        <v>3</v>
      </c>
      <c r="E6" s="195">
        <v>4</v>
      </c>
      <c r="F6" s="195">
        <v>5</v>
      </c>
      <c r="G6" s="195">
        <v>6</v>
      </c>
      <c r="H6" s="195">
        <v>7</v>
      </c>
      <c r="I6" s="195">
        <v>8</v>
      </c>
      <c r="J6" s="329">
        <v>9</v>
      </c>
      <c r="K6" s="502">
        <v>10</v>
      </c>
      <c r="L6" s="328">
        <v>11</v>
      </c>
      <c r="M6" s="195">
        <v>12</v>
      </c>
      <c r="N6" s="810" t="s">
        <v>694</v>
      </c>
      <c r="O6" s="929" t="s">
        <v>814</v>
      </c>
      <c r="P6" s="930" t="s">
        <v>944</v>
      </c>
    </row>
    <row r="7" spans="1:18" s="2" customFormat="1" ht="12.95" customHeight="1">
      <c r="A7" s="159"/>
      <c r="B7" s="6" t="s">
        <v>110</v>
      </c>
      <c r="C7" s="7" t="s">
        <v>79</v>
      </c>
      <c r="D7" s="7" t="s">
        <v>80</v>
      </c>
      <c r="E7" s="415" t="s">
        <v>693</v>
      </c>
      <c r="F7" s="5"/>
      <c r="G7" s="160"/>
      <c r="H7" s="5"/>
      <c r="I7" s="69"/>
      <c r="J7" s="366"/>
      <c r="K7" s="503"/>
      <c r="L7" s="4"/>
      <c r="M7" s="173"/>
      <c r="N7" s="815"/>
      <c r="O7" s="951"/>
      <c r="P7" s="952"/>
    </row>
    <row r="8" spans="1:18" s="2" customFormat="1" ht="12.95" customHeight="1">
      <c r="A8" s="159"/>
      <c r="B8" s="6"/>
      <c r="C8" s="7"/>
      <c r="D8" s="7"/>
      <c r="E8" s="7"/>
      <c r="F8" s="176">
        <v>600000</v>
      </c>
      <c r="G8" s="195"/>
      <c r="H8" s="426" t="s">
        <v>111</v>
      </c>
      <c r="I8" s="377">
        <f t="shared" ref="I8:L8" si="0">I9+I10+I11</f>
        <v>1040000</v>
      </c>
      <c r="J8" s="377">
        <f t="shared" ref="J8" si="1">J9+J10+J11</f>
        <v>1130000</v>
      </c>
      <c r="K8" s="504">
        <f t="shared" ref="K8" si="2">K9+K10+K11</f>
        <v>634712</v>
      </c>
      <c r="L8" s="485">
        <f t="shared" si="0"/>
        <v>862862</v>
      </c>
      <c r="M8" s="152">
        <f>M9+M10+M11</f>
        <v>210000</v>
      </c>
      <c r="N8" s="816">
        <f>N9+N10+N11</f>
        <v>1072862</v>
      </c>
      <c r="O8" s="953">
        <f t="shared" ref="O8:O50" si="3">IF(J8=0,"",N8/J8*100)</f>
        <v>94.943539823008848</v>
      </c>
      <c r="P8" s="954">
        <f>IF(K8=0,"",N8/K8*100)</f>
        <v>169.0313086880349</v>
      </c>
    </row>
    <row r="9" spans="1:18" s="2" customFormat="1" ht="12.95" customHeight="1">
      <c r="A9" s="159"/>
      <c r="B9" s="6"/>
      <c r="C9" s="7"/>
      <c r="D9" s="7"/>
      <c r="E9" s="7"/>
      <c r="F9" s="177">
        <v>600000</v>
      </c>
      <c r="G9" s="196"/>
      <c r="H9" s="427" t="s">
        <v>94</v>
      </c>
      <c r="I9" s="235">
        <v>995000</v>
      </c>
      <c r="J9" s="235">
        <v>1085000</v>
      </c>
      <c r="K9" s="505">
        <v>598862</v>
      </c>
      <c r="L9" s="357">
        <f>1027912-210000</f>
        <v>817912</v>
      </c>
      <c r="M9" s="151">
        <v>210000</v>
      </c>
      <c r="N9" s="817">
        <f t="shared" ref="N9:N11" si="4">SUM(L9:M9)</f>
        <v>1027912</v>
      </c>
      <c r="O9" s="955">
        <f t="shared" si="3"/>
        <v>94.738433179723501</v>
      </c>
      <c r="P9" s="956">
        <f t="shared" ref="P9:P53" si="5">IF(K9=0,"",N9/K9*100)</f>
        <v>171.64421853448709</v>
      </c>
    </row>
    <row r="10" spans="1:18" s="2" customFormat="1" ht="12.95" customHeight="1">
      <c r="A10" s="159"/>
      <c r="B10" s="6"/>
      <c r="C10" s="7"/>
      <c r="D10" s="7"/>
      <c r="E10" s="7"/>
      <c r="F10" s="177">
        <v>600000</v>
      </c>
      <c r="G10" s="196"/>
      <c r="H10" s="427" t="s">
        <v>95</v>
      </c>
      <c r="I10" s="235">
        <v>30000</v>
      </c>
      <c r="J10" s="235">
        <v>30000</v>
      </c>
      <c r="K10" s="505">
        <v>23850</v>
      </c>
      <c r="L10" s="357">
        <v>29950</v>
      </c>
      <c r="M10" s="151">
        <v>0</v>
      </c>
      <c r="N10" s="817">
        <f t="shared" si="4"/>
        <v>29950</v>
      </c>
      <c r="O10" s="955">
        <f t="shared" si="3"/>
        <v>99.833333333333329</v>
      </c>
      <c r="P10" s="956">
        <f t="shared" si="5"/>
        <v>125.57651991614256</v>
      </c>
    </row>
    <row r="11" spans="1:18" s="2" customFormat="1" ht="12.95" customHeight="1">
      <c r="A11" s="159"/>
      <c r="B11" s="6"/>
      <c r="C11" s="7"/>
      <c r="D11" s="7"/>
      <c r="E11" s="7"/>
      <c r="F11" s="177">
        <v>600000</v>
      </c>
      <c r="G11" s="196"/>
      <c r="H11" s="427" t="s">
        <v>112</v>
      </c>
      <c r="I11" s="235">
        <v>15000</v>
      </c>
      <c r="J11" s="235">
        <v>15000</v>
      </c>
      <c r="K11" s="505">
        <v>12000</v>
      </c>
      <c r="L11" s="357">
        <v>15000</v>
      </c>
      <c r="M11" s="151">
        <v>0</v>
      </c>
      <c r="N11" s="817">
        <f t="shared" si="4"/>
        <v>15000</v>
      </c>
      <c r="O11" s="955">
        <f t="shared" si="3"/>
        <v>100</v>
      </c>
      <c r="P11" s="956">
        <f t="shared" si="5"/>
        <v>125</v>
      </c>
    </row>
    <row r="12" spans="1:18" s="2" customFormat="1" ht="8.1" customHeight="1">
      <c r="A12" s="159"/>
      <c r="B12" s="6"/>
      <c r="C12" s="7"/>
      <c r="D12" s="7"/>
      <c r="E12" s="7"/>
      <c r="F12" s="176"/>
      <c r="G12" s="196"/>
      <c r="H12" s="366"/>
      <c r="I12" s="236"/>
      <c r="J12" s="236"/>
      <c r="K12" s="506"/>
      <c r="L12" s="484"/>
      <c r="M12" s="153"/>
      <c r="N12" s="818"/>
      <c r="O12" s="955" t="str">
        <f t="shared" si="3"/>
        <v/>
      </c>
      <c r="P12" s="956" t="str">
        <f t="shared" si="5"/>
        <v/>
      </c>
    </row>
    <row r="13" spans="1:18" s="1" customFormat="1" ht="12.95" customHeight="1">
      <c r="A13" s="158"/>
      <c r="B13" s="12"/>
      <c r="C13" s="8"/>
      <c r="D13" s="8"/>
      <c r="E13" s="8"/>
      <c r="F13" s="176">
        <v>611000</v>
      </c>
      <c r="G13" s="195"/>
      <c r="H13" s="25" t="s">
        <v>140</v>
      </c>
      <c r="I13" s="236">
        <f t="shared" ref="I13:L13" si="6">SUM(I14:I17)</f>
        <v>277380</v>
      </c>
      <c r="J13" s="236">
        <f t="shared" ref="J13" si="7">SUM(J14:J17)</f>
        <v>277380</v>
      </c>
      <c r="K13" s="506">
        <f t="shared" ref="K13" si="8">SUM(K14:K17)</f>
        <v>225988</v>
      </c>
      <c r="L13" s="482">
        <f t="shared" si="6"/>
        <v>257625</v>
      </c>
      <c r="M13" s="127">
        <f>SUM(M14:M17)</f>
        <v>0</v>
      </c>
      <c r="N13" s="819">
        <f>SUM(N14:N17)</f>
        <v>257625</v>
      </c>
      <c r="O13" s="953">
        <f t="shared" si="3"/>
        <v>92.878001297858532</v>
      </c>
      <c r="P13" s="954">
        <f t="shared" si="5"/>
        <v>113.9994158981893</v>
      </c>
    </row>
    <row r="14" spans="1:18" ht="12.95" customHeight="1">
      <c r="B14" s="10"/>
      <c r="C14" s="11"/>
      <c r="D14" s="11"/>
      <c r="E14" s="163"/>
      <c r="F14" s="177">
        <v>611100</v>
      </c>
      <c r="G14" s="196"/>
      <c r="H14" s="428" t="s">
        <v>161</v>
      </c>
      <c r="I14" s="235">
        <v>181730</v>
      </c>
      <c r="J14" s="235">
        <v>181730</v>
      </c>
      <c r="K14" s="505">
        <v>159804</v>
      </c>
      <c r="L14" s="357">
        <v>177691</v>
      </c>
      <c r="M14" s="126">
        <v>0</v>
      </c>
      <c r="N14" s="817">
        <f t="shared" ref="N14:N16" si="9">SUM(L14:M14)</f>
        <v>177691</v>
      </c>
      <c r="O14" s="955">
        <f t="shared" si="3"/>
        <v>97.777472073955877</v>
      </c>
      <c r="P14" s="956">
        <f t="shared" si="5"/>
        <v>111.19308653100049</v>
      </c>
    </row>
    <row r="15" spans="1:18" ht="12.95" customHeight="1">
      <c r="B15" s="10"/>
      <c r="C15" s="11"/>
      <c r="D15" s="11"/>
      <c r="E15" s="163"/>
      <c r="F15" s="177">
        <v>611200</v>
      </c>
      <c r="G15" s="196"/>
      <c r="H15" s="24" t="s">
        <v>162</v>
      </c>
      <c r="I15" s="235">
        <v>48620</v>
      </c>
      <c r="J15" s="235">
        <v>48620</v>
      </c>
      <c r="K15" s="505">
        <v>26937</v>
      </c>
      <c r="L15" s="357">
        <v>33927</v>
      </c>
      <c r="M15" s="126">
        <v>0</v>
      </c>
      <c r="N15" s="817">
        <f t="shared" si="9"/>
        <v>33927</v>
      </c>
      <c r="O15" s="955">
        <f t="shared" si="3"/>
        <v>69.779925956396553</v>
      </c>
      <c r="P15" s="956">
        <f t="shared" si="5"/>
        <v>125.94943757656753</v>
      </c>
    </row>
    <row r="16" spans="1:18" ht="12.95" customHeight="1">
      <c r="B16" s="10"/>
      <c r="C16" s="11"/>
      <c r="D16" s="11"/>
      <c r="E16" s="163"/>
      <c r="F16" s="177">
        <v>611200</v>
      </c>
      <c r="G16" s="196" t="s">
        <v>494</v>
      </c>
      <c r="H16" s="438" t="s">
        <v>854</v>
      </c>
      <c r="I16" s="235">
        <v>47030</v>
      </c>
      <c r="J16" s="235">
        <v>47030</v>
      </c>
      <c r="K16" s="505">
        <v>39247</v>
      </c>
      <c r="L16" s="357">
        <v>46007</v>
      </c>
      <c r="M16" s="126">
        <v>0</v>
      </c>
      <c r="N16" s="817">
        <f t="shared" si="9"/>
        <v>46007</v>
      </c>
      <c r="O16" s="955">
        <f t="shared" si="3"/>
        <v>97.824792685519881</v>
      </c>
      <c r="P16" s="956">
        <f t="shared" si="5"/>
        <v>117.22424643921829</v>
      </c>
      <c r="R16" s="50"/>
    </row>
    <row r="17" spans="1:17" ht="8.1" customHeight="1">
      <c r="B17" s="10"/>
      <c r="C17" s="11"/>
      <c r="D17" s="11"/>
      <c r="E17" s="163"/>
      <c r="F17" s="177"/>
      <c r="G17" s="196"/>
      <c r="H17" s="428"/>
      <c r="I17" s="236"/>
      <c r="J17" s="236"/>
      <c r="K17" s="506"/>
      <c r="L17" s="482"/>
      <c r="M17" s="127"/>
      <c r="N17" s="819"/>
      <c r="O17" s="955" t="str">
        <f t="shared" si="3"/>
        <v/>
      </c>
      <c r="P17" s="956" t="str">
        <f t="shared" si="5"/>
        <v/>
      </c>
    </row>
    <row r="18" spans="1:17" s="1" customFormat="1" ht="12.95" customHeight="1">
      <c r="A18" s="158"/>
      <c r="B18" s="12"/>
      <c r="C18" s="8"/>
      <c r="D18" s="8"/>
      <c r="E18" s="8"/>
      <c r="F18" s="176">
        <v>612000</v>
      </c>
      <c r="G18" s="196"/>
      <c r="H18" s="25" t="s">
        <v>139</v>
      </c>
      <c r="I18" s="236">
        <f>I19</f>
        <v>19120</v>
      </c>
      <c r="J18" s="236">
        <f>J19</f>
        <v>19120</v>
      </c>
      <c r="K18" s="506">
        <f t="shared" ref="K18" si="10">K19+K20</f>
        <v>16780</v>
      </c>
      <c r="L18" s="482">
        <f t="shared" ref="L18" si="11">L19+L20</f>
        <v>19057</v>
      </c>
      <c r="M18" s="127">
        <f>M19+M20</f>
        <v>0</v>
      </c>
      <c r="N18" s="819">
        <f>N19+N20</f>
        <v>19057</v>
      </c>
      <c r="O18" s="953">
        <f t="shared" si="3"/>
        <v>99.670502092050199</v>
      </c>
      <c r="P18" s="954">
        <f t="shared" si="5"/>
        <v>113.56972586412395</v>
      </c>
    </row>
    <row r="19" spans="1:17" ht="12.95" customHeight="1">
      <c r="B19" s="10"/>
      <c r="C19" s="11"/>
      <c r="D19" s="11"/>
      <c r="E19" s="163"/>
      <c r="F19" s="177">
        <v>612100</v>
      </c>
      <c r="G19" s="196"/>
      <c r="H19" s="430" t="s">
        <v>81</v>
      </c>
      <c r="I19" s="235">
        <v>19120</v>
      </c>
      <c r="J19" s="235">
        <v>19120</v>
      </c>
      <c r="K19" s="505">
        <v>16780</v>
      </c>
      <c r="L19" s="357">
        <v>19057</v>
      </c>
      <c r="M19" s="126">
        <v>0</v>
      </c>
      <c r="N19" s="817">
        <f>SUM(L19:M19)</f>
        <v>19057</v>
      </c>
      <c r="O19" s="955">
        <f t="shared" si="3"/>
        <v>99.670502092050199</v>
      </c>
      <c r="P19" s="956">
        <f t="shared" si="5"/>
        <v>113.56972586412395</v>
      </c>
    </row>
    <row r="20" spans="1:17" ht="8.1" customHeight="1">
      <c r="B20" s="10"/>
      <c r="C20" s="11"/>
      <c r="D20" s="11"/>
      <c r="E20" s="163"/>
      <c r="F20" s="177"/>
      <c r="G20" s="196"/>
      <c r="H20" s="24"/>
      <c r="I20" s="235"/>
      <c r="J20" s="235"/>
      <c r="K20" s="505"/>
      <c r="L20" s="358"/>
      <c r="M20" s="148"/>
      <c r="N20" s="817"/>
      <c r="O20" s="955" t="str">
        <f t="shared" si="3"/>
        <v/>
      </c>
      <c r="P20" s="956" t="str">
        <f t="shared" si="5"/>
        <v/>
      </c>
    </row>
    <row r="21" spans="1:17" s="1" customFormat="1" ht="12.95" customHeight="1">
      <c r="A21" s="158"/>
      <c r="B21" s="12"/>
      <c r="C21" s="8"/>
      <c r="D21" s="8"/>
      <c r="E21" s="8"/>
      <c r="F21" s="176">
        <v>613000</v>
      </c>
      <c r="G21" s="196"/>
      <c r="H21" s="25" t="s">
        <v>141</v>
      </c>
      <c r="I21" s="236">
        <f>SUM(I22:I32)</f>
        <v>344020</v>
      </c>
      <c r="J21" s="236">
        <f>SUM(J22:J32)</f>
        <v>344020</v>
      </c>
      <c r="K21" s="506">
        <f t="shared" ref="K21" si="12">SUM(K22:K32)</f>
        <v>238771</v>
      </c>
      <c r="L21" s="483">
        <f t="shared" ref="L21" si="13">SUM(L22:L32)</f>
        <v>323807</v>
      </c>
      <c r="M21" s="149">
        <f t="shared" ref="M21:N21" si="14">SUM(M22:M32)</f>
        <v>0</v>
      </c>
      <c r="N21" s="818">
        <f t="shared" si="14"/>
        <v>323807</v>
      </c>
      <c r="O21" s="953">
        <f t="shared" si="3"/>
        <v>94.124469507586767</v>
      </c>
      <c r="P21" s="954">
        <f t="shared" si="5"/>
        <v>135.61404023101633</v>
      </c>
    </row>
    <row r="22" spans="1:17" ht="12.95" customHeight="1">
      <c r="B22" s="10"/>
      <c r="C22" s="11"/>
      <c r="D22" s="11"/>
      <c r="E22" s="163"/>
      <c r="F22" s="177">
        <v>613100</v>
      </c>
      <c r="G22" s="196"/>
      <c r="H22" s="24" t="s">
        <v>82</v>
      </c>
      <c r="I22" s="235">
        <v>9000</v>
      </c>
      <c r="J22" s="235">
        <v>9000</v>
      </c>
      <c r="K22" s="505">
        <v>5796</v>
      </c>
      <c r="L22" s="358">
        <v>7625</v>
      </c>
      <c r="M22" s="148">
        <v>0</v>
      </c>
      <c r="N22" s="817">
        <f t="shared" ref="N22:N32" si="15">SUM(L22:M22)</f>
        <v>7625</v>
      </c>
      <c r="O22" s="955">
        <f t="shared" si="3"/>
        <v>84.722222222222214</v>
      </c>
      <c r="P22" s="956">
        <f t="shared" si="5"/>
        <v>131.55624568668048</v>
      </c>
    </row>
    <row r="23" spans="1:17" ht="12.95" customHeight="1">
      <c r="B23" s="10"/>
      <c r="C23" s="11"/>
      <c r="D23" s="11"/>
      <c r="E23" s="163"/>
      <c r="F23" s="177">
        <v>613200</v>
      </c>
      <c r="G23" s="196"/>
      <c r="H23" s="24" t="s">
        <v>83</v>
      </c>
      <c r="I23" s="235">
        <v>0</v>
      </c>
      <c r="J23" s="235">
        <v>0</v>
      </c>
      <c r="K23" s="505">
        <v>0</v>
      </c>
      <c r="L23" s="358">
        <v>0</v>
      </c>
      <c r="M23" s="148">
        <v>0</v>
      </c>
      <c r="N23" s="817">
        <f t="shared" si="15"/>
        <v>0</v>
      </c>
      <c r="O23" s="955" t="str">
        <f t="shared" si="3"/>
        <v/>
      </c>
      <c r="P23" s="956" t="str">
        <f t="shared" si="5"/>
        <v/>
      </c>
    </row>
    <row r="24" spans="1:17" ht="12.95" customHeight="1">
      <c r="B24" s="10"/>
      <c r="C24" s="11"/>
      <c r="D24" s="11"/>
      <c r="E24" s="163"/>
      <c r="F24" s="177">
        <v>613300</v>
      </c>
      <c r="G24" s="196"/>
      <c r="H24" s="428" t="s">
        <v>163</v>
      </c>
      <c r="I24" s="235">
        <v>5500</v>
      </c>
      <c r="J24" s="235">
        <v>5500</v>
      </c>
      <c r="K24" s="505">
        <v>3688</v>
      </c>
      <c r="L24" s="358">
        <v>4087</v>
      </c>
      <c r="M24" s="148">
        <v>0</v>
      </c>
      <c r="N24" s="817">
        <f t="shared" si="15"/>
        <v>4087</v>
      </c>
      <c r="O24" s="955">
        <f t="shared" si="3"/>
        <v>74.309090909090912</v>
      </c>
      <c r="P24" s="956">
        <f t="shared" si="5"/>
        <v>110.81887201735358</v>
      </c>
    </row>
    <row r="25" spans="1:17" ht="12.95" customHeight="1">
      <c r="B25" s="10"/>
      <c r="C25" s="11"/>
      <c r="D25" s="11"/>
      <c r="E25" s="163"/>
      <c r="F25" s="177">
        <v>613400</v>
      </c>
      <c r="G25" s="196"/>
      <c r="H25" s="24" t="s">
        <v>142</v>
      </c>
      <c r="I25" s="235">
        <v>1500</v>
      </c>
      <c r="J25" s="235">
        <v>1500</v>
      </c>
      <c r="K25" s="505">
        <v>0</v>
      </c>
      <c r="L25" s="358">
        <v>168</v>
      </c>
      <c r="M25" s="148">
        <v>0</v>
      </c>
      <c r="N25" s="817">
        <f t="shared" si="15"/>
        <v>168</v>
      </c>
      <c r="O25" s="955">
        <f t="shared" si="3"/>
        <v>11.200000000000001</v>
      </c>
      <c r="P25" s="956" t="str">
        <f t="shared" si="5"/>
        <v/>
      </c>
    </row>
    <row r="26" spans="1:17" ht="12.95" customHeight="1">
      <c r="B26" s="10"/>
      <c r="C26" s="11"/>
      <c r="D26" s="11"/>
      <c r="E26" s="163"/>
      <c r="F26" s="177">
        <v>613500</v>
      </c>
      <c r="G26" s="196"/>
      <c r="H26" s="24" t="s">
        <v>84</v>
      </c>
      <c r="I26" s="237">
        <v>220</v>
      </c>
      <c r="J26" s="237">
        <v>220</v>
      </c>
      <c r="K26" s="507">
        <v>328</v>
      </c>
      <c r="L26" s="359">
        <v>217</v>
      </c>
      <c r="M26" s="150">
        <v>0</v>
      </c>
      <c r="N26" s="817">
        <f t="shared" si="15"/>
        <v>217</v>
      </c>
      <c r="O26" s="955">
        <f t="shared" si="3"/>
        <v>98.636363636363626</v>
      </c>
      <c r="P26" s="956">
        <f t="shared" si="5"/>
        <v>66.158536585365852</v>
      </c>
    </row>
    <row r="27" spans="1:17" ht="12.95" customHeight="1">
      <c r="B27" s="10"/>
      <c r="C27" s="11"/>
      <c r="D27" s="11"/>
      <c r="E27" s="163"/>
      <c r="F27" s="177">
        <v>613600</v>
      </c>
      <c r="G27" s="196"/>
      <c r="H27" s="428" t="s">
        <v>164</v>
      </c>
      <c r="I27" s="235">
        <v>0</v>
      </c>
      <c r="J27" s="235">
        <v>0</v>
      </c>
      <c r="K27" s="505">
        <v>0</v>
      </c>
      <c r="L27" s="358">
        <v>0</v>
      </c>
      <c r="M27" s="148">
        <v>0</v>
      </c>
      <c r="N27" s="817">
        <f t="shared" si="15"/>
        <v>0</v>
      </c>
      <c r="O27" s="955" t="str">
        <f t="shared" si="3"/>
        <v/>
      </c>
      <c r="P27" s="956" t="str">
        <f t="shared" si="5"/>
        <v/>
      </c>
    </row>
    <row r="28" spans="1:17" ht="12.95" customHeight="1">
      <c r="B28" s="10"/>
      <c r="C28" s="11"/>
      <c r="D28" s="11"/>
      <c r="E28" s="163"/>
      <c r="F28" s="177">
        <v>613700</v>
      </c>
      <c r="G28" s="196"/>
      <c r="H28" s="24" t="s">
        <v>85</v>
      </c>
      <c r="I28" s="235">
        <v>6000</v>
      </c>
      <c r="J28" s="235">
        <v>6000</v>
      </c>
      <c r="K28" s="505">
        <v>1405</v>
      </c>
      <c r="L28" s="358">
        <v>5384</v>
      </c>
      <c r="M28" s="148">
        <v>0</v>
      </c>
      <c r="N28" s="817">
        <f t="shared" si="15"/>
        <v>5384</v>
      </c>
      <c r="O28" s="955">
        <f t="shared" si="3"/>
        <v>89.733333333333334</v>
      </c>
      <c r="P28" s="956">
        <f t="shared" si="5"/>
        <v>383.20284697508896</v>
      </c>
    </row>
    <row r="29" spans="1:17" ht="12.95" customHeight="1">
      <c r="B29" s="10"/>
      <c r="C29" s="11"/>
      <c r="D29" s="11"/>
      <c r="E29" s="163"/>
      <c r="F29" s="177">
        <v>613800</v>
      </c>
      <c r="G29" s="196"/>
      <c r="H29" s="24" t="s">
        <v>143</v>
      </c>
      <c r="I29" s="235">
        <v>0</v>
      </c>
      <c r="J29" s="235">
        <v>0</v>
      </c>
      <c r="K29" s="505">
        <v>545</v>
      </c>
      <c r="L29" s="357">
        <v>0</v>
      </c>
      <c r="M29" s="151">
        <v>0</v>
      </c>
      <c r="N29" s="817">
        <f t="shared" si="15"/>
        <v>0</v>
      </c>
      <c r="O29" s="955" t="str">
        <f t="shared" si="3"/>
        <v/>
      </c>
      <c r="P29" s="956">
        <f t="shared" si="5"/>
        <v>0</v>
      </c>
    </row>
    <row r="30" spans="1:17" ht="12.95" customHeight="1">
      <c r="B30" s="10"/>
      <c r="C30" s="11"/>
      <c r="D30" s="11"/>
      <c r="E30" s="163"/>
      <c r="F30" s="180">
        <v>613900</v>
      </c>
      <c r="G30" s="196"/>
      <c r="H30" s="431" t="s">
        <v>144</v>
      </c>
      <c r="I30" s="235">
        <v>195000</v>
      </c>
      <c r="J30" s="235">
        <v>195000</v>
      </c>
      <c r="K30" s="505">
        <v>91256</v>
      </c>
      <c r="L30" s="357">
        <v>187798</v>
      </c>
      <c r="M30" s="151">
        <v>0</v>
      </c>
      <c r="N30" s="817">
        <f t="shared" si="15"/>
        <v>187798</v>
      </c>
      <c r="O30" s="955">
        <f t="shared" si="3"/>
        <v>96.306666666666658</v>
      </c>
      <c r="P30" s="956">
        <f t="shared" si="5"/>
        <v>205.79249583589024</v>
      </c>
      <c r="Q30" s="45"/>
    </row>
    <row r="31" spans="1:17" s="161" customFormat="1" ht="12.95" customHeight="1">
      <c r="B31" s="162"/>
      <c r="C31" s="163"/>
      <c r="D31" s="163"/>
      <c r="E31" s="163"/>
      <c r="F31" s="177">
        <v>613900</v>
      </c>
      <c r="G31" s="196" t="s">
        <v>494</v>
      </c>
      <c r="H31" s="438" t="s">
        <v>855</v>
      </c>
      <c r="I31" s="235">
        <v>46800</v>
      </c>
      <c r="J31" s="235">
        <v>46800</v>
      </c>
      <c r="K31" s="505">
        <v>43493</v>
      </c>
      <c r="L31" s="357">
        <v>46528</v>
      </c>
      <c r="M31" s="151">
        <v>0</v>
      </c>
      <c r="N31" s="817">
        <f t="shared" ref="N31" si="16">SUM(L31:M31)</f>
        <v>46528</v>
      </c>
      <c r="O31" s="955">
        <f t="shared" si="3"/>
        <v>99.418803418803421</v>
      </c>
      <c r="P31" s="956">
        <f t="shared" si="5"/>
        <v>106.97813441243417</v>
      </c>
    </row>
    <row r="32" spans="1:17" ht="12.95" customHeight="1">
      <c r="B32" s="10"/>
      <c r="C32" s="11"/>
      <c r="D32" s="11"/>
      <c r="E32" s="163"/>
      <c r="F32" s="177">
        <v>613900</v>
      </c>
      <c r="G32" s="196" t="s">
        <v>744</v>
      </c>
      <c r="H32" s="438" t="s">
        <v>733</v>
      </c>
      <c r="I32" s="235">
        <v>80000</v>
      </c>
      <c r="J32" s="235">
        <v>80000</v>
      </c>
      <c r="K32" s="505">
        <v>92260</v>
      </c>
      <c r="L32" s="357">
        <v>72000</v>
      </c>
      <c r="M32" s="151">
        <v>0</v>
      </c>
      <c r="N32" s="817">
        <f t="shared" si="15"/>
        <v>72000</v>
      </c>
      <c r="O32" s="955">
        <f t="shared" si="3"/>
        <v>90</v>
      </c>
      <c r="P32" s="956">
        <f t="shared" si="5"/>
        <v>78.040320832430083</v>
      </c>
    </row>
    <row r="33" spans="1:20" ht="8.1" customHeight="1">
      <c r="B33" s="10"/>
      <c r="C33" s="11"/>
      <c r="D33" s="11"/>
      <c r="E33" s="163"/>
      <c r="F33" s="177"/>
      <c r="G33" s="196"/>
      <c r="H33" s="24"/>
      <c r="I33" s="235"/>
      <c r="J33" s="235"/>
      <c r="K33" s="505"/>
      <c r="L33" s="358"/>
      <c r="M33" s="148"/>
      <c r="N33" s="817"/>
      <c r="O33" s="955" t="str">
        <f t="shared" si="3"/>
        <v/>
      </c>
      <c r="P33" s="956" t="str">
        <f t="shared" si="5"/>
        <v/>
      </c>
    </row>
    <row r="34" spans="1:20" s="1" customFormat="1" ht="12.95" customHeight="1">
      <c r="A34" s="158"/>
      <c r="B34" s="12"/>
      <c r="C34" s="8"/>
      <c r="D34" s="8"/>
      <c r="E34" s="8"/>
      <c r="F34" s="176">
        <v>614000</v>
      </c>
      <c r="G34" s="196"/>
      <c r="H34" s="25" t="s">
        <v>165</v>
      </c>
      <c r="I34" s="236">
        <f t="shared" ref="I34:N34" si="17">SUM(I35:I41)</f>
        <v>1015000</v>
      </c>
      <c r="J34" s="236">
        <f t="shared" ref="J34" si="18">SUM(J35:J41)</f>
        <v>1015000</v>
      </c>
      <c r="K34" s="506">
        <f t="shared" ref="K34" si="19">SUM(K35:K41)</f>
        <v>710000</v>
      </c>
      <c r="L34" s="484">
        <f t="shared" si="17"/>
        <v>1015000</v>
      </c>
      <c r="M34" s="153">
        <f t="shared" si="17"/>
        <v>0</v>
      </c>
      <c r="N34" s="818">
        <f t="shared" si="17"/>
        <v>1015000</v>
      </c>
      <c r="O34" s="953">
        <f t="shared" si="3"/>
        <v>100</v>
      </c>
      <c r="P34" s="954">
        <f t="shared" si="5"/>
        <v>142.95774647887325</v>
      </c>
    </row>
    <row r="35" spans="1:20" s="54" customFormat="1" ht="12.95" customHeight="1">
      <c r="B35" s="55"/>
      <c r="C35" s="13"/>
      <c r="D35" s="13"/>
      <c r="E35" s="13"/>
      <c r="F35" s="180">
        <v>614100</v>
      </c>
      <c r="G35" s="196" t="s">
        <v>495</v>
      </c>
      <c r="H35" s="432" t="s">
        <v>196</v>
      </c>
      <c r="I35" s="237">
        <v>300000</v>
      </c>
      <c r="J35" s="237">
        <v>300000</v>
      </c>
      <c r="K35" s="507">
        <v>300000</v>
      </c>
      <c r="L35" s="359">
        <v>300000</v>
      </c>
      <c r="M35" s="222">
        <v>0</v>
      </c>
      <c r="N35" s="817">
        <f t="shared" ref="N35:N41" si="20">SUM(L35:M35)</f>
        <v>300000</v>
      </c>
      <c r="O35" s="955">
        <f t="shared" si="3"/>
        <v>100</v>
      </c>
      <c r="P35" s="956">
        <f t="shared" si="5"/>
        <v>100</v>
      </c>
    </row>
    <row r="36" spans="1:20" s="82" customFormat="1" ht="12.95" customHeight="1">
      <c r="B36" s="80"/>
      <c r="C36" s="81"/>
      <c r="D36" s="81"/>
      <c r="E36" s="81"/>
      <c r="F36" s="470">
        <v>614200</v>
      </c>
      <c r="G36" s="196" t="s">
        <v>496</v>
      </c>
      <c r="H36" s="433" t="s">
        <v>482</v>
      </c>
      <c r="I36" s="396">
        <v>440000</v>
      </c>
      <c r="J36" s="396">
        <v>440000</v>
      </c>
      <c r="K36" s="508">
        <v>150000</v>
      </c>
      <c r="L36" s="500">
        <v>440000</v>
      </c>
      <c r="M36" s="246">
        <v>0</v>
      </c>
      <c r="N36" s="817">
        <f t="shared" si="20"/>
        <v>440000</v>
      </c>
      <c r="O36" s="955">
        <f t="shared" si="3"/>
        <v>100</v>
      </c>
      <c r="P36" s="956">
        <f t="shared" si="5"/>
        <v>293.33333333333331</v>
      </c>
      <c r="T36" s="83"/>
    </row>
    <row r="37" spans="1:20" ht="12.95" customHeight="1">
      <c r="B37" s="10"/>
      <c r="C37" s="11"/>
      <c r="D37" s="11"/>
      <c r="E37" s="163"/>
      <c r="F37" s="180">
        <v>614300</v>
      </c>
      <c r="G37" s="196" t="s">
        <v>497</v>
      </c>
      <c r="H37" s="542" t="s">
        <v>773</v>
      </c>
      <c r="I37" s="237">
        <v>70000</v>
      </c>
      <c r="J37" s="237">
        <v>70000</v>
      </c>
      <c r="K37" s="507">
        <v>50000</v>
      </c>
      <c r="L37" s="360">
        <v>70000</v>
      </c>
      <c r="M37" s="224">
        <v>0</v>
      </c>
      <c r="N37" s="817">
        <f t="shared" si="20"/>
        <v>70000</v>
      </c>
      <c r="O37" s="955">
        <f t="shared" si="3"/>
        <v>100</v>
      </c>
      <c r="P37" s="956">
        <f t="shared" si="5"/>
        <v>140</v>
      </c>
    </row>
    <row r="38" spans="1:20" ht="12.95" customHeight="1">
      <c r="B38" s="10"/>
      <c r="C38" s="11"/>
      <c r="D38" s="11"/>
      <c r="E38" s="163"/>
      <c r="F38" s="180">
        <v>614300</v>
      </c>
      <c r="G38" s="196" t="s">
        <v>498</v>
      </c>
      <c r="H38" s="434" t="s">
        <v>174</v>
      </c>
      <c r="I38" s="237">
        <v>30000</v>
      </c>
      <c r="J38" s="237">
        <v>30000</v>
      </c>
      <c r="K38" s="507">
        <v>30000</v>
      </c>
      <c r="L38" s="360">
        <v>30000</v>
      </c>
      <c r="M38" s="224">
        <v>0</v>
      </c>
      <c r="N38" s="817">
        <f t="shared" si="20"/>
        <v>30000</v>
      </c>
      <c r="O38" s="955">
        <f t="shared" si="3"/>
        <v>100</v>
      </c>
      <c r="P38" s="956">
        <f t="shared" si="5"/>
        <v>100</v>
      </c>
    </row>
    <row r="39" spans="1:20" ht="12.95" customHeight="1">
      <c r="B39" s="10"/>
      <c r="C39" s="11"/>
      <c r="D39" s="11"/>
      <c r="E39" s="163"/>
      <c r="F39" s="180">
        <v>614300</v>
      </c>
      <c r="G39" s="196" t="s">
        <v>499</v>
      </c>
      <c r="H39" s="434" t="s">
        <v>176</v>
      </c>
      <c r="I39" s="237">
        <v>35000</v>
      </c>
      <c r="J39" s="237">
        <v>35000</v>
      </c>
      <c r="K39" s="507">
        <v>35000</v>
      </c>
      <c r="L39" s="360">
        <v>35000</v>
      </c>
      <c r="M39" s="224">
        <v>0</v>
      </c>
      <c r="N39" s="817">
        <f t="shared" si="20"/>
        <v>35000</v>
      </c>
      <c r="O39" s="955">
        <f t="shared" si="3"/>
        <v>100</v>
      </c>
      <c r="P39" s="956">
        <f t="shared" si="5"/>
        <v>100</v>
      </c>
    </row>
    <row r="40" spans="1:20" ht="12.95" customHeight="1">
      <c r="B40" s="10"/>
      <c r="C40" s="11"/>
      <c r="D40" s="11"/>
      <c r="E40" s="163"/>
      <c r="F40" s="177">
        <v>614300</v>
      </c>
      <c r="G40" s="196" t="s">
        <v>500</v>
      </c>
      <c r="H40" s="434" t="s">
        <v>480</v>
      </c>
      <c r="I40" s="237">
        <v>0</v>
      </c>
      <c r="J40" s="237">
        <v>0</v>
      </c>
      <c r="K40" s="507">
        <v>5000</v>
      </c>
      <c r="L40" s="360">
        <v>0</v>
      </c>
      <c r="M40" s="224">
        <v>0</v>
      </c>
      <c r="N40" s="817">
        <f t="shared" si="20"/>
        <v>0</v>
      </c>
      <c r="O40" s="955" t="str">
        <f t="shared" si="3"/>
        <v/>
      </c>
      <c r="P40" s="956">
        <f t="shared" si="5"/>
        <v>0</v>
      </c>
    </row>
    <row r="41" spans="1:20" ht="12.95" customHeight="1">
      <c r="B41" s="10"/>
      <c r="C41" s="11"/>
      <c r="D41" s="11"/>
      <c r="E41" s="163"/>
      <c r="F41" s="177">
        <v>614300</v>
      </c>
      <c r="G41" s="196" t="s">
        <v>750</v>
      </c>
      <c r="H41" s="438" t="s">
        <v>772</v>
      </c>
      <c r="I41" s="237">
        <v>140000</v>
      </c>
      <c r="J41" s="237">
        <v>140000</v>
      </c>
      <c r="K41" s="507">
        <v>140000</v>
      </c>
      <c r="L41" s="360">
        <v>140000</v>
      </c>
      <c r="M41" s="224">
        <v>0</v>
      </c>
      <c r="N41" s="817">
        <f t="shared" si="20"/>
        <v>140000</v>
      </c>
      <c r="O41" s="955">
        <f t="shared" si="3"/>
        <v>100</v>
      </c>
      <c r="P41" s="956">
        <f t="shared" si="5"/>
        <v>100</v>
      </c>
    </row>
    <row r="42" spans="1:20" ht="8.1" customHeight="1">
      <c r="B42" s="10"/>
      <c r="C42" s="11"/>
      <c r="D42" s="11"/>
      <c r="E42" s="163"/>
      <c r="F42" s="177"/>
      <c r="G42" s="196"/>
      <c r="H42" s="434"/>
      <c r="I42" s="237"/>
      <c r="J42" s="237"/>
      <c r="K42" s="507"/>
      <c r="L42" s="360"/>
      <c r="M42" s="154"/>
      <c r="N42" s="817"/>
      <c r="O42" s="955" t="str">
        <f t="shared" si="3"/>
        <v/>
      </c>
      <c r="P42" s="956" t="str">
        <f t="shared" si="5"/>
        <v/>
      </c>
    </row>
    <row r="43" spans="1:20" ht="12.95" customHeight="1">
      <c r="B43" s="10"/>
      <c r="C43" s="11"/>
      <c r="D43" s="11"/>
      <c r="E43" s="163"/>
      <c r="F43" s="176">
        <v>615000</v>
      </c>
      <c r="G43" s="196"/>
      <c r="H43" s="25" t="s">
        <v>87</v>
      </c>
      <c r="I43" s="236">
        <f t="shared" ref="I43:L43" si="21">I44</f>
        <v>230000</v>
      </c>
      <c r="J43" s="236">
        <f t="shared" si="21"/>
        <v>230000</v>
      </c>
      <c r="K43" s="506">
        <f t="shared" si="21"/>
        <v>628758</v>
      </c>
      <c r="L43" s="484">
        <f t="shared" si="21"/>
        <v>230000</v>
      </c>
      <c r="M43" s="153">
        <f>M44</f>
        <v>0</v>
      </c>
      <c r="N43" s="818">
        <f>N44</f>
        <v>230000</v>
      </c>
      <c r="O43" s="953">
        <f t="shared" si="3"/>
        <v>100</v>
      </c>
      <c r="P43" s="954">
        <f t="shared" si="5"/>
        <v>36.580051466541974</v>
      </c>
    </row>
    <row r="44" spans="1:20" ht="12.95" customHeight="1">
      <c r="B44" s="10"/>
      <c r="C44" s="11"/>
      <c r="D44" s="11"/>
      <c r="E44" s="163"/>
      <c r="F44" s="177">
        <v>615100</v>
      </c>
      <c r="G44" s="196"/>
      <c r="H44" s="430" t="s">
        <v>806</v>
      </c>
      <c r="I44" s="237">
        <v>230000</v>
      </c>
      <c r="J44" s="237">
        <v>230000</v>
      </c>
      <c r="K44" s="507">
        <v>628758</v>
      </c>
      <c r="L44" s="359">
        <v>230000</v>
      </c>
      <c r="M44" s="154"/>
      <c r="N44" s="817">
        <f>SUM(L44:M44)</f>
        <v>230000</v>
      </c>
      <c r="O44" s="955">
        <f t="shared" si="3"/>
        <v>100</v>
      </c>
      <c r="P44" s="956">
        <f t="shared" si="5"/>
        <v>36.580051466541974</v>
      </c>
    </row>
    <row r="45" spans="1:20" ht="8.1" customHeight="1">
      <c r="B45" s="10"/>
      <c r="C45" s="11"/>
      <c r="D45" s="11"/>
      <c r="E45" s="163"/>
      <c r="F45" s="177"/>
      <c r="G45" s="196"/>
      <c r="H45" s="431"/>
      <c r="I45" s="235"/>
      <c r="J45" s="235"/>
      <c r="K45" s="505"/>
      <c r="L45" s="357"/>
      <c r="M45" s="151"/>
      <c r="N45" s="817"/>
      <c r="O45" s="955" t="str">
        <f t="shared" si="3"/>
        <v/>
      </c>
      <c r="P45" s="956" t="str">
        <f t="shared" si="5"/>
        <v/>
      </c>
    </row>
    <row r="46" spans="1:20" ht="12.95" customHeight="1">
      <c r="B46" s="12"/>
      <c r="C46" s="8"/>
      <c r="D46" s="8"/>
      <c r="E46" s="8"/>
      <c r="F46" s="176">
        <v>821000</v>
      </c>
      <c r="G46" s="196"/>
      <c r="H46" s="25" t="s">
        <v>88</v>
      </c>
      <c r="I46" s="236">
        <f t="shared" ref="I46:L46" si="22">SUM(I47:I49)</f>
        <v>87000</v>
      </c>
      <c r="J46" s="236">
        <f t="shared" ref="J46" si="23">SUM(J47:J49)</f>
        <v>87000</v>
      </c>
      <c r="K46" s="506">
        <f t="shared" ref="K46" si="24">SUM(K47:K49)</f>
        <v>9751</v>
      </c>
      <c r="L46" s="484">
        <f t="shared" si="22"/>
        <v>25846</v>
      </c>
      <c r="M46" s="170">
        <f>SUM(M47:M49)</f>
        <v>0</v>
      </c>
      <c r="N46" s="774">
        <f>SUM(N47:N49)</f>
        <v>25846</v>
      </c>
      <c r="O46" s="953">
        <f t="shared" si="3"/>
        <v>29.708045977011494</v>
      </c>
      <c r="P46" s="954">
        <f t="shared" si="5"/>
        <v>265.05999384678495</v>
      </c>
    </row>
    <row r="47" spans="1:20" ht="12.95" customHeight="1">
      <c r="B47" s="10"/>
      <c r="C47" s="11"/>
      <c r="D47" s="11"/>
      <c r="E47" s="163"/>
      <c r="F47" s="177">
        <v>821200</v>
      </c>
      <c r="G47" s="196"/>
      <c r="H47" s="24" t="s">
        <v>89</v>
      </c>
      <c r="I47" s="235">
        <v>80000</v>
      </c>
      <c r="J47" s="235">
        <v>77800</v>
      </c>
      <c r="K47" s="505">
        <v>4229</v>
      </c>
      <c r="L47" s="357">
        <v>16757</v>
      </c>
      <c r="M47" s="157">
        <v>0</v>
      </c>
      <c r="N47" s="817">
        <f t="shared" ref="N47:N49" si="25">SUM(L47:M47)</f>
        <v>16757</v>
      </c>
      <c r="O47" s="955">
        <f t="shared" si="3"/>
        <v>21.538560411311053</v>
      </c>
      <c r="P47" s="956">
        <f t="shared" si="5"/>
        <v>396.24024592102154</v>
      </c>
    </row>
    <row r="48" spans="1:20" ht="12.95" customHeight="1">
      <c r="B48" s="10"/>
      <c r="C48" s="11"/>
      <c r="D48" s="11"/>
      <c r="E48" s="163"/>
      <c r="F48" s="177">
        <v>821300</v>
      </c>
      <c r="G48" s="196"/>
      <c r="H48" s="24" t="s">
        <v>90</v>
      </c>
      <c r="I48" s="237">
        <v>7000</v>
      </c>
      <c r="J48" s="237">
        <v>9200</v>
      </c>
      <c r="K48" s="507">
        <v>5522</v>
      </c>
      <c r="L48" s="360">
        <v>9089</v>
      </c>
      <c r="M48" s="171">
        <v>0</v>
      </c>
      <c r="N48" s="817">
        <f t="shared" si="25"/>
        <v>9089</v>
      </c>
      <c r="O48" s="955">
        <f t="shared" si="3"/>
        <v>98.793478260869563</v>
      </c>
      <c r="P48" s="956">
        <f t="shared" si="5"/>
        <v>164.59616081130025</v>
      </c>
    </row>
    <row r="49" spans="1:16" ht="12.95" customHeight="1">
      <c r="B49" s="10"/>
      <c r="C49" s="11"/>
      <c r="D49" s="11"/>
      <c r="E49" s="163"/>
      <c r="F49" s="177">
        <v>821500</v>
      </c>
      <c r="G49" s="196"/>
      <c r="H49" s="24" t="s">
        <v>426</v>
      </c>
      <c r="I49" s="230">
        <v>0</v>
      </c>
      <c r="J49" s="230">
        <v>0</v>
      </c>
      <c r="K49" s="352">
        <v>0</v>
      </c>
      <c r="L49" s="361">
        <v>0</v>
      </c>
      <c r="M49" s="71">
        <v>0</v>
      </c>
      <c r="N49" s="817">
        <f t="shared" si="25"/>
        <v>0</v>
      </c>
      <c r="O49" s="955" t="str">
        <f t="shared" si="3"/>
        <v/>
      </c>
      <c r="P49" s="956" t="str">
        <f t="shared" si="5"/>
        <v/>
      </c>
    </row>
    <row r="50" spans="1:16" s="1" customFormat="1" ht="8.1" customHeight="1">
      <c r="A50" s="158"/>
      <c r="B50" s="10"/>
      <c r="C50" s="11"/>
      <c r="D50" s="11"/>
      <c r="E50" s="163"/>
      <c r="F50" s="177"/>
      <c r="G50" s="196"/>
      <c r="H50" s="24"/>
      <c r="I50" s="232"/>
      <c r="J50" s="232"/>
      <c r="K50" s="509"/>
      <c r="L50" s="484"/>
      <c r="M50" s="165"/>
      <c r="N50" s="774"/>
      <c r="O50" s="955" t="str">
        <f t="shared" si="3"/>
        <v/>
      </c>
      <c r="P50" s="956" t="str">
        <f t="shared" si="5"/>
        <v/>
      </c>
    </row>
    <row r="51" spans="1:16" ht="12.95" customHeight="1">
      <c r="B51" s="12"/>
      <c r="C51" s="8"/>
      <c r="D51" s="8"/>
      <c r="E51" s="8"/>
      <c r="F51" s="176"/>
      <c r="G51" s="196"/>
      <c r="H51" s="25" t="s">
        <v>91</v>
      </c>
      <c r="I51" s="232">
        <v>7</v>
      </c>
      <c r="J51" s="232">
        <v>7</v>
      </c>
      <c r="K51" s="509">
        <v>7</v>
      </c>
      <c r="L51" s="484">
        <v>7</v>
      </c>
      <c r="M51" s="165"/>
      <c r="N51" s="774">
        <v>7</v>
      </c>
      <c r="O51" s="955"/>
      <c r="P51" s="956"/>
    </row>
    <row r="52" spans="1:16" ht="12.95" customHeight="1">
      <c r="B52" s="12"/>
      <c r="C52" s="8"/>
      <c r="D52" s="8"/>
      <c r="E52" s="8"/>
      <c r="F52" s="176"/>
      <c r="G52" s="196"/>
      <c r="H52" s="25" t="s">
        <v>105</v>
      </c>
      <c r="I52" s="165">
        <f t="shared" ref="I52:N52" si="26">I8+I13+I18+I21+I34+I43+I46</f>
        <v>3012520</v>
      </c>
      <c r="J52" s="367">
        <f t="shared" si="26"/>
        <v>3102520</v>
      </c>
      <c r="K52" s="356">
        <f t="shared" si="26"/>
        <v>2464760</v>
      </c>
      <c r="L52" s="370">
        <f t="shared" si="26"/>
        <v>2734197</v>
      </c>
      <c r="M52" s="165">
        <f t="shared" si="26"/>
        <v>210000</v>
      </c>
      <c r="N52" s="774">
        <f t="shared" si="26"/>
        <v>2944197</v>
      </c>
      <c r="O52" s="953">
        <f>IF(J52=0,"",N52/J52*100)</f>
        <v>94.89695473357142</v>
      </c>
      <c r="P52" s="954">
        <f t="shared" si="5"/>
        <v>119.45167075090475</v>
      </c>
    </row>
    <row r="53" spans="1:16" ht="12.95" customHeight="1">
      <c r="B53" s="12"/>
      <c r="C53" s="8"/>
      <c r="D53" s="8"/>
      <c r="E53" s="8"/>
      <c r="F53" s="176"/>
      <c r="G53" s="196"/>
      <c r="H53" s="8" t="s">
        <v>92</v>
      </c>
      <c r="I53" s="11"/>
      <c r="J53" s="24"/>
      <c r="K53" s="510"/>
      <c r="L53" s="162"/>
      <c r="M53" s="163"/>
      <c r="N53" s="820"/>
      <c r="O53" s="959"/>
      <c r="P53" s="960" t="str">
        <f t="shared" si="5"/>
        <v/>
      </c>
    </row>
    <row r="54" spans="1:16" ht="12.95" customHeight="1">
      <c r="B54" s="12"/>
      <c r="C54" s="8"/>
      <c r="D54" s="8"/>
      <c r="E54" s="8"/>
      <c r="F54" s="176"/>
      <c r="G54" s="196"/>
      <c r="H54" s="8" t="s">
        <v>93</v>
      </c>
      <c r="I54" s="11"/>
      <c r="J54" s="24"/>
      <c r="K54" s="510"/>
      <c r="L54" s="162"/>
      <c r="M54" s="163"/>
      <c r="N54" s="820"/>
      <c r="O54" s="959"/>
      <c r="P54" s="960"/>
    </row>
    <row r="55" spans="1:16" s="1" customFormat="1" ht="8.1" customHeight="1" thickBot="1">
      <c r="A55" s="158"/>
      <c r="B55" s="16"/>
      <c r="C55" s="17"/>
      <c r="D55" s="17"/>
      <c r="E55" s="17"/>
      <c r="F55" s="178"/>
      <c r="G55" s="197"/>
      <c r="H55" s="17"/>
      <c r="I55" s="17"/>
      <c r="J55" s="27"/>
      <c r="K55" s="511"/>
      <c r="L55" s="16"/>
      <c r="M55" s="17"/>
      <c r="N55" s="800"/>
      <c r="O55" s="957"/>
      <c r="P55" s="958"/>
    </row>
    <row r="56" spans="1:16" s="1" customFormat="1" ht="15.95" customHeight="1">
      <c r="A56" s="158"/>
      <c r="B56" s="9"/>
      <c r="C56" s="9"/>
      <c r="D56" s="9"/>
      <c r="E56" s="161"/>
      <c r="F56" s="179"/>
      <c r="G56" s="198"/>
      <c r="H56" s="9"/>
      <c r="I56" s="9"/>
      <c r="J56" s="9"/>
      <c r="K56" s="161"/>
      <c r="L56" s="161"/>
      <c r="M56" s="161"/>
      <c r="N56" s="253"/>
      <c r="O56" s="214"/>
      <c r="P56" s="214"/>
    </row>
    <row r="57" spans="1:16" s="1" customFormat="1" ht="15.95" customHeight="1">
      <c r="A57" s="158"/>
      <c r="B57" s="9"/>
      <c r="C57" s="9"/>
      <c r="D57" s="9"/>
      <c r="E57" s="161"/>
      <c r="F57" s="179"/>
      <c r="G57" s="198"/>
      <c r="H57" s="9"/>
      <c r="I57" s="9"/>
      <c r="J57" s="9"/>
      <c r="K57" s="161"/>
      <c r="L57" s="401"/>
      <c r="M57" s="161"/>
      <c r="N57" s="253"/>
      <c r="O57" s="214"/>
      <c r="P57" s="214"/>
    </row>
    <row r="58" spans="1:16" s="1" customFormat="1" ht="12.95" customHeight="1">
      <c r="A58" s="158"/>
      <c r="B58" s="9"/>
      <c r="C58" s="9"/>
      <c r="D58" s="9"/>
      <c r="E58" s="161"/>
      <c r="F58" s="179"/>
      <c r="G58" s="198"/>
      <c r="H58" s="9"/>
      <c r="I58" s="9"/>
      <c r="J58" s="9"/>
      <c r="K58" s="161"/>
      <c r="L58" s="161"/>
      <c r="M58" s="161"/>
      <c r="N58" s="253"/>
      <c r="O58" s="214"/>
      <c r="P58" s="214"/>
    </row>
    <row r="59" spans="1:16" ht="12.95" customHeight="1">
      <c r="F59" s="179"/>
      <c r="G59" s="198"/>
      <c r="N59" s="253"/>
    </row>
    <row r="60" spans="1:16" ht="14.25">
      <c r="F60" s="179"/>
      <c r="G60" s="198"/>
      <c r="N60" s="253"/>
    </row>
    <row r="61" spans="1:16" ht="14.25">
      <c r="F61" s="179"/>
      <c r="G61" s="198"/>
      <c r="N61" s="253"/>
    </row>
    <row r="62" spans="1:16" ht="14.25">
      <c r="F62" s="179"/>
      <c r="G62" s="198"/>
      <c r="N62" s="253"/>
    </row>
    <row r="63" spans="1:16" ht="14.25">
      <c r="F63" s="179"/>
      <c r="G63" s="198"/>
      <c r="N63" s="253"/>
    </row>
    <row r="64" spans="1:16" ht="14.25">
      <c r="F64" s="179"/>
      <c r="G64" s="198"/>
      <c r="N64" s="253"/>
    </row>
    <row r="65" spans="6:14" ht="14.25">
      <c r="F65" s="179"/>
      <c r="G65" s="198"/>
      <c r="N65" s="253"/>
    </row>
    <row r="66" spans="6:14" ht="14.25">
      <c r="F66" s="179"/>
      <c r="G66" s="198"/>
      <c r="N66" s="253"/>
    </row>
    <row r="67" spans="6:14" ht="14.25">
      <c r="F67" s="179"/>
      <c r="G67" s="198"/>
      <c r="N67" s="253"/>
    </row>
    <row r="68" spans="6:14" ht="14.25">
      <c r="F68" s="179"/>
      <c r="G68" s="198"/>
      <c r="N68" s="253"/>
    </row>
    <row r="69" spans="6:14" ht="14.25">
      <c r="F69" s="179"/>
      <c r="G69" s="198"/>
      <c r="N69" s="253"/>
    </row>
    <row r="70" spans="6:14" ht="14.25">
      <c r="F70" s="179"/>
      <c r="G70" s="179"/>
      <c r="N70" s="253"/>
    </row>
    <row r="71" spans="6:14" ht="14.25">
      <c r="F71" s="179"/>
      <c r="G71" s="179"/>
      <c r="N71" s="253"/>
    </row>
    <row r="72" spans="6:14" ht="14.25">
      <c r="F72" s="179"/>
      <c r="G72" s="179"/>
      <c r="N72" s="253"/>
    </row>
    <row r="73" spans="6:14" ht="14.25">
      <c r="F73" s="179"/>
      <c r="G73" s="179"/>
      <c r="N73" s="253"/>
    </row>
    <row r="74" spans="6:14" ht="14.25">
      <c r="F74" s="179"/>
      <c r="G74" s="179"/>
      <c r="N74" s="253"/>
    </row>
    <row r="75" spans="6:14" ht="14.25">
      <c r="F75" s="179"/>
      <c r="G75" s="179"/>
      <c r="N75" s="253"/>
    </row>
    <row r="76" spans="6:14" ht="14.25">
      <c r="F76" s="179"/>
      <c r="G76" s="179"/>
      <c r="N76" s="253"/>
    </row>
    <row r="77" spans="6:14" ht="14.25">
      <c r="F77" s="179"/>
      <c r="G77" s="179"/>
      <c r="N77" s="253"/>
    </row>
    <row r="78" spans="6:14" ht="14.25">
      <c r="F78" s="179"/>
      <c r="G78" s="179"/>
      <c r="N78" s="253"/>
    </row>
    <row r="79" spans="6:14" ht="14.25">
      <c r="F79" s="179"/>
      <c r="G79" s="179"/>
      <c r="N79" s="253"/>
    </row>
    <row r="80" spans="6:14" ht="14.25">
      <c r="F80" s="179"/>
      <c r="G80" s="179"/>
      <c r="N80" s="253"/>
    </row>
    <row r="81" spans="6:14" ht="14.25">
      <c r="F81" s="179"/>
      <c r="G81" s="179"/>
      <c r="N81" s="253"/>
    </row>
    <row r="82" spans="6:14" ht="14.25">
      <c r="F82" s="179"/>
      <c r="G82" s="179"/>
      <c r="N82" s="253"/>
    </row>
    <row r="83" spans="6:14" ht="14.25">
      <c r="F83" s="179"/>
      <c r="G83" s="179"/>
      <c r="N83" s="253"/>
    </row>
    <row r="84" spans="6:14" ht="14.25">
      <c r="F84" s="179"/>
      <c r="G84" s="179"/>
      <c r="N84" s="253"/>
    </row>
    <row r="85" spans="6:14" ht="14.25">
      <c r="F85" s="179"/>
      <c r="G85" s="179"/>
      <c r="N85" s="253"/>
    </row>
    <row r="86" spans="6:14" ht="14.25">
      <c r="F86" s="179"/>
      <c r="G86" s="179"/>
      <c r="N86" s="253"/>
    </row>
    <row r="87" spans="6:14">
      <c r="G87" s="179"/>
    </row>
    <row r="88" spans="6:14">
      <c r="G88" s="179"/>
    </row>
    <row r="89" spans="6:14">
      <c r="G89" s="179"/>
    </row>
    <row r="90" spans="6:14">
      <c r="G90" s="179"/>
    </row>
    <row r="91" spans="6:14">
      <c r="G91" s="179"/>
    </row>
    <row r="92" spans="6:14">
      <c r="G92" s="179"/>
    </row>
  </sheetData>
  <mergeCells count="15">
    <mergeCell ref="P4:P5"/>
    <mergeCell ref="B2:P2"/>
    <mergeCell ref="K4:K5"/>
    <mergeCell ref="O4:O5"/>
    <mergeCell ref="H4:H5"/>
    <mergeCell ref="H3:I3"/>
    <mergeCell ref="L4:N4"/>
    <mergeCell ref="B4:B5"/>
    <mergeCell ref="C4:C5"/>
    <mergeCell ref="D4:D5"/>
    <mergeCell ref="G4:G5"/>
    <mergeCell ref="F4:F5"/>
    <mergeCell ref="I4:I5"/>
    <mergeCell ref="J4:J5"/>
    <mergeCell ref="E4:E5"/>
  </mergeCells>
  <phoneticPr fontId="2" type="noConversion"/>
  <pageMargins left="0.78740157480314965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R96"/>
  <sheetViews>
    <sheetView zoomScaleNormal="100" workbookViewId="0">
      <selection activeCell="Q22" sqref="Q22"/>
    </sheetView>
  </sheetViews>
  <sheetFormatPr defaultColWidth="9.140625" defaultRowHeight="12.75"/>
  <cols>
    <col min="1" max="1" width="9.140625" style="161"/>
    <col min="2" max="2" width="4.7109375" style="9" customWidth="1"/>
    <col min="3" max="3" width="5.140625" style="9" customWidth="1"/>
    <col min="4" max="4" width="5" style="9" customWidth="1"/>
    <col min="5" max="5" width="5" style="161" customWidth="1"/>
    <col min="6" max="6" width="8.7109375" style="18" customWidth="1"/>
    <col min="7" max="7" width="8.7109375" style="166" customWidth="1"/>
    <col min="8" max="8" width="50.7109375" style="9" customWidth="1"/>
    <col min="9" max="11" width="14.7109375" style="9" customWidth="1"/>
    <col min="12" max="13" width="14.7109375" style="161" customWidth="1"/>
    <col min="14" max="14" width="15.7109375" style="9" customWidth="1"/>
    <col min="15" max="15" width="7.7109375" style="214" customWidth="1"/>
    <col min="16" max="16384" width="9.140625" style="9"/>
  </cols>
  <sheetData>
    <row r="1" spans="1:18" ht="13.5" thickBot="1"/>
    <row r="2" spans="1:18" s="244" customFormat="1" ht="20.100000000000001" customHeight="1" thickTop="1" thickBot="1">
      <c r="B2" s="1034" t="s">
        <v>661</v>
      </c>
      <c r="C2" s="1035"/>
      <c r="D2" s="1035"/>
      <c r="E2" s="1035"/>
      <c r="F2" s="1035"/>
      <c r="G2" s="1035"/>
      <c r="H2" s="1035"/>
      <c r="I2" s="1035"/>
      <c r="J2" s="1035"/>
      <c r="K2" s="1035"/>
      <c r="L2" s="1035"/>
      <c r="M2" s="1035"/>
      <c r="N2" s="1035"/>
      <c r="O2" s="245"/>
    </row>
    <row r="3" spans="1:18" s="1" customFormat="1" ht="8.1" customHeight="1" thickTop="1" thickBot="1">
      <c r="A3" s="158"/>
      <c r="E3" s="158"/>
      <c r="F3" s="2"/>
      <c r="G3" s="159"/>
      <c r="H3" s="1039"/>
      <c r="I3" s="1039"/>
      <c r="J3" s="139"/>
      <c r="K3" s="139"/>
      <c r="L3" s="74"/>
      <c r="M3" s="74"/>
      <c r="N3" s="74"/>
      <c r="O3" s="208"/>
    </row>
    <row r="4" spans="1:18" s="1" customFormat="1" ht="39" customHeight="1">
      <c r="A4" s="158"/>
      <c r="B4" s="1043" t="s">
        <v>76</v>
      </c>
      <c r="C4" s="1066" t="s">
        <v>77</v>
      </c>
      <c r="D4" s="1067" t="s">
        <v>102</v>
      </c>
      <c r="E4" s="1062" t="s">
        <v>692</v>
      </c>
      <c r="F4" s="1058" t="s">
        <v>466</v>
      </c>
      <c r="G4" s="1048" t="s">
        <v>493</v>
      </c>
      <c r="H4" s="1050" t="s">
        <v>78</v>
      </c>
      <c r="I4" s="1059" t="s">
        <v>721</v>
      </c>
      <c r="J4" s="1068" t="s">
        <v>722</v>
      </c>
      <c r="K4" s="1069" t="s">
        <v>719</v>
      </c>
      <c r="L4" s="1064" t="s">
        <v>720</v>
      </c>
      <c r="M4" s="1041"/>
      <c r="N4" s="1065"/>
      <c r="O4" s="1063" t="s">
        <v>723</v>
      </c>
      <c r="Q4" s="61"/>
    </row>
    <row r="5" spans="1:18" s="158" customFormat="1" ht="27" customHeight="1">
      <c r="B5" s="1044"/>
      <c r="C5" s="1049"/>
      <c r="D5" s="1049"/>
      <c r="E5" s="1049"/>
      <c r="F5" s="1051"/>
      <c r="G5" s="1049"/>
      <c r="H5" s="1051"/>
      <c r="I5" s="1051"/>
      <c r="J5" s="1051"/>
      <c r="K5" s="1061"/>
      <c r="L5" s="373" t="s">
        <v>526</v>
      </c>
      <c r="M5" s="242" t="s">
        <v>527</v>
      </c>
      <c r="N5" s="247" t="s">
        <v>319</v>
      </c>
      <c r="O5" s="1038"/>
    </row>
    <row r="6" spans="1:18" s="2" customFormat="1" ht="12.95" customHeight="1">
      <c r="A6" s="159"/>
      <c r="B6" s="328">
        <v>1</v>
      </c>
      <c r="C6" s="195">
        <v>2</v>
      </c>
      <c r="D6" s="195">
        <v>3</v>
      </c>
      <c r="E6" s="195">
        <v>4</v>
      </c>
      <c r="F6" s="195">
        <v>5</v>
      </c>
      <c r="G6" s="195">
        <v>6</v>
      </c>
      <c r="H6" s="195">
        <v>7</v>
      </c>
      <c r="I6" s="195">
        <v>8</v>
      </c>
      <c r="J6" s="195">
        <v>9</v>
      </c>
      <c r="K6" s="329">
        <v>10</v>
      </c>
      <c r="L6" s="328">
        <v>11</v>
      </c>
      <c r="M6" s="195">
        <v>12</v>
      </c>
      <c r="N6" s="343" t="s">
        <v>694</v>
      </c>
      <c r="O6" s="330">
        <v>14</v>
      </c>
    </row>
    <row r="7" spans="1:18" s="2" customFormat="1" ht="12.95" customHeight="1">
      <c r="A7" s="159"/>
      <c r="B7" s="6" t="s">
        <v>110</v>
      </c>
      <c r="C7" s="7" t="s">
        <v>79</v>
      </c>
      <c r="D7" s="7" t="s">
        <v>108</v>
      </c>
      <c r="E7" s="415" t="s">
        <v>693</v>
      </c>
      <c r="F7" s="5"/>
      <c r="G7" s="160"/>
      <c r="H7" s="5"/>
      <c r="I7" s="5"/>
      <c r="J7" s="5"/>
      <c r="K7" s="366"/>
      <c r="L7" s="4"/>
      <c r="M7" s="160"/>
      <c r="N7" s="248"/>
      <c r="O7" s="209"/>
    </row>
    <row r="8" spans="1:18" s="1" customFormat="1" ht="12.95" customHeight="1">
      <c r="A8" s="158"/>
      <c r="B8" s="12"/>
      <c r="C8" s="8"/>
      <c r="D8" s="8"/>
      <c r="E8" s="8"/>
      <c r="F8" s="176">
        <v>611000</v>
      </c>
      <c r="G8" s="195"/>
      <c r="H8" s="8" t="s">
        <v>140</v>
      </c>
      <c r="I8" s="227">
        <f t="shared" ref="I8:J8" si="0">SUM(I9:I12)</f>
        <v>0</v>
      </c>
      <c r="J8" s="226">
        <f t="shared" si="0"/>
        <v>0</v>
      </c>
      <c r="K8" s="353">
        <v>0</v>
      </c>
      <c r="L8" s="226">
        <f t="shared" ref="L8" si="1">SUM(L9:L12)</f>
        <v>0</v>
      </c>
      <c r="M8" s="125">
        <f>SUM(M9:M12)</f>
        <v>0</v>
      </c>
      <c r="N8" s="249">
        <f>SUM(N9:N12)</f>
        <v>0</v>
      </c>
      <c r="O8" s="210" t="str">
        <f>IF(J8=0,"",N8/J8*100)</f>
        <v/>
      </c>
    </row>
    <row r="9" spans="1:18" ht="12.95" customHeight="1">
      <c r="B9" s="10"/>
      <c r="C9" s="11"/>
      <c r="D9" s="11"/>
      <c r="E9" s="163"/>
      <c r="F9" s="177">
        <v>611100</v>
      </c>
      <c r="G9" s="196"/>
      <c r="H9" s="20" t="s">
        <v>161</v>
      </c>
      <c r="I9" s="230">
        <v>0</v>
      </c>
      <c r="J9" s="225">
        <v>0</v>
      </c>
      <c r="K9" s="352">
        <v>0</v>
      </c>
      <c r="L9" s="225">
        <v>0</v>
      </c>
      <c r="M9" s="124">
        <v>0</v>
      </c>
      <c r="N9" s="250">
        <f>SUM(L9:M9)</f>
        <v>0</v>
      </c>
      <c r="O9" s="211" t="str">
        <f>IF(J9=0,"",N9/J9*100)</f>
        <v/>
      </c>
    </row>
    <row r="10" spans="1:18" ht="12.95" customHeight="1">
      <c r="B10" s="10"/>
      <c r="C10" s="11"/>
      <c r="D10" s="11"/>
      <c r="E10" s="163"/>
      <c r="F10" s="177">
        <v>611200</v>
      </c>
      <c r="G10" s="196"/>
      <c r="H10" s="11" t="s">
        <v>162</v>
      </c>
      <c r="I10" s="230">
        <v>0</v>
      </c>
      <c r="J10" s="225">
        <v>0</v>
      </c>
      <c r="K10" s="352">
        <v>0</v>
      </c>
      <c r="L10" s="225">
        <v>0</v>
      </c>
      <c r="M10" s="124">
        <v>0</v>
      </c>
      <c r="N10" s="250">
        <f t="shared" ref="N10:N11" si="2">SUM(L10:M10)</f>
        <v>0</v>
      </c>
      <c r="O10" s="211" t="str">
        <f t="shared" ref="O10:O33" si="3">IF(J10=0,"",N10/J10*100)</f>
        <v/>
      </c>
    </row>
    <row r="11" spans="1:18" ht="12.95" customHeight="1">
      <c r="B11" s="10"/>
      <c r="C11" s="11"/>
      <c r="D11" s="11"/>
      <c r="E11" s="163"/>
      <c r="F11" s="177">
        <v>611200</v>
      </c>
      <c r="G11" s="196"/>
      <c r="H11" s="120" t="s">
        <v>434</v>
      </c>
      <c r="I11" s="230">
        <f t="shared" ref="I11" si="4">SUM(G11:H11)</f>
        <v>0</v>
      </c>
      <c r="J11" s="225">
        <v>0</v>
      </c>
      <c r="K11" s="352">
        <v>0</v>
      </c>
      <c r="L11" s="225">
        <v>0</v>
      </c>
      <c r="M11" s="124">
        <v>0</v>
      </c>
      <c r="N11" s="250">
        <f t="shared" si="2"/>
        <v>0</v>
      </c>
      <c r="O11" s="211" t="str">
        <f t="shared" si="3"/>
        <v/>
      </c>
      <c r="Q11" s="50"/>
    </row>
    <row r="12" spans="1:18" ht="8.1" customHeight="1">
      <c r="B12" s="10"/>
      <c r="C12" s="11"/>
      <c r="D12" s="11"/>
      <c r="E12" s="163"/>
      <c r="F12" s="177"/>
      <c r="G12" s="196"/>
      <c r="H12" s="20"/>
      <c r="I12" s="230"/>
      <c r="J12" s="225"/>
      <c r="K12" s="352"/>
      <c r="L12" s="225"/>
      <c r="M12" s="124"/>
      <c r="N12" s="250"/>
      <c r="O12" s="211" t="str">
        <f t="shared" si="3"/>
        <v/>
      </c>
    </row>
    <row r="13" spans="1:18" s="1" customFormat="1" ht="12.95" customHeight="1">
      <c r="A13" s="158"/>
      <c r="B13" s="12"/>
      <c r="C13" s="8"/>
      <c r="D13" s="8"/>
      <c r="E13" s="8"/>
      <c r="F13" s="176">
        <v>612000</v>
      </c>
      <c r="G13" s="195"/>
      <c r="H13" s="8" t="s">
        <v>139</v>
      </c>
      <c r="I13" s="227">
        <f t="shared" ref="I13:L13" si="5">I14</f>
        <v>0</v>
      </c>
      <c r="J13" s="226">
        <f t="shared" si="5"/>
        <v>0</v>
      </c>
      <c r="K13" s="353">
        <v>0</v>
      </c>
      <c r="L13" s="226">
        <f t="shared" si="5"/>
        <v>0</v>
      </c>
      <c r="M13" s="125">
        <f>M14</f>
        <v>0</v>
      </c>
      <c r="N13" s="249">
        <f>N14</f>
        <v>0</v>
      </c>
      <c r="O13" s="210" t="str">
        <f t="shared" si="3"/>
        <v/>
      </c>
      <c r="R13" s="54"/>
    </row>
    <row r="14" spans="1:18" ht="12.95" customHeight="1">
      <c r="B14" s="10"/>
      <c r="C14" s="11"/>
      <c r="D14" s="11"/>
      <c r="E14" s="163"/>
      <c r="F14" s="177">
        <v>612100</v>
      </c>
      <c r="G14" s="196"/>
      <c r="H14" s="13" t="s">
        <v>81</v>
      </c>
      <c r="I14" s="230">
        <v>0</v>
      </c>
      <c r="J14" s="225">
        <v>0</v>
      </c>
      <c r="K14" s="352">
        <v>0</v>
      </c>
      <c r="L14" s="225">
        <v>0</v>
      </c>
      <c r="M14" s="124">
        <v>0</v>
      </c>
      <c r="N14" s="250">
        <f>SUM(L14:M14)</f>
        <v>0</v>
      </c>
      <c r="O14" s="211" t="str">
        <f t="shared" si="3"/>
        <v/>
      </c>
      <c r="R14" s="45"/>
    </row>
    <row r="15" spans="1:18" ht="8.1" customHeight="1">
      <c r="B15" s="10"/>
      <c r="C15" s="11"/>
      <c r="D15" s="11"/>
      <c r="E15" s="163"/>
      <c r="F15" s="177"/>
      <c r="G15" s="196"/>
      <c r="H15" s="11"/>
      <c r="I15" s="230"/>
      <c r="J15" s="220"/>
      <c r="K15" s="352"/>
      <c r="L15" s="220"/>
      <c r="M15" s="156"/>
      <c r="N15" s="251"/>
      <c r="O15" s="211" t="str">
        <f t="shared" si="3"/>
        <v/>
      </c>
    </row>
    <row r="16" spans="1:18" s="1" customFormat="1" ht="12.95" customHeight="1">
      <c r="A16" s="158"/>
      <c r="B16" s="12"/>
      <c r="C16" s="8"/>
      <c r="D16" s="8"/>
      <c r="E16" s="8"/>
      <c r="F16" s="176">
        <v>613000</v>
      </c>
      <c r="G16" s="195"/>
      <c r="H16" s="8" t="s">
        <v>141</v>
      </c>
      <c r="I16" s="227">
        <f t="shared" ref="I16:J16" si="6">SUM(I17:I26)</f>
        <v>0</v>
      </c>
      <c r="J16" s="221">
        <f t="shared" si="6"/>
        <v>0</v>
      </c>
      <c r="K16" s="353">
        <v>0</v>
      </c>
      <c r="L16" s="221">
        <f t="shared" ref="L16" si="7">SUM(L17:L26)</f>
        <v>0</v>
      </c>
      <c r="M16" s="169">
        <f>SUM(M17:M26)</f>
        <v>0</v>
      </c>
      <c r="N16" s="252">
        <f>SUM(N17:N26)</f>
        <v>0</v>
      </c>
      <c r="O16" s="210" t="str">
        <f t="shared" si="3"/>
        <v/>
      </c>
    </row>
    <row r="17" spans="1:16" ht="12.95" customHeight="1">
      <c r="B17" s="10"/>
      <c r="C17" s="11"/>
      <c r="D17" s="11"/>
      <c r="E17" s="163"/>
      <c r="F17" s="177">
        <v>613100</v>
      </c>
      <c r="G17" s="196"/>
      <c r="H17" s="11" t="s">
        <v>82</v>
      </c>
      <c r="I17" s="230">
        <v>0</v>
      </c>
      <c r="J17" s="220">
        <v>0</v>
      </c>
      <c r="K17" s="352">
        <v>0</v>
      </c>
      <c r="L17" s="220">
        <v>0</v>
      </c>
      <c r="M17" s="231">
        <v>0</v>
      </c>
      <c r="N17" s="250">
        <f t="shared" ref="N17:N26" si="8">SUM(L17:M17)</f>
        <v>0</v>
      </c>
      <c r="O17" s="211" t="str">
        <f t="shared" si="3"/>
        <v/>
      </c>
    </row>
    <row r="18" spans="1:16" ht="12.95" customHeight="1">
      <c r="B18" s="10"/>
      <c r="C18" s="11"/>
      <c r="D18" s="11"/>
      <c r="E18" s="163"/>
      <c r="F18" s="177">
        <v>613200</v>
      </c>
      <c r="G18" s="196"/>
      <c r="H18" s="11" t="s">
        <v>83</v>
      </c>
      <c r="I18" s="230">
        <f t="shared" ref="I18:I26" si="9">SUM(G18:H18)</f>
        <v>0</v>
      </c>
      <c r="J18" s="220">
        <v>0</v>
      </c>
      <c r="K18" s="352">
        <v>0</v>
      </c>
      <c r="L18" s="220">
        <v>0</v>
      </c>
      <c r="M18" s="231">
        <v>0</v>
      </c>
      <c r="N18" s="250">
        <f t="shared" si="8"/>
        <v>0</v>
      </c>
      <c r="O18" s="211" t="str">
        <f t="shared" si="3"/>
        <v/>
      </c>
    </row>
    <row r="19" spans="1:16" ht="12.95" customHeight="1">
      <c r="B19" s="10"/>
      <c r="C19" s="11"/>
      <c r="D19" s="11"/>
      <c r="E19" s="163"/>
      <c r="F19" s="177">
        <v>613300</v>
      </c>
      <c r="G19" s="196"/>
      <c r="H19" s="20" t="s">
        <v>163</v>
      </c>
      <c r="I19" s="230">
        <v>0</v>
      </c>
      <c r="J19" s="220">
        <v>0</v>
      </c>
      <c r="K19" s="352">
        <v>0</v>
      </c>
      <c r="L19" s="220">
        <v>0</v>
      </c>
      <c r="M19" s="231">
        <v>0</v>
      </c>
      <c r="N19" s="250">
        <f t="shared" si="8"/>
        <v>0</v>
      </c>
      <c r="O19" s="211" t="str">
        <f t="shared" si="3"/>
        <v/>
      </c>
    </row>
    <row r="20" spans="1:16" ht="12.95" customHeight="1">
      <c r="B20" s="10"/>
      <c r="C20" s="11"/>
      <c r="D20" s="11"/>
      <c r="E20" s="163"/>
      <c r="F20" s="177">
        <v>613400</v>
      </c>
      <c r="G20" s="196"/>
      <c r="H20" s="11" t="s">
        <v>142</v>
      </c>
      <c r="I20" s="230">
        <f t="shared" si="9"/>
        <v>0</v>
      </c>
      <c r="J20" s="220">
        <v>0</v>
      </c>
      <c r="K20" s="352">
        <v>0</v>
      </c>
      <c r="L20" s="220">
        <v>0</v>
      </c>
      <c r="M20" s="231">
        <v>0</v>
      </c>
      <c r="N20" s="250">
        <f t="shared" si="8"/>
        <v>0</v>
      </c>
      <c r="O20" s="211" t="str">
        <f t="shared" si="3"/>
        <v/>
      </c>
    </row>
    <row r="21" spans="1:16" ht="12.95" customHeight="1">
      <c r="B21" s="10"/>
      <c r="C21" s="11"/>
      <c r="D21" s="11"/>
      <c r="E21" s="163"/>
      <c r="F21" s="177">
        <v>613500</v>
      </c>
      <c r="G21" s="196"/>
      <c r="H21" s="11" t="s">
        <v>84</v>
      </c>
      <c r="I21" s="230">
        <f t="shared" si="9"/>
        <v>0</v>
      </c>
      <c r="J21" s="220">
        <v>0</v>
      </c>
      <c r="K21" s="352">
        <v>0</v>
      </c>
      <c r="L21" s="220">
        <v>0</v>
      </c>
      <c r="M21" s="231">
        <v>0</v>
      </c>
      <c r="N21" s="250">
        <f t="shared" si="8"/>
        <v>0</v>
      </c>
      <c r="O21" s="211" t="str">
        <f t="shared" si="3"/>
        <v/>
      </c>
    </row>
    <row r="22" spans="1:16" ht="12.95" customHeight="1">
      <c r="B22" s="10"/>
      <c r="C22" s="11"/>
      <c r="D22" s="11"/>
      <c r="E22" s="163"/>
      <c r="F22" s="177">
        <v>613600</v>
      </c>
      <c r="G22" s="196"/>
      <c r="H22" s="20" t="s">
        <v>164</v>
      </c>
      <c r="I22" s="230">
        <f t="shared" si="9"/>
        <v>0</v>
      </c>
      <c r="J22" s="220">
        <v>0</v>
      </c>
      <c r="K22" s="352">
        <v>0</v>
      </c>
      <c r="L22" s="220">
        <v>0</v>
      </c>
      <c r="M22" s="231">
        <v>0</v>
      </c>
      <c r="N22" s="250">
        <f t="shared" si="8"/>
        <v>0</v>
      </c>
      <c r="O22" s="211" t="str">
        <f t="shared" si="3"/>
        <v/>
      </c>
    </row>
    <row r="23" spans="1:16" ht="12.95" customHeight="1">
      <c r="B23" s="10"/>
      <c r="C23" s="11"/>
      <c r="D23" s="11"/>
      <c r="E23" s="163"/>
      <c r="F23" s="177">
        <v>613700</v>
      </c>
      <c r="G23" s="196"/>
      <c r="H23" s="11" t="s">
        <v>85</v>
      </c>
      <c r="I23" s="230">
        <v>0</v>
      </c>
      <c r="J23" s="220">
        <v>0</v>
      </c>
      <c r="K23" s="352">
        <v>0</v>
      </c>
      <c r="L23" s="220">
        <v>0</v>
      </c>
      <c r="M23" s="231">
        <v>0</v>
      </c>
      <c r="N23" s="250">
        <f t="shared" si="8"/>
        <v>0</v>
      </c>
      <c r="O23" s="211" t="str">
        <f t="shared" si="3"/>
        <v/>
      </c>
    </row>
    <row r="24" spans="1:16" ht="12.95" customHeight="1">
      <c r="B24" s="10"/>
      <c r="C24" s="11"/>
      <c r="D24" s="11"/>
      <c r="E24" s="163"/>
      <c r="F24" s="177">
        <v>613800</v>
      </c>
      <c r="G24" s="196"/>
      <c r="H24" s="11" t="s">
        <v>143</v>
      </c>
      <c r="I24" s="230">
        <f t="shared" si="9"/>
        <v>0</v>
      </c>
      <c r="J24" s="220">
        <v>0</v>
      </c>
      <c r="K24" s="352">
        <v>0</v>
      </c>
      <c r="L24" s="220">
        <v>0</v>
      </c>
      <c r="M24" s="231">
        <v>0</v>
      </c>
      <c r="N24" s="250">
        <f t="shared" si="8"/>
        <v>0</v>
      </c>
      <c r="O24" s="211" t="str">
        <f t="shared" si="3"/>
        <v/>
      </c>
      <c r="P24" s="45"/>
    </row>
    <row r="25" spans="1:16" ht="12.95" customHeight="1">
      <c r="B25" s="10"/>
      <c r="C25" s="11"/>
      <c r="D25" s="11"/>
      <c r="E25" s="163"/>
      <c r="F25" s="177">
        <v>613900</v>
      </c>
      <c r="G25" s="196"/>
      <c r="H25" s="11" t="s">
        <v>144</v>
      </c>
      <c r="I25" s="230">
        <v>0</v>
      </c>
      <c r="J25" s="225">
        <v>0</v>
      </c>
      <c r="K25" s="352">
        <v>0</v>
      </c>
      <c r="L25" s="225">
        <v>0</v>
      </c>
      <c r="M25" s="235">
        <v>0</v>
      </c>
      <c r="N25" s="250">
        <f t="shared" si="8"/>
        <v>0</v>
      </c>
      <c r="O25" s="211" t="str">
        <f t="shared" si="3"/>
        <v/>
      </c>
    </row>
    <row r="26" spans="1:16" ht="12.95" customHeight="1">
      <c r="B26" s="10"/>
      <c r="C26" s="11"/>
      <c r="D26" s="11"/>
      <c r="E26" s="163"/>
      <c r="F26" s="177">
        <v>613900</v>
      </c>
      <c r="G26" s="196"/>
      <c r="H26" s="120" t="s">
        <v>435</v>
      </c>
      <c r="I26" s="230">
        <f t="shared" si="9"/>
        <v>0</v>
      </c>
      <c r="J26" s="220">
        <v>0</v>
      </c>
      <c r="K26" s="352">
        <v>0</v>
      </c>
      <c r="L26" s="220">
        <v>0</v>
      </c>
      <c r="M26" s="231">
        <v>0</v>
      </c>
      <c r="N26" s="250">
        <f t="shared" si="8"/>
        <v>0</v>
      </c>
      <c r="O26" s="211" t="str">
        <f t="shared" si="3"/>
        <v/>
      </c>
    </row>
    <row r="27" spans="1:16" ht="8.1" customHeight="1">
      <c r="B27" s="10"/>
      <c r="C27" s="11"/>
      <c r="D27" s="11"/>
      <c r="E27" s="163"/>
      <c r="F27" s="177"/>
      <c r="G27" s="196"/>
      <c r="H27" s="11"/>
      <c r="I27" s="227"/>
      <c r="J27" s="223"/>
      <c r="K27" s="353"/>
      <c r="L27" s="223"/>
      <c r="M27" s="165"/>
      <c r="N27" s="252"/>
      <c r="O27" s="211" t="str">
        <f t="shared" si="3"/>
        <v/>
      </c>
    </row>
    <row r="28" spans="1:16" s="1" customFormat="1" ht="12.95" customHeight="1">
      <c r="A28" s="158"/>
      <c r="B28" s="12"/>
      <c r="C28" s="8"/>
      <c r="D28" s="8"/>
      <c r="E28" s="414"/>
      <c r="F28" s="187">
        <v>614000</v>
      </c>
      <c r="G28" s="207"/>
      <c r="H28" s="8" t="s">
        <v>165</v>
      </c>
      <c r="I28" s="227">
        <f t="shared" ref="I28:N28" si="10">SUM(I29:I29)</f>
        <v>0</v>
      </c>
      <c r="J28" s="223">
        <f t="shared" si="10"/>
        <v>0</v>
      </c>
      <c r="K28" s="353">
        <f t="shared" si="10"/>
        <v>0</v>
      </c>
      <c r="L28" s="223">
        <f t="shared" si="10"/>
        <v>0</v>
      </c>
      <c r="M28" s="165">
        <f t="shared" si="10"/>
        <v>0</v>
      </c>
      <c r="N28" s="252">
        <f t="shared" si="10"/>
        <v>0</v>
      </c>
      <c r="O28" s="210" t="str">
        <f t="shared" si="3"/>
        <v/>
      </c>
    </row>
    <row r="29" spans="1:16" ht="12.95" customHeight="1">
      <c r="B29" s="10"/>
      <c r="C29" s="11"/>
      <c r="D29" s="24"/>
      <c r="E29" s="24"/>
      <c r="F29" s="217">
        <v>614200</v>
      </c>
      <c r="G29" s="204" t="s">
        <v>501</v>
      </c>
      <c r="H29" s="38" t="s">
        <v>96</v>
      </c>
      <c r="I29" s="230">
        <v>0</v>
      </c>
      <c r="J29" s="225">
        <v>0</v>
      </c>
      <c r="K29" s="352">
        <v>0</v>
      </c>
      <c r="L29" s="225">
        <v>0</v>
      </c>
      <c r="M29" s="157">
        <v>0</v>
      </c>
      <c r="N29" s="250">
        <f>SUM(L29:M29)</f>
        <v>0</v>
      </c>
      <c r="O29" s="211" t="str">
        <f t="shared" si="3"/>
        <v/>
      </c>
    </row>
    <row r="30" spans="1:16" ht="8.1" customHeight="1">
      <c r="B30" s="10"/>
      <c r="C30" s="11"/>
      <c r="D30" s="11"/>
      <c r="E30" s="410"/>
      <c r="F30" s="185"/>
      <c r="G30" s="203"/>
      <c r="H30" s="11"/>
      <c r="I30" s="230"/>
      <c r="J30" s="220"/>
      <c r="K30" s="352"/>
      <c r="L30" s="220"/>
      <c r="M30" s="156"/>
      <c r="N30" s="251"/>
      <c r="O30" s="211" t="str">
        <f t="shared" si="3"/>
        <v/>
      </c>
    </row>
    <row r="31" spans="1:16" s="1" customFormat="1" ht="12.95" customHeight="1">
      <c r="A31" s="158"/>
      <c r="B31" s="12"/>
      <c r="C31" s="8"/>
      <c r="D31" s="8"/>
      <c r="E31" s="8"/>
      <c r="F31" s="176">
        <v>821000</v>
      </c>
      <c r="G31" s="195"/>
      <c r="H31" s="8" t="s">
        <v>88</v>
      </c>
      <c r="I31" s="227">
        <f t="shared" ref="I31:J31" si="11">SUM(I32:I33)</f>
        <v>0</v>
      </c>
      <c r="J31" s="223">
        <f t="shared" si="11"/>
        <v>0</v>
      </c>
      <c r="K31" s="353">
        <v>0</v>
      </c>
      <c r="L31" s="223">
        <f t="shared" ref="L31" si="12">SUM(L32:L33)</f>
        <v>0</v>
      </c>
      <c r="M31" s="165">
        <f>SUM(M32:M33)</f>
        <v>0</v>
      </c>
      <c r="N31" s="252">
        <f>SUM(N32:N33)</f>
        <v>0</v>
      </c>
      <c r="O31" s="210" t="str">
        <f t="shared" si="3"/>
        <v/>
      </c>
    </row>
    <row r="32" spans="1:16" ht="12.95" customHeight="1">
      <c r="B32" s="10"/>
      <c r="C32" s="11"/>
      <c r="D32" s="11"/>
      <c r="E32" s="163"/>
      <c r="F32" s="177">
        <v>821200</v>
      </c>
      <c r="G32" s="196"/>
      <c r="H32" s="11" t="s">
        <v>89</v>
      </c>
      <c r="I32" s="230">
        <f t="shared" ref="I32" si="13">SUM(G32:H32)</f>
        <v>0</v>
      </c>
      <c r="J32" s="225">
        <v>0</v>
      </c>
      <c r="K32" s="352">
        <v>0</v>
      </c>
      <c r="L32" s="225">
        <v>0</v>
      </c>
      <c r="M32" s="157">
        <v>0</v>
      </c>
      <c r="N32" s="250">
        <f t="shared" ref="N32:N33" si="14">SUM(L32:M32)</f>
        <v>0</v>
      </c>
      <c r="O32" s="211" t="str">
        <f t="shared" si="3"/>
        <v/>
      </c>
    </row>
    <row r="33" spans="1:15" ht="12.95" customHeight="1">
      <c r="B33" s="10"/>
      <c r="C33" s="11"/>
      <c r="D33" s="11"/>
      <c r="E33" s="163"/>
      <c r="F33" s="177">
        <v>821300</v>
      </c>
      <c r="G33" s="196"/>
      <c r="H33" s="11" t="s">
        <v>90</v>
      </c>
      <c r="I33" s="230">
        <v>0</v>
      </c>
      <c r="J33" s="220">
        <v>0</v>
      </c>
      <c r="K33" s="352">
        <v>0</v>
      </c>
      <c r="L33" s="220">
        <v>0</v>
      </c>
      <c r="M33" s="156">
        <v>0</v>
      </c>
      <c r="N33" s="250">
        <f t="shared" si="14"/>
        <v>0</v>
      </c>
      <c r="O33" s="211" t="str">
        <f t="shared" si="3"/>
        <v/>
      </c>
    </row>
    <row r="34" spans="1:15" ht="8.1" customHeight="1">
      <c r="B34" s="10"/>
      <c r="C34" s="11"/>
      <c r="D34" s="11"/>
      <c r="E34" s="163"/>
      <c r="F34" s="177"/>
      <c r="G34" s="196"/>
      <c r="H34" s="11"/>
      <c r="I34" s="230"/>
      <c r="J34" s="220"/>
      <c r="K34" s="352"/>
      <c r="L34" s="220"/>
      <c r="M34" s="156"/>
      <c r="N34" s="251"/>
      <c r="O34" s="211" t="str">
        <f>IF(J34=0,"",N34/J34*100)</f>
        <v/>
      </c>
    </row>
    <row r="35" spans="1:15" s="1" customFormat="1" ht="12.95" customHeight="1">
      <c r="A35" s="158"/>
      <c r="B35" s="12"/>
      <c r="C35" s="8"/>
      <c r="D35" s="8"/>
      <c r="E35" s="8"/>
      <c r="F35" s="176"/>
      <c r="G35" s="195"/>
      <c r="H35" s="8" t="s">
        <v>91</v>
      </c>
      <c r="I35" s="227">
        <v>0</v>
      </c>
      <c r="J35" s="226">
        <v>0</v>
      </c>
      <c r="K35" s="353">
        <v>0</v>
      </c>
      <c r="L35" s="226">
        <v>0</v>
      </c>
      <c r="M35" s="170"/>
      <c r="N35" s="252">
        <v>0</v>
      </c>
      <c r="O35" s="211"/>
    </row>
    <row r="36" spans="1:15" s="1" customFormat="1" ht="12.95" customHeight="1">
      <c r="A36" s="158"/>
      <c r="B36" s="12"/>
      <c r="C36" s="8"/>
      <c r="D36" s="8"/>
      <c r="E36" s="8"/>
      <c r="F36" s="176"/>
      <c r="G36" s="195"/>
      <c r="H36" s="8" t="s">
        <v>105</v>
      </c>
      <c r="I36" s="15">
        <f t="shared" ref="I36:N36" si="15">I31+I28+I16+I13+I8</f>
        <v>0</v>
      </c>
      <c r="J36" s="15">
        <f t="shared" si="15"/>
        <v>0</v>
      </c>
      <c r="K36" s="356">
        <v>0</v>
      </c>
      <c r="L36" s="153">
        <f t="shared" si="15"/>
        <v>0</v>
      </c>
      <c r="M36" s="165">
        <f t="shared" si="15"/>
        <v>0</v>
      </c>
      <c r="N36" s="252">
        <f t="shared" si="15"/>
        <v>0</v>
      </c>
      <c r="O36" s="210" t="str">
        <f>IF(J36=0,"",N36/J36*100)</f>
        <v/>
      </c>
    </row>
    <row r="37" spans="1:15" s="1" customFormat="1" ht="12.95" customHeight="1">
      <c r="A37" s="158"/>
      <c r="B37" s="12"/>
      <c r="C37" s="8"/>
      <c r="D37" s="8"/>
      <c r="E37" s="8"/>
      <c r="F37" s="176"/>
      <c r="G37" s="195"/>
      <c r="H37" s="8" t="s">
        <v>92</v>
      </c>
      <c r="I37" s="15"/>
      <c r="J37" s="15"/>
      <c r="K37" s="356"/>
      <c r="L37" s="153"/>
      <c r="M37" s="165"/>
      <c r="N37" s="252"/>
      <c r="O37" s="216"/>
    </row>
    <row r="38" spans="1:15" s="1" customFormat="1" ht="12.95" customHeight="1">
      <c r="A38" s="158"/>
      <c r="B38" s="12"/>
      <c r="C38" s="8"/>
      <c r="D38" s="8"/>
      <c r="E38" s="8"/>
      <c r="F38" s="176"/>
      <c r="G38" s="195"/>
      <c r="H38" s="8" t="s">
        <v>93</v>
      </c>
      <c r="I38" s="29"/>
      <c r="J38" s="29"/>
      <c r="K38" s="398"/>
      <c r="L38" s="148"/>
      <c r="M38" s="156"/>
      <c r="N38" s="251"/>
      <c r="O38" s="212"/>
    </row>
    <row r="39" spans="1:15" ht="8.1" customHeight="1" thickBot="1">
      <c r="B39" s="16"/>
      <c r="C39" s="17"/>
      <c r="D39" s="17"/>
      <c r="E39" s="17"/>
      <c r="F39" s="178"/>
      <c r="G39" s="197"/>
      <c r="H39" s="17"/>
      <c r="I39" s="17"/>
      <c r="J39" s="17"/>
      <c r="K39" s="27"/>
      <c r="L39" s="16"/>
      <c r="M39" s="17"/>
      <c r="N39" s="255"/>
      <c r="O39" s="213"/>
    </row>
    <row r="40" spans="1:15" ht="12.95" customHeight="1">
      <c r="F40" s="179"/>
      <c r="G40" s="198"/>
      <c r="N40" s="253"/>
    </row>
    <row r="41" spans="1:15" ht="12.95" customHeight="1">
      <c r="B41" s="45"/>
      <c r="F41" s="179"/>
      <c r="G41" s="198"/>
      <c r="N41" s="253"/>
    </row>
    <row r="42" spans="1:15" ht="12.95" customHeight="1">
      <c r="F42" s="179"/>
      <c r="G42" s="198"/>
      <c r="N42" s="253"/>
    </row>
    <row r="43" spans="1:15" ht="12.95" customHeight="1">
      <c r="F43" s="179"/>
      <c r="G43" s="198"/>
      <c r="N43" s="253"/>
    </row>
    <row r="44" spans="1:15" ht="12.95" customHeight="1">
      <c r="F44" s="179"/>
      <c r="G44" s="198"/>
      <c r="N44" s="253"/>
    </row>
    <row r="45" spans="1:15" ht="12.95" customHeight="1">
      <c r="F45" s="179"/>
      <c r="G45" s="198"/>
      <c r="N45" s="253"/>
    </row>
    <row r="46" spans="1:15" ht="12.95" customHeight="1">
      <c r="F46" s="179"/>
      <c r="G46" s="198"/>
      <c r="N46" s="253"/>
    </row>
    <row r="47" spans="1:15" ht="12.95" customHeight="1">
      <c r="F47" s="179"/>
      <c r="G47" s="198"/>
      <c r="N47" s="253"/>
    </row>
    <row r="48" spans="1:15" ht="12.95" customHeight="1">
      <c r="F48" s="179"/>
      <c r="G48" s="198"/>
      <c r="N48" s="253"/>
    </row>
    <row r="49" spans="6:14" ht="12.95" customHeight="1">
      <c r="F49" s="179"/>
      <c r="G49" s="198"/>
      <c r="N49" s="253"/>
    </row>
    <row r="50" spans="6:14" ht="12.95" customHeight="1">
      <c r="F50" s="179"/>
      <c r="G50" s="198"/>
      <c r="N50" s="253"/>
    </row>
    <row r="51" spans="6:14" ht="12.95" customHeight="1">
      <c r="F51" s="179"/>
      <c r="G51" s="198"/>
      <c r="N51" s="253"/>
    </row>
    <row r="52" spans="6:14" ht="12.95" customHeight="1">
      <c r="F52" s="179"/>
      <c r="G52" s="198"/>
      <c r="N52" s="253"/>
    </row>
    <row r="53" spans="6:14" ht="12.95" customHeight="1">
      <c r="F53" s="179"/>
      <c r="G53" s="198"/>
      <c r="N53" s="253"/>
    </row>
    <row r="54" spans="6:14" ht="12.95" customHeight="1">
      <c r="F54" s="179"/>
      <c r="G54" s="198"/>
      <c r="N54" s="253"/>
    </row>
    <row r="55" spans="6:14" ht="12.95" customHeight="1">
      <c r="F55" s="179"/>
      <c r="G55" s="198"/>
      <c r="N55" s="253"/>
    </row>
    <row r="56" spans="6:14" ht="12.95" customHeight="1">
      <c r="F56" s="179"/>
      <c r="G56" s="198"/>
      <c r="N56" s="253"/>
    </row>
    <row r="57" spans="6:14" ht="12.95" customHeight="1">
      <c r="F57" s="179"/>
      <c r="G57" s="198"/>
      <c r="N57" s="253"/>
    </row>
    <row r="58" spans="6:14" ht="12.95" customHeight="1">
      <c r="F58" s="179"/>
      <c r="G58" s="198"/>
      <c r="N58" s="253"/>
    </row>
    <row r="59" spans="6:14" ht="12.95" customHeight="1">
      <c r="F59" s="179"/>
      <c r="G59" s="198"/>
      <c r="N59" s="253"/>
    </row>
    <row r="60" spans="6:14" ht="17.100000000000001" customHeight="1">
      <c r="F60" s="179"/>
      <c r="G60" s="198"/>
      <c r="N60" s="253"/>
    </row>
    <row r="61" spans="6:14" ht="14.25">
      <c r="F61" s="179"/>
      <c r="G61" s="198"/>
      <c r="N61" s="253"/>
    </row>
    <row r="62" spans="6:14" ht="14.25">
      <c r="F62" s="179"/>
      <c r="G62" s="198"/>
      <c r="N62" s="253"/>
    </row>
    <row r="63" spans="6:14" ht="14.25">
      <c r="F63" s="179"/>
      <c r="G63" s="198"/>
      <c r="N63" s="253"/>
    </row>
    <row r="64" spans="6:14" ht="14.25">
      <c r="F64" s="179"/>
      <c r="G64" s="198"/>
      <c r="N64" s="253"/>
    </row>
    <row r="65" spans="6:14" ht="14.25">
      <c r="F65" s="179"/>
      <c r="G65" s="198"/>
      <c r="N65" s="253"/>
    </row>
    <row r="66" spans="6:14" ht="14.25">
      <c r="F66" s="179"/>
      <c r="G66" s="198"/>
      <c r="N66" s="253"/>
    </row>
    <row r="67" spans="6:14" ht="14.25">
      <c r="F67" s="179"/>
      <c r="G67" s="198"/>
      <c r="N67" s="253"/>
    </row>
    <row r="68" spans="6:14" ht="14.25">
      <c r="F68" s="179"/>
      <c r="G68" s="198"/>
      <c r="N68" s="253"/>
    </row>
    <row r="69" spans="6:14" ht="14.25">
      <c r="F69" s="179"/>
      <c r="G69" s="198"/>
      <c r="N69" s="253"/>
    </row>
    <row r="70" spans="6:14" ht="14.25">
      <c r="F70" s="179"/>
      <c r="G70" s="198"/>
      <c r="N70" s="253"/>
    </row>
    <row r="71" spans="6:14" ht="14.25">
      <c r="F71" s="179"/>
      <c r="G71" s="198"/>
      <c r="N71" s="253"/>
    </row>
    <row r="72" spans="6:14" ht="14.25">
      <c r="F72" s="179"/>
      <c r="G72" s="198"/>
      <c r="N72" s="253"/>
    </row>
    <row r="73" spans="6:14" ht="14.25">
      <c r="F73" s="179"/>
      <c r="G73" s="198"/>
      <c r="N73" s="253"/>
    </row>
    <row r="74" spans="6:14" ht="14.25">
      <c r="F74" s="179"/>
      <c r="G74" s="179"/>
      <c r="N74" s="253"/>
    </row>
    <row r="75" spans="6:14" ht="14.25">
      <c r="F75" s="179"/>
      <c r="G75" s="179"/>
      <c r="N75" s="253"/>
    </row>
    <row r="76" spans="6:14" ht="14.25">
      <c r="F76" s="179"/>
      <c r="G76" s="179"/>
      <c r="N76" s="253"/>
    </row>
    <row r="77" spans="6:14" ht="14.25">
      <c r="F77" s="179"/>
      <c r="G77" s="179"/>
      <c r="N77" s="253"/>
    </row>
    <row r="78" spans="6:14" ht="14.25">
      <c r="F78" s="179"/>
      <c r="G78" s="179"/>
      <c r="N78" s="253"/>
    </row>
    <row r="79" spans="6:14" ht="14.25">
      <c r="F79" s="179"/>
      <c r="G79" s="179"/>
      <c r="N79" s="253"/>
    </row>
    <row r="80" spans="6:14" ht="14.25">
      <c r="F80" s="179"/>
      <c r="G80" s="179"/>
      <c r="N80" s="253"/>
    </row>
    <row r="81" spans="6:14" ht="14.25">
      <c r="F81" s="179"/>
      <c r="G81" s="179"/>
      <c r="N81" s="253"/>
    </row>
    <row r="82" spans="6:14" ht="14.25">
      <c r="F82" s="179"/>
      <c r="G82" s="179"/>
      <c r="N82" s="253"/>
    </row>
    <row r="83" spans="6:14" ht="14.25">
      <c r="F83" s="179"/>
      <c r="G83" s="179"/>
      <c r="N83" s="253"/>
    </row>
    <row r="84" spans="6:14" ht="14.25">
      <c r="F84" s="179"/>
      <c r="G84" s="179"/>
      <c r="N84" s="253"/>
    </row>
    <row r="85" spans="6:14" ht="14.25">
      <c r="F85" s="179"/>
      <c r="G85" s="179"/>
      <c r="N85" s="253"/>
    </row>
    <row r="86" spans="6:14" ht="14.25">
      <c r="F86" s="179"/>
      <c r="G86" s="179"/>
      <c r="N86" s="253"/>
    </row>
    <row r="87" spans="6:14" ht="14.25">
      <c r="F87" s="179"/>
      <c r="G87" s="179"/>
      <c r="N87" s="253"/>
    </row>
    <row r="88" spans="6:14" ht="14.25">
      <c r="F88" s="179"/>
      <c r="G88" s="179"/>
      <c r="N88" s="253"/>
    </row>
    <row r="89" spans="6:14" ht="14.25">
      <c r="F89" s="179"/>
      <c r="G89" s="179"/>
      <c r="N89" s="253"/>
    </row>
    <row r="90" spans="6:14" ht="14.25">
      <c r="F90" s="179"/>
      <c r="G90" s="179"/>
      <c r="N90" s="253"/>
    </row>
    <row r="91" spans="6:14">
      <c r="G91" s="179"/>
    </row>
    <row r="92" spans="6:14">
      <c r="G92" s="179"/>
    </row>
    <row r="93" spans="6:14">
      <c r="G93" s="179"/>
    </row>
    <row r="94" spans="6:14">
      <c r="G94" s="179"/>
    </row>
    <row r="95" spans="6:14">
      <c r="G95" s="179"/>
    </row>
    <row r="96" spans="6:14">
      <c r="G96" s="179"/>
    </row>
  </sheetData>
  <mergeCells count="14">
    <mergeCell ref="O4:O5"/>
    <mergeCell ref="H4:H5"/>
    <mergeCell ref="B2:N2"/>
    <mergeCell ref="H3:I3"/>
    <mergeCell ref="L4:N4"/>
    <mergeCell ref="B4:B5"/>
    <mergeCell ref="C4:C5"/>
    <mergeCell ref="D4:D5"/>
    <mergeCell ref="G4:G5"/>
    <mergeCell ref="F4:F5"/>
    <mergeCell ref="I4:I5"/>
    <mergeCell ref="J4:J5"/>
    <mergeCell ref="K4:K5"/>
    <mergeCell ref="E4:E5"/>
  </mergeCells>
  <phoneticPr fontId="2" type="noConversion"/>
  <pageMargins left="0.78740157480314965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48</vt:i4>
      </vt:variant>
      <vt:variant>
        <vt:lpstr>Imenovani rasponi</vt:lpstr>
      </vt:variant>
      <vt:variant>
        <vt:i4>15</vt:i4>
      </vt:variant>
    </vt:vector>
  </HeadingPairs>
  <TitlesOfParts>
    <vt:vector size="63" baseType="lpstr">
      <vt:lpstr>Naslovnica</vt:lpstr>
      <vt:lpstr>Sadrzaj</vt:lpstr>
      <vt:lpstr>Uvod</vt:lpstr>
      <vt:lpstr>Prihodi</vt:lpstr>
      <vt:lpstr>Rashodi</vt:lpstr>
      <vt:lpstr>1</vt:lpstr>
      <vt:lpstr>2</vt:lpstr>
      <vt:lpstr>4 (S)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36</vt:lpstr>
      <vt:lpstr>37</vt:lpstr>
      <vt:lpstr>Sumarno</vt:lpstr>
      <vt:lpstr>Funkcijska</vt:lpstr>
      <vt:lpstr>Kap.pror.</vt:lpstr>
      <vt:lpstr>Kraj</vt:lpstr>
      <vt:lpstr>List1</vt:lpstr>
      <vt:lpstr>Funkcijska!Ispis_naslova</vt:lpstr>
      <vt:lpstr>Prihodi!Ispis_naslova</vt:lpstr>
      <vt:lpstr>Rashodi!Ispis_naslova</vt:lpstr>
      <vt:lpstr>'15'!Podrucje_ispisa</vt:lpstr>
      <vt:lpstr>'16'!Podrucje_ispisa</vt:lpstr>
      <vt:lpstr>'17'!Podrucje_ispisa</vt:lpstr>
      <vt:lpstr>'21'!Podrucje_ispisa</vt:lpstr>
      <vt:lpstr>'33'!Podrucje_ispisa</vt:lpstr>
      <vt:lpstr>Funkcijska!Podrucje_ispisa</vt:lpstr>
      <vt:lpstr>Kap.pror.!Podrucje_ispisa</vt:lpstr>
      <vt:lpstr>Kraj!Podrucje_ispisa</vt:lpstr>
      <vt:lpstr>Prihodi!Podrucje_ispisa</vt:lpstr>
      <vt:lpstr>Rashodi!Podrucje_ispisa</vt:lpstr>
      <vt:lpstr>Sadrzaj!Podrucje_ispisa</vt:lpstr>
      <vt:lpstr>Uvod!Podrucje_ispisa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operater</dc:creator>
  <cp:lastModifiedBy>Ružica Živković</cp:lastModifiedBy>
  <cp:lastPrinted>2023-02-27T09:14:07Z</cp:lastPrinted>
  <dcterms:created xsi:type="dcterms:W3CDTF">2004-07-23T11:14:23Z</dcterms:created>
  <dcterms:modified xsi:type="dcterms:W3CDTF">2023-02-27T10:36:54Z</dcterms:modified>
</cp:coreProperties>
</file>