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zupanijaposavska-my.sharepoint.com/personal/ruzica_zivkovic_zp_gov_ba/Documents/My Documents/Proracuni i izvrsenja/2026/Rebalans/Instrukcija/"/>
    </mc:Choice>
  </mc:AlternateContent>
  <xr:revisionPtr revIDLastSave="233" documentId="8_{261E11D3-11CB-4437-B616-4CE21B2E4676}" xr6:coauthVersionLast="47" xr6:coauthVersionMax="47" xr10:uidLastSave="{060DF06A-AABC-4FAB-B0A3-B6E2FD2DBF4D}"/>
  <bookViews>
    <workbookView xWindow="-105" yWindow="0" windowWidth="14610" windowHeight="15585" tabRatio="964" firstSheet="1" activeTab="1" xr2:uid="{00000000-000D-0000-FFFF-FFFF00000000}"/>
  </bookViews>
  <sheets>
    <sheet name="CODE" sheetId="65119" state="veryHidden" r:id="rId1"/>
    <sheet name="Uvodne napomene" sheetId="65142" r:id="rId2"/>
    <sheet name="10" sheetId="65144" r:id="rId3"/>
    <sheet name="11" sheetId="65145" r:id="rId4"/>
    <sheet name="12" sheetId="65164" r:id="rId5"/>
    <sheet name="13" sheetId="65163" r:id="rId6"/>
    <sheet name="14" sheetId="65162" r:id="rId7"/>
    <sheet name="15" sheetId="65161" r:id="rId8"/>
    <sheet name="16" sheetId="65160" r:id="rId9"/>
    <sheet name="17" sheetId="65159" r:id="rId10"/>
    <sheet name="18" sheetId="65158" r:id="rId11"/>
    <sheet name="19" sheetId="65157" r:id="rId12"/>
    <sheet name="20" sheetId="65156" r:id="rId13"/>
    <sheet name="21" sheetId="65155" r:id="rId14"/>
    <sheet name="22" sheetId="65154" r:id="rId15"/>
    <sheet name="23" sheetId="65153" r:id="rId16"/>
    <sheet name="24" sheetId="65152" r:id="rId17"/>
    <sheet name="26" sheetId="65151" r:id="rId18"/>
    <sheet name="27" sheetId="65150" r:id="rId19"/>
    <sheet name="28" sheetId="65149" r:id="rId20"/>
    <sheet name="List1" sheetId="65165" state="hidden" r:id="rId21"/>
  </sheets>
  <definedNames>
    <definedName name="ACCOUNTEDPERIODTYPE1" localSheetId="3">#REF!</definedName>
    <definedName name="ACCOUNTEDPERIODTYPE1">#REF!</definedName>
    <definedName name="APPSUSERNAME1" localSheetId="3">#REF!</definedName>
    <definedName name="APPSUSERNAME1">#REF!</definedName>
    <definedName name="BUDGETORGID1" localSheetId="3">#REF!</definedName>
    <definedName name="BUDGETORGID1">#REF!</definedName>
    <definedName name="BUDGETORGNAME1" localSheetId="3">#REF!</definedName>
    <definedName name="BUDGETORGNAME1">#REF!</definedName>
    <definedName name="CHARTOFACCOUNTSID1" localSheetId="3">#REF!</definedName>
    <definedName name="CHARTOFACCOUNTSID1">#REF!</definedName>
    <definedName name="CONNECTSTRING1" localSheetId="3">#REF!</definedName>
    <definedName name="CONNECTSTRING1">#REF!</definedName>
    <definedName name="CREATESUMMARYJNLS1" localSheetId="3">#REF!</definedName>
    <definedName name="CREATESUMMARYJNLS1">#REF!</definedName>
    <definedName name="CRITERIACOLUMN1" localSheetId="3">#REF!</definedName>
    <definedName name="CRITERIACOLUMN1">#REF!</definedName>
    <definedName name="DBNAME1" localSheetId="3">#REF!</definedName>
    <definedName name="DBNAME1">#REF!</definedName>
    <definedName name="DBUSERNAME1" localSheetId="3">#REF!</definedName>
    <definedName name="DBUSERNAME1">#REF!</definedName>
    <definedName name="DELETELOGICTYPE1" localSheetId="3">#REF!</definedName>
    <definedName name="DELETELOGICTYPE1">#REF!</definedName>
    <definedName name="FFAPPCOLNAME1_1" localSheetId="3">#REF!</definedName>
    <definedName name="FFAPPCOLNAME1_1">#REF!</definedName>
    <definedName name="FFAPPCOLNAME2_1" localSheetId="3">#REF!</definedName>
    <definedName name="FFAPPCOLNAME2_1">#REF!</definedName>
    <definedName name="FFAPPCOLNAME3_1" localSheetId="3">#REF!</definedName>
    <definedName name="FFAPPCOLNAME3_1">#REF!</definedName>
    <definedName name="FFAPPCOLNAME4_1" localSheetId="3">#REF!</definedName>
    <definedName name="FFAPPCOLNAME4_1">#REF!</definedName>
    <definedName name="FFAPPCOLNAME5_1" localSheetId="3">#REF!</definedName>
    <definedName name="FFAPPCOLNAME5_1">#REF!</definedName>
    <definedName name="FFAPPCOLNAME6_1" localSheetId="3">#REF!</definedName>
    <definedName name="FFAPPCOLNAME6_1">#REF!</definedName>
    <definedName name="FFSEGMENT1_1" localSheetId="3">#REF!</definedName>
    <definedName name="FFSEGMENT1_1">#REF!</definedName>
    <definedName name="FFSEGMENT2_1" localSheetId="3">#REF!</definedName>
    <definedName name="FFSEGMENT2_1">#REF!</definedName>
    <definedName name="FFSEGMENT3_1" localSheetId="3">#REF!</definedName>
    <definedName name="FFSEGMENT3_1">#REF!</definedName>
    <definedName name="FFSEGMENT4_1" localSheetId="3">#REF!</definedName>
    <definedName name="FFSEGMENT4_1">#REF!</definedName>
    <definedName name="FFSEGMENT5_1" localSheetId="3">#REF!</definedName>
    <definedName name="FFSEGMENT5_1">#REF!</definedName>
    <definedName name="FFSEGMENT6_1" localSheetId="3">#REF!</definedName>
    <definedName name="FFSEGMENT6_1">#REF!</definedName>
    <definedName name="FFSEGSEPARATOR1" localSheetId="3">#REF!</definedName>
    <definedName name="FFSEGSEPARATOR1">#REF!</definedName>
    <definedName name="FIELDNAMECOLUMN1" localSheetId="3">#REF!</definedName>
    <definedName name="FIELDNAMECOLUMN1">#REF!</definedName>
    <definedName name="FIELDNAMEROW1" localSheetId="3">#REF!</definedName>
    <definedName name="FIELDNAMEROW1">#REF!</definedName>
    <definedName name="FIRSTDATAROW1" localSheetId="3">#REF!</definedName>
    <definedName name="FIRSTDATAROW1">#REF!</definedName>
    <definedName name="FNDNAM1" localSheetId="3">#REF!</definedName>
    <definedName name="FNDNAM1">#REF!</definedName>
    <definedName name="FNDUSERID1" localSheetId="3">#REF!</definedName>
    <definedName name="FNDUSERID1">#REF!</definedName>
    <definedName name="FUNCTIONALCURRENCY1" localSheetId="3">#REF!</definedName>
    <definedName name="FUNCTIONALCURRENCY1">#REF!</definedName>
    <definedName name="GWYUID1" localSheetId="3">#REF!</definedName>
    <definedName name="GWYUID1">#REF!</definedName>
    <definedName name="IMPORTDFF1" localSheetId="3">#REF!</definedName>
    <definedName name="IMPORTDFF1">#REF!</definedName>
    <definedName name="_xlnm.Print_Titles" localSheetId="3">'11'!$1:$9</definedName>
    <definedName name="_xlnm.Print_Titles" localSheetId="6">'14'!$1:$9</definedName>
    <definedName name="_xlnm.Print_Titles" localSheetId="12">'20'!$1:$9</definedName>
    <definedName name="LABELTEXTCOLUMN1" localSheetId="3">#REF!</definedName>
    <definedName name="LABELTEXTCOLUMN1">#REF!</definedName>
    <definedName name="LABELTEXTROW1" localSheetId="3">#REF!</definedName>
    <definedName name="LABELTEXTROW1">#REF!</definedName>
    <definedName name="Lista">#REF!</definedName>
    <definedName name="NOOFFFSEGMENTS1" localSheetId="3">#REF!</definedName>
    <definedName name="NOOFFFSEGMENTS1">#REF!</definedName>
    <definedName name="NUMBEROFDETAILFIELDS1" localSheetId="3">#REF!</definedName>
    <definedName name="NUMBEROFDETAILFIELDS1">#REF!</definedName>
    <definedName name="NUMBEROFHEADERFIELDS1" localSheetId="3">#REF!</definedName>
    <definedName name="NUMBEROFHEADERFIELDS1">#REF!</definedName>
    <definedName name="OrgKod">#REF!</definedName>
    <definedName name="OrgKod1">#REF!</definedName>
    <definedName name="OrgKod2">#REF!</definedName>
    <definedName name="PERIODSETNAME1" localSheetId="3">#REF!</definedName>
    <definedName name="PERIODSETNAME1">#REF!</definedName>
    <definedName name="POSTERRORSTOSUSP1" localSheetId="3">#REF!</definedName>
    <definedName name="POSTERRORSTOSUSP1">#REF!</definedName>
    <definedName name="RESPONSIBILITYAPPLICATIONID1" localSheetId="3">#REF!</definedName>
    <definedName name="RESPONSIBILITYAPPLICATIONID1">#REF!</definedName>
    <definedName name="RESPONSIBILITYID1" localSheetId="3">#REF!</definedName>
    <definedName name="RESPONSIBILITYID1">#REF!</definedName>
    <definedName name="RESPONSIBILITYNAME1" localSheetId="3">#REF!</definedName>
    <definedName name="RESPONSIBILITYNAME1">#REF!</definedName>
    <definedName name="ROWSTOUPLOAD1" localSheetId="3">#REF!</definedName>
    <definedName name="ROWSTOUPLOAD1">#REF!</definedName>
    <definedName name="SETOFBOOKSID1" localSheetId="3">#REF!</definedName>
    <definedName name="SETOFBOOKSID1">#REF!</definedName>
    <definedName name="SETOFBOOKSNAME1" localSheetId="3">#REF!</definedName>
    <definedName name="SETOFBOOKSNAME1">#REF!</definedName>
    <definedName name="STARTJOURNALIMPORT1" localSheetId="3">#REF!</definedName>
    <definedName name="STARTJOURNALIMPORT1">#REF!</definedName>
    <definedName name="STRUČNA_SLUŽBA_SKUPŠTINE" localSheetId="3">#REF!</definedName>
    <definedName name="STRUČNA_SLUŽBA_SKUPŠTINE">#REF!</definedName>
    <definedName name="TEMPLATENUMBER1" localSheetId="3">#REF!</definedName>
    <definedName name="TEMPLATENUMBER1">#REF!</definedName>
    <definedName name="TEMPLATESTYLE1" localSheetId="3">#REF!</definedName>
    <definedName name="TEMPLATESTYLE1">#REF!</definedName>
    <definedName name="TEMPLATETYPE1" localSheetId="3">#REF!</definedName>
    <definedName name="TEMPLATETYPE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8" i="65145" l="1"/>
  <c r="J31" i="65153"/>
  <c r="J280" i="65156"/>
  <c r="I248" i="65156"/>
  <c r="J48" i="65156"/>
  <c r="J37" i="65158"/>
  <c r="J36" i="65158"/>
  <c r="J31" i="65158"/>
  <c r="I31" i="65158"/>
  <c r="I38" i="65159"/>
  <c r="J38" i="65159"/>
  <c r="I32" i="65159"/>
  <c r="I29" i="65149" l="1"/>
  <c r="I18" i="65149"/>
  <c r="I16" i="65149"/>
  <c r="I15" i="65149"/>
  <c r="I13" i="65149"/>
  <c r="I12" i="65149"/>
  <c r="I11" i="65149"/>
  <c r="I29" i="65150"/>
  <c r="I18" i="65150"/>
  <c r="I16" i="65150"/>
  <c r="I15" i="65150"/>
  <c r="I13" i="65150"/>
  <c r="I12" i="65150"/>
  <c r="I11" i="65150"/>
  <c r="I29" i="65151"/>
  <c r="I18" i="65151"/>
  <c r="I16" i="65151"/>
  <c r="I15" i="65151"/>
  <c r="I13" i="65151"/>
  <c r="I12" i="65151"/>
  <c r="I11" i="65151" s="1"/>
  <c r="I29" i="65152"/>
  <c r="I18" i="65152"/>
  <c r="I16" i="65152"/>
  <c r="I15" i="65152"/>
  <c r="I11" i="65152"/>
  <c r="I33" i="65153"/>
  <c r="I29" i="65153"/>
  <c r="I25" i="65153"/>
  <c r="I18" i="65153" s="1"/>
  <c r="I16" i="65153"/>
  <c r="I15" i="65153"/>
  <c r="I13" i="65153"/>
  <c r="I12" i="65153"/>
  <c r="I11" i="65153"/>
  <c r="I29" i="65154"/>
  <c r="I18" i="65154"/>
  <c r="I16" i="65154"/>
  <c r="I15" i="65154"/>
  <c r="I11" i="65154"/>
  <c r="I12" i="65154"/>
  <c r="I33" i="65155"/>
  <c r="I29" i="65155"/>
  <c r="I18" i="65155"/>
  <c r="I16" i="65155"/>
  <c r="I15" i="65155" s="1"/>
  <c r="I13" i="65155"/>
  <c r="I11" i="65155" s="1"/>
  <c r="I12" i="65155"/>
  <c r="I338" i="65156"/>
  <c r="I337" i="65156"/>
  <c r="I326" i="65156"/>
  <c r="I324" i="65156"/>
  <c r="I323" i="65156" s="1"/>
  <c r="I321" i="65156"/>
  <c r="I320" i="65156"/>
  <c r="I319" i="65156"/>
  <c r="I308" i="65156"/>
  <c r="I297" i="65156"/>
  <c r="I295" i="65156"/>
  <c r="I294" i="65156"/>
  <c r="I292" i="65156"/>
  <c r="I291" i="65156"/>
  <c r="I290" i="65156"/>
  <c r="I280" i="65156"/>
  <c r="I279" i="65156" s="1"/>
  <c r="I268" i="65156"/>
  <c r="I266" i="65156"/>
  <c r="I265" i="65156" s="1"/>
  <c r="I263" i="65156"/>
  <c r="I262" i="65156"/>
  <c r="I261" i="65156"/>
  <c r="I251" i="65156"/>
  <c r="I250" i="65156" s="1"/>
  <c r="I239" i="65156"/>
  <c r="I237" i="65156"/>
  <c r="I236" i="65156"/>
  <c r="I234" i="65156"/>
  <c r="I233" i="65156"/>
  <c r="I232" i="65156"/>
  <c r="I222" i="65156"/>
  <c r="I221" i="65156" s="1"/>
  <c r="I210" i="65156"/>
  <c r="I208" i="65156"/>
  <c r="I207" i="65156" s="1"/>
  <c r="I205" i="65156"/>
  <c r="I204" i="65156"/>
  <c r="I203" i="65156"/>
  <c r="I193" i="65156"/>
  <c r="I192" i="65156" s="1"/>
  <c r="I181" i="65156"/>
  <c r="I179" i="65156"/>
  <c r="I178" i="65156" s="1"/>
  <c r="I176" i="65156"/>
  <c r="I175" i="65156"/>
  <c r="I174" i="65156"/>
  <c r="I163" i="65156"/>
  <c r="I152" i="65156"/>
  <c r="I150" i="65156"/>
  <c r="I149" i="65156"/>
  <c r="I147" i="65156"/>
  <c r="I146" i="65156"/>
  <c r="I145" i="65156"/>
  <c r="I134" i="65156"/>
  <c r="I123" i="65156"/>
  <c r="I121" i="65156"/>
  <c r="I120" i="65156"/>
  <c r="I118" i="65156"/>
  <c r="I117" i="65156"/>
  <c r="I116" i="65156" s="1"/>
  <c r="I105" i="65156"/>
  <c r="I94" i="65156"/>
  <c r="I92" i="65156"/>
  <c r="I91" i="65156"/>
  <c r="I89" i="65156"/>
  <c r="I87" i="65156" s="1"/>
  <c r="I88" i="65156"/>
  <c r="I77" i="65156"/>
  <c r="I76" i="65156" s="1"/>
  <c r="I65" i="65156"/>
  <c r="I63" i="65156"/>
  <c r="I62" i="65156" s="1"/>
  <c r="I60" i="65156"/>
  <c r="I59" i="65156"/>
  <c r="I58" i="65156"/>
  <c r="I48" i="65156"/>
  <c r="I47" i="65156" s="1"/>
  <c r="I44" i="65156"/>
  <c r="I33" i="65156"/>
  <c r="I18" i="65156"/>
  <c r="I16" i="65156"/>
  <c r="I15" i="65156"/>
  <c r="I13" i="65156"/>
  <c r="I12" i="65156"/>
  <c r="I11" i="65156" s="1"/>
  <c r="I39" i="65157"/>
  <c r="I36" i="65157"/>
  <c r="I35" i="65157" s="1"/>
  <c r="I31" i="65157"/>
  <c r="I29" i="65157" s="1"/>
  <c r="I18" i="65157"/>
  <c r="I16" i="65157"/>
  <c r="I15" i="65157"/>
  <c r="I13" i="65157"/>
  <c r="I12" i="65157"/>
  <c r="I11" i="65157" s="1"/>
  <c r="I33" i="65158"/>
  <c r="I30" i="65158"/>
  <c r="I18" i="65158"/>
  <c r="I16" i="65158"/>
  <c r="I15" i="65158"/>
  <c r="I13" i="65158"/>
  <c r="I12" i="65158"/>
  <c r="I11" i="65158" s="1"/>
  <c r="I35" i="65159"/>
  <c r="I29" i="65159"/>
  <c r="I18" i="65159"/>
  <c r="I16" i="65159"/>
  <c r="I15" i="65159"/>
  <c r="I13" i="65159"/>
  <c r="I12" i="65159"/>
  <c r="I11" i="65159" s="1"/>
  <c r="I46" i="65160"/>
  <c r="I42" i="65160"/>
  <c r="I38" i="65160"/>
  <c r="I33" i="65160"/>
  <c r="I21" i="65160"/>
  <c r="I19" i="65160"/>
  <c r="I18" i="65160"/>
  <c r="I16" i="65160"/>
  <c r="I14" i="65160" s="1"/>
  <c r="I15" i="65160"/>
  <c r="I11" i="65160"/>
  <c r="I11" i="65161"/>
  <c r="I15" i="65161"/>
  <c r="I18" i="65161"/>
  <c r="I30" i="65161"/>
  <c r="I34" i="65161"/>
  <c r="I38" i="65161"/>
  <c r="I342" i="65156" l="1"/>
  <c r="I178" i="65162" l="1"/>
  <c r="I167" i="65162"/>
  <c r="I165" i="65162"/>
  <c r="I164" i="65162"/>
  <c r="I162" i="65162"/>
  <c r="I161" i="65162"/>
  <c r="I160" i="65162"/>
  <c r="I149" i="65162"/>
  <c r="I138" i="65162"/>
  <c r="I136" i="65162"/>
  <c r="I135" i="65162"/>
  <c r="I133" i="65162"/>
  <c r="I132" i="65162"/>
  <c r="I131" i="65162"/>
  <c r="I120" i="65162"/>
  <c r="I109" i="65162"/>
  <c r="I107" i="65162"/>
  <c r="I106" i="65162"/>
  <c r="I104" i="65162"/>
  <c r="I103" i="65162"/>
  <c r="I102" i="65162" s="1"/>
  <c r="I91" i="65162"/>
  <c r="I80" i="65162"/>
  <c r="I78" i="65162"/>
  <c r="I77" i="65162"/>
  <c r="I75" i="65162"/>
  <c r="I73" i="65162" s="1"/>
  <c r="I74" i="65162"/>
  <c r="I61" i="65162"/>
  <c r="I49" i="65162"/>
  <c r="I47" i="65162"/>
  <c r="I46" i="65162"/>
  <c r="I44" i="65162"/>
  <c r="I43" i="65162"/>
  <c r="I42" i="65162"/>
  <c r="I31" i="65162"/>
  <c r="I18" i="65162"/>
  <c r="I16" i="65162"/>
  <c r="I15" i="65162"/>
  <c r="I13" i="65162"/>
  <c r="I12" i="65162"/>
  <c r="I11" i="65162" s="1"/>
  <c r="I30" i="65163"/>
  <c r="I19" i="65163"/>
  <c r="I15" i="65163"/>
  <c r="I13" i="65163"/>
  <c r="I12" i="65163"/>
  <c r="I11" i="65163" s="1"/>
  <c r="I29" i="65164"/>
  <c r="I18" i="65164"/>
  <c r="I16" i="65164"/>
  <c r="I15" i="65164"/>
  <c r="I13" i="65164"/>
  <c r="I12" i="65164"/>
  <c r="I11" i="65164"/>
  <c r="I198" i="65145"/>
  <c r="I187" i="65145"/>
  <c r="I185" i="65145"/>
  <c r="I184" i="65145"/>
  <c r="I182" i="65145"/>
  <c r="I181" i="65145"/>
  <c r="I180" i="65145" s="1"/>
  <c r="I169" i="65145"/>
  <c r="I166" i="65145"/>
  <c r="I155" i="65145"/>
  <c r="I153" i="65145"/>
  <c r="I152" i="65145" s="1"/>
  <c r="I150" i="65145"/>
  <c r="I149" i="65145"/>
  <c r="I148" i="65145"/>
  <c r="I137" i="65145"/>
  <c r="I126" i="65145"/>
  <c r="I124" i="65145"/>
  <c r="I123" i="65145"/>
  <c r="I121" i="65145"/>
  <c r="I120" i="65145"/>
  <c r="I119" i="65145" s="1"/>
  <c r="I108" i="65145"/>
  <c r="I97" i="65145"/>
  <c r="I95" i="65145"/>
  <c r="I94" i="65145"/>
  <c r="I92" i="65145"/>
  <c r="I91" i="65145"/>
  <c r="I90" i="65145"/>
  <c r="I79" i="65145"/>
  <c r="I68" i="65145"/>
  <c r="I66" i="65145"/>
  <c r="I65" i="65145"/>
  <c r="I63" i="65145"/>
  <c r="I62" i="65145"/>
  <c r="I61" i="65145" s="1"/>
  <c r="I51" i="65145"/>
  <c r="I48" i="65145" s="1"/>
  <c r="I50" i="65145"/>
  <c r="I45" i="65145"/>
  <c r="I43" i="65145"/>
  <c r="I37" i="65145" s="1"/>
  <c r="I30" i="65145"/>
  <c r="I24" i="65145"/>
  <c r="I22" i="65145"/>
  <c r="I21" i="65145"/>
  <c r="I18" i="65145"/>
  <c r="I17" i="65145"/>
  <c r="I16" i="65145" s="1"/>
  <c r="I12" i="65145"/>
  <c r="I11" i="65145"/>
  <c r="I29" i="65144"/>
  <c r="I18" i="65144"/>
  <c r="I16" i="65144"/>
  <c r="I15" i="65144"/>
  <c r="I13" i="65144"/>
  <c r="I12" i="65144"/>
  <c r="I11" i="65144"/>
  <c r="I35" i="65163" l="1"/>
  <c r="K109" i="65165" l="1"/>
  <c r="J109" i="65165"/>
  <c r="I109" i="65165"/>
  <c r="G109" i="65165"/>
  <c r="F109" i="65165"/>
  <c r="N35" i="65159"/>
  <c r="M35" i="65159"/>
  <c r="L35" i="65159"/>
  <c r="J35" i="65159"/>
  <c r="N38" i="65159"/>
  <c r="K38" i="65159"/>
  <c r="O38" i="65159" s="1"/>
  <c r="N61" i="65162"/>
  <c r="M61" i="65162"/>
  <c r="L61" i="65162"/>
  <c r="J61" i="65162"/>
  <c r="N64" i="65162"/>
  <c r="K64" i="65162"/>
  <c r="O64" i="65162" s="1"/>
  <c r="J106" i="65165"/>
  <c r="I106" i="65165"/>
  <c r="G106" i="65165"/>
  <c r="F106" i="65165"/>
  <c r="J107" i="65165"/>
  <c r="I107" i="65165"/>
  <c r="G107" i="65165"/>
  <c r="F107" i="65165"/>
  <c r="J41" i="65165"/>
  <c r="I41" i="65165"/>
  <c r="G41" i="65165"/>
  <c r="F41" i="65165"/>
  <c r="J38" i="65165"/>
  <c r="I38" i="65165"/>
  <c r="G38" i="65165"/>
  <c r="F38" i="65165"/>
  <c r="J35" i="65165"/>
  <c r="I35" i="65165"/>
  <c r="G35" i="65165"/>
  <c r="F35" i="65165"/>
  <c r="J33" i="65165"/>
  <c r="I33" i="65165"/>
  <c r="G33" i="65165"/>
  <c r="F33" i="65165"/>
  <c r="J32" i="65165"/>
  <c r="I32" i="65165"/>
  <c r="G32" i="65165"/>
  <c r="F32" i="65165"/>
  <c r="J30" i="65165"/>
  <c r="I30" i="65165"/>
  <c r="G30" i="65165"/>
  <c r="F30" i="65165"/>
  <c r="J28" i="65165"/>
  <c r="I28" i="65165"/>
  <c r="G28" i="65165"/>
  <c r="J27" i="65165"/>
  <c r="I27" i="65165"/>
  <c r="G27" i="65165"/>
  <c r="F27" i="65165"/>
  <c r="F28" i="65165"/>
  <c r="J26" i="65165"/>
  <c r="I26" i="65165"/>
  <c r="G26" i="65165"/>
  <c r="F26" i="65165"/>
  <c r="J22" i="65165"/>
  <c r="I22" i="65165"/>
  <c r="G22" i="65165"/>
  <c r="F22" i="65165"/>
  <c r="J18" i="65165"/>
  <c r="I18" i="65165"/>
  <c r="G18" i="65165"/>
  <c r="F18" i="65165"/>
  <c r="J16" i="65165"/>
  <c r="I16" i="65165"/>
  <c r="G16" i="65165"/>
  <c r="F16" i="65165"/>
  <c r="K82" i="65165"/>
  <c r="J82" i="65165"/>
  <c r="I82" i="65165"/>
  <c r="G82" i="65165"/>
  <c r="F82" i="65165"/>
  <c r="K49" i="65165"/>
  <c r="J49" i="65165"/>
  <c r="I49" i="65165"/>
  <c r="G49" i="65165"/>
  <c r="F49" i="65165"/>
  <c r="K97" i="65165"/>
  <c r="J97" i="65165"/>
  <c r="I97" i="65165"/>
  <c r="G97" i="65165"/>
  <c r="F97" i="65165"/>
  <c r="N29" i="65155"/>
  <c r="M29" i="65155"/>
  <c r="L29" i="65155"/>
  <c r="J29" i="65155"/>
  <c r="N31" i="65155"/>
  <c r="K31" i="65155"/>
  <c r="O31" i="65155" s="1"/>
  <c r="N52" i="65156"/>
  <c r="M52" i="65156"/>
  <c r="L52" i="65156"/>
  <c r="N44" i="65156"/>
  <c r="M44" i="65156"/>
  <c r="L44" i="65156"/>
  <c r="J44" i="65156"/>
  <c r="N45" i="65156"/>
  <c r="K45" i="65156"/>
  <c r="O45" i="65156" s="1"/>
  <c r="O43" i="65156"/>
  <c r="N57" i="65145"/>
  <c r="M57" i="65145"/>
  <c r="N203" i="65145"/>
  <c r="M203" i="65145"/>
  <c r="L203" i="65145"/>
  <c r="J203" i="65145"/>
  <c r="I203" i="65145"/>
  <c r="O206" i="65145"/>
  <c r="O201" i="65145"/>
  <c r="N200" i="65145"/>
  <c r="K200" i="65145"/>
  <c r="O200" i="65145" s="1"/>
  <c r="N199" i="65145"/>
  <c r="K199" i="65145"/>
  <c r="O199" i="65145" s="1"/>
  <c r="N198" i="65145"/>
  <c r="M198" i="65145"/>
  <c r="L198" i="65145"/>
  <c r="J198" i="65145"/>
  <c r="O197" i="65145"/>
  <c r="N196" i="65145"/>
  <c r="K196" i="65145"/>
  <c r="O196" i="65145" s="1"/>
  <c r="N195" i="65145"/>
  <c r="K195" i="65145"/>
  <c r="O195" i="65145" s="1"/>
  <c r="N194" i="65145"/>
  <c r="K194" i="65145"/>
  <c r="O194" i="65145" s="1"/>
  <c r="N193" i="65145"/>
  <c r="K193" i="65145"/>
  <c r="O193" i="65145" s="1"/>
  <c r="N192" i="65145"/>
  <c r="K192" i="65145"/>
  <c r="O192" i="65145" s="1"/>
  <c r="N191" i="65145"/>
  <c r="K191" i="65145"/>
  <c r="O191" i="65145" s="1"/>
  <c r="N190" i="65145"/>
  <c r="K190" i="65145"/>
  <c r="N189" i="65145"/>
  <c r="K189" i="65145"/>
  <c r="O189" i="65145" s="1"/>
  <c r="N188" i="65145"/>
  <c r="K188" i="65145"/>
  <c r="M187" i="65145"/>
  <c r="L187" i="65145"/>
  <c r="J187" i="65145"/>
  <c r="O186" i="65145"/>
  <c r="N185" i="65145"/>
  <c r="N184" i="65145" s="1"/>
  <c r="K185" i="65145"/>
  <c r="K184" i="65145" s="1"/>
  <c r="M184" i="65145"/>
  <c r="L184" i="65145"/>
  <c r="J184" i="65145"/>
  <c r="O183" i="65145"/>
  <c r="N182" i="65145"/>
  <c r="K182" i="65145"/>
  <c r="O182" i="65145" s="1"/>
  <c r="N181" i="65145"/>
  <c r="K181" i="65145"/>
  <c r="O181" i="65145" s="1"/>
  <c r="N180" i="65145"/>
  <c r="M180" i="65145"/>
  <c r="L180" i="65145"/>
  <c r="J180" i="65145"/>
  <c r="O179" i="65145"/>
  <c r="H82" i="65165" l="1"/>
  <c r="L82" i="65165" s="1"/>
  <c r="K44" i="65156"/>
  <c r="H97" i="65165"/>
  <c r="L97" i="65165" s="1"/>
  <c r="K198" i="65145"/>
  <c r="O184" i="65145"/>
  <c r="N187" i="65145"/>
  <c r="O190" i="65145"/>
  <c r="K187" i="65145"/>
  <c r="O187" i="65145" s="1"/>
  <c r="K180" i="65145"/>
  <c r="O180" i="65145" s="1"/>
  <c r="O188" i="65145"/>
  <c r="O185" i="65145"/>
  <c r="K203" i="65145" l="1"/>
  <c r="O198" i="65145"/>
  <c r="O203" i="65145"/>
  <c r="K70" i="65165" l="1"/>
  <c r="J70" i="65165"/>
  <c r="I70" i="65165"/>
  <c r="G70" i="65165"/>
  <c r="F70" i="65165"/>
  <c r="K61" i="65165"/>
  <c r="J61" i="65165"/>
  <c r="I61" i="65165"/>
  <c r="G61" i="65165"/>
  <c r="F61" i="65165"/>
  <c r="K63" i="65165"/>
  <c r="J63" i="65165"/>
  <c r="I63" i="65165"/>
  <c r="G63" i="65165"/>
  <c r="F63" i="65165"/>
  <c r="J19" i="65165"/>
  <c r="I19" i="65165"/>
  <c r="G19" i="65165"/>
  <c r="F19" i="65165"/>
  <c r="J68" i="65165"/>
  <c r="I68" i="65165"/>
  <c r="G68" i="65165"/>
  <c r="F68" i="65165"/>
  <c r="N38" i="65156"/>
  <c r="K38" i="65156"/>
  <c r="H63" i="65165" s="1"/>
  <c r="N37" i="65156"/>
  <c r="K37" i="65156"/>
  <c r="K3" i="65165"/>
  <c r="J105" i="65165"/>
  <c r="I105" i="65165"/>
  <c r="G105" i="65165"/>
  <c r="F105" i="65165"/>
  <c r="J73" i="65165"/>
  <c r="I73" i="65165"/>
  <c r="G73" i="65165"/>
  <c r="F73" i="65165"/>
  <c r="M48" i="65145"/>
  <c r="L48" i="65145"/>
  <c r="J48" i="65145"/>
  <c r="N49" i="65145"/>
  <c r="K49" i="65145"/>
  <c r="H105" i="65165" s="1"/>
  <c r="M37" i="65145"/>
  <c r="L37" i="65145"/>
  <c r="J37" i="65145"/>
  <c r="N43" i="65145"/>
  <c r="K43" i="65145"/>
  <c r="O43" i="65145" s="1"/>
  <c r="J115" i="65165"/>
  <c r="I115" i="65165"/>
  <c r="J114" i="65165"/>
  <c r="I114" i="65165"/>
  <c r="G115" i="65165"/>
  <c r="G114" i="65165"/>
  <c r="F115" i="65165"/>
  <c r="F114" i="65165"/>
  <c r="J111" i="65165"/>
  <c r="I111" i="65165"/>
  <c r="J110" i="65165"/>
  <c r="I110" i="65165"/>
  <c r="J108" i="65165"/>
  <c r="I108" i="65165"/>
  <c r="G111" i="65165"/>
  <c r="G110" i="65165"/>
  <c r="G108" i="65165"/>
  <c r="F111" i="65165"/>
  <c r="F110" i="65165"/>
  <c r="F108" i="65165"/>
  <c r="J102" i="65165"/>
  <c r="I102" i="65165"/>
  <c r="J101" i="65165"/>
  <c r="I101" i="65165"/>
  <c r="G102" i="65165"/>
  <c r="G101" i="65165"/>
  <c r="F102" i="65165"/>
  <c r="F101" i="65165"/>
  <c r="J98" i="65165"/>
  <c r="I98" i="65165"/>
  <c r="J96" i="65165"/>
  <c r="I96" i="65165"/>
  <c r="J95" i="65165"/>
  <c r="I95" i="65165"/>
  <c r="J94" i="65165"/>
  <c r="I94" i="65165"/>
  <c r="J93" i="65165"/>
  <c r="I93" i="65165"/>
  <c r="G98" i="65165"/>
  <c r="G96" i="65165"/>
  <c r="G95" i="65165"/>
  <c r="G94" i="65165"/>
  <c r="G93" i="65165"/>
  <c r="F98" i="65165"/>
  <c r="F96" i="65165"/>
  <c r="F95" i="65165"/>
  <c r="F94" i="65165"/>
  <c r="F93" i="65165"/>
  <c r="J90" i="65165"/>
  <c r="I90" i="65165"/>
  <c r="J89" i="65165"/>
  <c r="I89" i="65165"/>
  <c r="G90" i="65165"/>
  <c r="G89" i="65165"/>
  <c r="F90" i="65165"/>
  <c r="F89" i="65165"/>
  <c r="J87" i="65165"/>
  <c r="I87" i="65165"/>
  <c r="J86" i="65165"/>
  <c r="I86" i="65165"/>
  <c r="J85" i="65165"/>
  <c r="I85" i="65165"/>
  <c r="J84" i="65165"/>
  <c r="I84" i="65165"/>
  <c r="G87" i="65165"/>
  <c r="G86" i="65165"/>
  <c r="G85" i="65165"/>
  <c r="G84" i="65165"/>
  <c r="F86" i="65165"/>
  <c r="F87" i="65165"/>
  <c r="F85" i="65165"/>
  <c r="F84" i="65165"/>
  <c r="J81" i="65165"/>
  <c r="I81" i="65165"/>
  <c r="J80" i="65165"/>
  <c r="I80" i="65165"/>
  <c r="J79" i="65165"/>
  <c r="I79" i="65165"/>
  <c r="J78" i="65165"/>
  <c r="I78" i="65165"/>
  <c r="J77" i="65165"/>
  <c r="I77" i="65165"/>
  <c r="J76" i="65165"/>
  <c r="I76" i="65165"/>
  <c r="J75" i="65165"/>
  <c r="I75" i="65165"/>
  <c r="J74" i="65165"/>
  <c r="I74" i="65165"/>
  <c r="J72" i="65165"/>
  <c r="I72" i="65165"/>
  <c r="G81" i="65165"/>
  <c r="G80" i="65165"/>
  <c r="G79" i="65165"/>
  <c r="G78" i="65165"/>
  <c r="G77" i="65165"/>
  <c r="G76" i="65165"/>
  <c r="G75" i="65165"/>
  <c r="G74" i="65165"/>
  <c r="G72" i="65165"/>
  <c r="F81" i="65165"/>
  <c r="F80" i="65165"/>
  <c r="F79" i="65165"/>
  <c r="F78" i="65165"/>
  <c r="F77" i="65165"/>
  <c r="F75" i="65165"/>
  <c r="F74" i="65165"/>
  <c r="F72" i="65165"/>
  <c r="J69" i="65165"/>
  <c r="I69" i="65165"/>
  <c r="J67" i="65165"/>
  <c r="I67" i="65165"/>
  <c r="J66" i="65165"/>
  <c r="I66" i="65165"/>
  <c r="J65" i="65165"/>
  <c r="I65" i="65165"/>
  <c r="J64" i="65165"/>
  <c r="I64" i="65165"/>
  <c r="G69" i="65165"/>
  <c r="G67" i="65165"/>
  <c r="G66" i="65165"/>
  <c r="G65" i="65165"/>
  <c r="G64" i="65165"/>
  <c r="F69" i="65165"/>
  <c r="F67" i="65165"/>
  <c r="F66" i="65165"/>
  <c r="F65" i="65165"/>
  <c r="F64" i="65165"/>
  <c r="J60" i="65165"/>
  <c r="I60" i="65165"/>
  <c r="J59" i="65165"/>
  <c r="I59" i="65165"/>
  <c r="J58" i="65165"/>
  <c r="I58" i="65165"/>
  <c r="J57" i="65165"/>
  <c r="I57" i="65165"/>
  <c r="J56" i="65165"/>
  <c r="I56" i="65165"/>
  <c r="J55" i="65165"/>
  <c r="I55" i="65165"/>
  <c r="J54" i="65165"/>
  <c r="I54" i="65165"/>
  <c r="J53" i="65165"/>
  <c r="I53" i="65165"/>
  <c r="G60" i="65165"/>
  <c r="G59" i="65165"/>
  <c r="G58" i="65165"/>
  <c r="G57" i="65165"/>
  <c r="G56" i="65165"/>
  <c r="G55" i="65165"/>
  <c r="G54" i="65165"/>
  <c r="G53" i="65165"/>
  <c r="F60" i="65165"/>
  <c r="F59" i="65165"/>
  <c r="F58" i="65165"/>
  <c r="F57" i="65165"/>
  <c r="F56" i="65165"/>
  <c r="F55" i="65165"/>
  <c r="F54" i="65165"/>
  <c r="F53" i="65165"/>
  <c r="J48" i="65165"/>
  <c r="I48" i="65165"/>
  <c r="G48" i="65165"/>
  <c r="F48" i="65165"/>
  <c r="J47" i="65165"/>
  <c r="I47" i="65165"/>
  <c r="G47" i="65165"/>
  <c r="F47" i="65165"/>
  <c r="J46" i="65165"/>
  <c r="I46" i="65165"/>
  <c r="G46" i="65165"/>
  <c r="F46" i="65165"/>
  <c r="J45" i="65165"/>
  <c r="I45" i="65165"/>
  <c r="G45" i="65165"/>
  <c r="F45" i="65165"/>
  <c r="J44" i="65165"/>
  <c r="I44" i="65165"/>
  <c r="G44" i="65165"/>
  <c r="F44" i="65165"/>
  <c r="J43" i="65165"/>
  <c r="I43" i="65165"/>
  <c r="G43" i="65165"/>
  <c r="F43" i="65165"/>
  <c r="J42" i="65165"/>
  <c r="I42" i="65165"/>
  <c r="G42" i="65165"/>
  <c r="F42" i="65165"/>
  <c r="J40" i="65165"/>
  <c r="I40" i="65165"/>
  <c r="G40" i="65165"/>
  <c r="F40" i="65165"/>
  <c r="I71" i="65165" l="1"/>
  <c r="G71" i="65165"/>
  <c r="J71" i="65165"/>
  <c r="I52" i="65165"/>
  <c r="J52" i="65165"/>
  <c r="G52" i="65165"/>
  <c r="F52" i="65165"/>
  <c r="H68" i="65165"/>
  <c r="O38" i="65156"/>
  <c r="K68" i="65165"/>
  <c r="L63" i="65165"/>
  <c r="K105" i="65165"/>
  <c r="L105" i="65165" s="1"/>
  <c r="O49" i="65145"/>
  <c r="H73" i="65165"/>
  <c r="O37" i="65156"/>
  <c r="K73" i="65165"/>
  <c r="J36" i="65165"/>
  <c r="I36" i="65165"/>
  <c r="G36" i="65165"/>
  <c r="F36" i="65165"/>
  <c r="J31" i="65165"/>
  <c r="I31" i="65165"/>
  <c r="G31" i="65165"/>
  <c r="F31" i="65165"/>
  <c r="J23" i="65165"/>
  <c r="I23" i="65165"/>
  <c r="G23" i="65165"/>
  <c r="F23" i="65165"/>
  <c r="K115" i="65165"/>
  <c r="K114" i="65165"/>
  <c r="H115" i="65165"/>
  <c r="H114" i="65165"/>
  <c r="K111" i="65165"/>
  <c r="K110" i="65165"/>
  <c r="K108" i="65165"/>
  <c r="H111" i="65165"/>
  <c r="H110" i="65165"/>
  <c r="H108" i="65165"/>
  <c r="K102" i="65165"/>
  <c r="K101" i="65165"/>
  <c r="H102" i="65165"/>
  <c r="H101" i="65165"/>
  <c r="K98" i="65165"/>
  <c r="K96" i="65165"/>
  <c r="K95" i="65165"/>
  <c r="K94" i="65165"/>
  <c r="K93" i="65165"/>
  <c r="H98" i="65165"/>
  <c r="H96" i="65165"/>
  <c r="L96" i="65165" s="1"/>
  <c r="H95" i="65165"/>
  <c r="H94" i="65165"/>
  <c r="H93" i="65165"/>
  <c r="K90" i="65165"/>
  <c r="K89" i="65165"/>
  <c r="K87" i="65165"/>
  <c r="K86" i="65165"/>
  <c r="K85" i="65165"/>
  <c r="K84" i="65165"/>
  <c r="K81" i="65165"/>
  <c r="K80" i="65165"/>
  <c r="K79" i="65165"/>
  <c r="K78" i="65165"/>
  <c r="K77" i="65165"/>
  <c r="K76" i="65165"/>
  <c r="K75" i="65165"/>
  <c r="K74" i="65165"/>
  <c r="K72" i="65165"/>
  <c r="K69" i="65165"/>
  <c r="K67" i="65165"/>
  <c r="K66" i="65165"/>
  <c r="K65" i="65165"/>
  <c r="K64" i="65165"/>
  <c r="K60" i="65165"/>
  <c r="K59" i="65165"/>
  <c r="K58" i="65165"/>
  <c r="K57" i="65165"/>
  <c r="K56" i="65165"/>
  <c r="K55" i="65165"/>
  <c r="K54" i="65165"/>
  <c r="K53" i="65165"/>
  <c r="H90" i="65165"/>
  <c r="H89" i="65165"/>
  <c r="H87" i="65165"/>
  <c r="H86" i="65165"/>
  <c r="H85" i="65165"/>
  <c r="H84" i="65165"/>
  <c r="H81" i="65165"/>
  <c r="H80" i="65165"/>
  <c r="H79" i="65165"/>
  <c r="H78" i="65165"/>
  <c r="H77" i="65165"/>
  <c r="H75" i="65165"/>
  <c r="H74" i="65165"/>
  <c r="H72" i="65165"/>
  <c r="H69" i="65165"/>
  <c r="H67" i="65165"/>
  <c r="H66" i="65165"/>
  <c r="H65" i="65165"/>
  <c r="H64" i="65165"/>
  <c r="H60" i="65165"/>
  <c r="H59" i="65165"/>
  <c r="H58" i="65165"/>
  <c r="H57" i="65165"/>
  <c r="H56" i="65165"/>
  <c r="H55" i="65165"/>
  <c r="H54" i="65165"/>
  <c r="H53" i="65165"/>
  <c r="K48" i="65165"/>
  <c r="K47" i="65165"/>
  <c r="K46" i="65165"/>
  <c r="K45" i="65165"/>
  <c r="K44" i="65165"/>
  <c r="K43" i="65165"/>
  <c r="K42" i="65165"/>
  <c r="H48" i="65165"/>
  <c r="H47" i="65165"/>
  <c r="H46" i="65165"/>
  <c r="H45" i="65165"/>
  <c r="H44" i="65165"/>
  <c r="H43" i="65165"/>
  <c r="H42" i="65165"/>
  <c r="I13" i="65165"/>
  <c r="I12" i="65165"/>
  <c r="I11" i="65165"/>
  <c r="G13" i="65165"/>
  <c r="G12" i="65165"/>
  <c r="G11" i="65165"/>
  <c r="F13" i="65165"/>
  <c r="F12" i="65165"/>
  <c r="F11" i="65165"/>
  <c r="I10" i="65165"/>
  <c r="G10" i="65165"/>
  <c r="F10" i="65165"/>
  <c r="L117" i="65165"/>
  <c r="L116" i="65165"/>
  <c r="L112" i="65165"/>
  <c r="L103" i="65165"/>
  <c r="L99" i="65165"/>
  <c r="L91" i="65165"/>
  <c r="L50" i="65165"/>
  <c r="L24" i="65165"/>
  <c r="L20" i="65165"/>
  <c r="L14" i="65165"/>
  <c r="J113" i="65165"/>
  <c r="F113" i="65165"/>
  <c r="I113" i="65165"/>
  <c r="G113" i="65165"/>
  <c r="J104" i="65165"/>
  <c r="F104" i="65165"/>
  <c r="I104" i="65165"/>
  <c r="G104" i="65165"/>
  <c r="J100" i="65165"/>
  <c r="F100" i="65165"/>
  <c r="I100" i="65165"/>
  <c r="G100" i="65165"/>
  <c r="J92" i="65165"/>
  <c r="F92" i="65165"/>
  <c r="I92" i="65165"/>
  <c r="G92" i="65165"/>
  <c r="J88" i="65165"/>
  <c r="F88" i="65165"/>
  <c r="I88" i="65165"/>
  <c r="G88" i="65165"/>
  <c r="I83" i="65165"/>
  <c r="J83" i="65165"/>
  <c r="F83" i="65165"/>
  <c r="J62" i="65165"/>
  <c r="F62" i="65165"/>
  <c r="I62" i="65165"/>
  <c r="G62" i="65165"/>
  <c r="J37" i="65165"/>
  <c r="I37" i="65165"/>
  <c r="L8" i="65165"/>
  <c r="K71" i="65165" l="1"/>
  <c r="L55" i="65165"/>
  <c r="L66" i="65165"/>
  <c r="L56" i="65165"/>
  <c r="L68" i="65165"/>
  <c r="K52" i="65165"/>
  <c r="L77" i="65165"/>
  <c r="L86" i="65165"/>
  <c r="L78" i="65165"/>
  <c r="L53" i="65165"/>
  <c r="L57" i="65165"/>
  <c r="L69" i="65165"/>
  <c r="L102" i="65165"/>
  <c r="L54" i="65165"/>
  <c r="L58" i="65165"/>
  <c r="L65" i="65165"/>
  <c r="L90" i="65165"/>
  <c r="L98" i="65165"/>
  <c r="K100" i="65165"/>
  <c r="F21" i="65165"/>
  <c r="L59" i="65165"/>
  <c r="L67" i="65165"/>
  <c r="L101" i="65165"/>
  <c r="L114" i="65165"/>
  <c r="L95" i="65165"/>
  <c r="L75" i="65165"/>
  <c r="L72" i="65165"/>
  <c r="I21" i="65165"/>
  <c r="L73" i="65165"/>
  <c r="L43" i="65165"/>
  <c r="L108" i="65165"/>
  <c r="L64" i="65165"/>
  <c r="L74" i="65165"/>
  <c r="L46" i="65165"/>
  <c r="L42" i="65165"/>
  <c r="L48" i="65165"/>
  <c r="K88" i="65165"/>
  <c r="L44" i="65165"/>
  <c r="J34" i="65165"/>
  <c r="L84" i="65165"/>
  <c r="L89" i="65165"/>
  <c r="K92" i="65165"/>
  <c r="L45" i="65165"/>
  <c r="L80" i="65165"/>
  <c r="I34" i="65165"/>
  <c r="L79" i="65165"/>
  <c r="L81" i="65165"/>
  <c r="H31" i="65165"/>
  <c r="L93" i="65165"/>
  <c r="H13" i="65165"/>
  <c r="L94" i="65165"/>
  <c r="J9" i="65165"/>
  <c r="H100" i="65165"/>
  <c r="K10" i="65165"/>
  <c r="L111" i="65165"/>
  <c r="K113" i="65165"/>
  <c r="K11" i="65165"/>
  <c r="H36" i="65165"/>
  <c r="L115" i="65165"/>
  <c r="K36" i="65165"/>
  <c r="K12" i="65165"/>
  <c r="F29" i="65165"/>
  <c r="H113" i="65165"/>
  <c r="K13" i="65165"/>
  <c r="L85" i="65165"/>
  <c r="H39" i="65165"/>
  <c r="L39" i="65165" s="1"/>
  <c r="H10" i="65165"/>
  <c r="H92" i="65165"/>
  <c r="L110" i="65165"/>
  <c r="I29" i="65165"/>
  <c r="F17" i="65165"/>
  <c r="F15" i="65165" s="1"/>
  <c r="G34" i="65165"/>
  <c r="H12" i="65165"/>
  <c r="J17" i="65165"/>
  <c r="J15" i="65165" s="1"/>
  <c r="F37" i="65165"/>
  <c r="K37" i="65165"/>
  <c r="I51" i="65165"/>
  <c r="H23" i="65165"/>
  <c r="F9" i="65165"/>
  <c r="I17" i="65165"/>
  <c r="H11" i="65165"/>
  <c r="F34" i="65165"/>
  <c r="K39" i="65165"/>
  <c r="L60" i="65165"/>
  <c r="L87" i="65165"/>
  <c r="K31" i="65165"/>
  <c r="K62" i="65165"/>
  <c r="K83" i="65165"/>
  <c r="L47" i="65165"/>
  <c r="H88" i="65165"/>
  <c r="J51" i="65165"/>
  <c r="H62" i="65165"/>
  <c r="J29" i="65165"/>
  <c r="K23" i="65165"/>
  <c r="J21" i="65165"/>
  <c r="I9" i="65165"/>
  <c r="G9" i="65165"/>
  <c r="G17" i="65165"/>
  <c r="G21" i="65165"/>
  <c r="G29" i="65165"/>
  <c r="G37" i="65165"/>
  <c r="G83" i="65165"/>
  <c r="H83" i="65165" s="1"/>
  <c r="L100" i="65165" l="1"/>
  <c r="L10" i="65165"/>
  <c r="I25" i="65165"/>
  <c r="L88" i="65165"/>
  <c r="L113" i="65165"/>
  <c r="L11" i="65165"/>
  <c r="L92" i="65165"/>
  <c r="L13" i="65165"/>
  <c r="K9" i="65165"/>
  <c r="L31" i="65165"/>
  <c r="K34" i="65165"/>
  <c r="L12" i="65165"/>
  <c r="K17" i="65165"/>
  <c r="I15" i="65165"/>
  <c r="L36" i="65165"/>
  <c r="H29" i="65165"/>
  <c r="H37" i="65165"/>
  <c r="L37" i="65165" s="1"/>
  <c r="H34" i="65165"/>
  <c r="F25" i="65165"/>
  <c r="H9" i="65165"/>
  <c r="H17" i="65165"/>
  <c r="K29" i="65165"/>
  <c r="K51" i="65165"/>
  <c r="L23" i="65165"/>
  <c r="L62" i="65165"/>
  <c r="L83" i="65165"/>
  <c r="J25" i="65165"/>
  <c r="J7" i="65165" s="1"/>
  <c r="G51" i="65165"/>
  <c r="G25" i="65165"/>
  <c r="G15" i="65165"/>
  <c r="I7" i="65165" l="1"/>
  <c r="L9" i="65165"/>
  <c r="L34" i="65165"/>
  <c r="L17" i="65165"/>
  <c r="L29" i="65165"/>
  <c r="G7" i="65165"/>
  <c r="O43" i="65153" l="1"/>
  <c r="O37" i="65153"/>
  <c r="N36" i="65153"/>
  <c r="K36" i="65153"/>
  <c r="N35" i="65153"/>
  <c r="K35" i="65153"/>
  <c r="K33" i="65153" s="1"/>
  <c r="N34" i="65153"/>
  <c r="K34" i="65153"/>
  <c r="M33" i="65153"/>
  <c r="L33" i="65153"/>
  <c r="J33" i="65153"/>
  <c r="O32" i="65153"/>
  <c r="N31" i="65153"/>
  <c r="K31" i="65153"/>
  <c r="N30" i="65153"/>
  <c r="K30" i="65153"/>
  <c r="H61" i="65165" s="1"/>
  <c r="M29" i="65153"/>
  <c r="L29" i="65153"/>
  <c r="J29" i="65153"/>
  <c r="O28" i="65153"/>
  <c r="N27" i="65153"/>
  <c r="K27" i="65153"/>
  <c r="N26" i="65153"/>
  <c r="K26" i="65153"/>
  <c r="N25" i="65153"/>
  <c r="K25" i="65153"/>
  <c r="N24" i="65153"/>
  <c r="K24" i="65153"/>
  <c r="O24" i="65153" s="1"/>
  <c r="N23" i="65153"/>
  <c r="K23" i="65153"/>
  <c r="N22" i="65153"/>
  <c r="K22" i="65153"/>
  <c r="N21" i="65153"/>
  <c r="K21" i="65153"/>
  <c r="N20" i="65153"/>
  <c r="K20" i="65153"/>
  <c r="N19" i="65153"/>
  <c r="N18" i="65153" s="1"/>
  <c r="K19" i="65153"/>
  <c r="M18" i="65153"/>
  <c r="L18" i="65153"/>
  <c r="J18" i="65153"/>
  <c r="O17" i="65153"/>
  <c r="N16" i="65153"/>
  <c r="N15" i="65153" s="1"/>
  <c r="K16" i="65153"/>
  <c r="M15" i="65153"/>
  <c r="L15" i="65153"/>
  <c r="J15" i="65153"/>
  <c r="O14" i="65153"/>
  <c r="N13" i="65153"/>
  <c r="K13" i="65153"/>
  <c r="N12" i="65153"/>
  <c r="N11" i="65153" s="1"/>
  <c r="K12" i="65153"/>
  <c r="M11" i="65153"/>
  <c r="L11" i="65153"/>
  <c r="J11" i="65153"/>
  <c r="O10" i="65153"/>
  <c r="O38" i="65152"/>
  <c r="O32" i="65152"/>
  <c r="N31" i="65152"/>
  <c r="K31" i="65152"/>
  <c r="N30" i="65152"/>
  <c r="N29" i="65152" s="1"/>
  <c r="K30" i="65152"/>
  <c r="M29" i="65152"/>
  <c r="L29" i="65152"/>
  <c r="J29" i="65152"/>
  <c r="O28" i="65152"/>
  <c r="N27" i="65152"/>
  <c r="K27" i="65152"/>
  <c r="N26" i="65152"/>
  <c r="K26" i="65152"/>
  <c r="N25" i="65152"/>
  <c r="K25" i="65152"/>
  <c r="N24" i="65152"/>
  <c r="K24" i="65152"/>
  <c r="O24" i="65152" s="1"/>
  <c r="N23" i="65152"/>
  <c r="K23" i="65152"/>
  <c r="N22" i="65152"/>
  <c r="K22" i="65152"/>
  <c r="N21" i="65152"/>
  <c r="K21" i="65152"/>
  <c r="N20" i="65152"/>
  <c r="K20" i="65152"/>
  <c r="N19" i="65152"/>
  <c r="K19" i="65152"/>
  <c r="M18" i="65152"/>
  <c r="L18" i="65152"/>
  <c r="J18" i="65152"/>
  <c r="O17" i="65152"/>
  <c r="N16" i="65152"/>
  <c r="N15" i="65152" s="1"/>
  <c r="K16" i="65152"/>
  <c r="K15" i="65152" s="1"/>
  <c r="M15" i="65152"/>
  <c r="L15" i="65152"/>
  <c r="J15" i="65152"/>
  <c r="O14" i="65152"/>
  <c r="N13" i="65152"/>
  <c r="K13" i="65152"/>
  <c r="N12" i="65152"/>
  <c r="K12" i="65152"/>
  <c r="M11" i="65152"/>
  <c r="L11" i="65152"/>
  <c r="J11" i="65152"/>
  <c r="O10" i="65152"/>
  <c r="O38" i="65151"/>
  <c r="O32" i="65151"/>
  <c r="N31" i="65151"/>
  <c r="K31" i="65151"/>
  <c r="N30" i="65151"/>
  <c r="K30" i="65151"/>
  <c r="O30" i="65151" s="1"/>
  <c r="M29" i="65151"/>
  <c r="L29" i="65151"/>
  <c r="J29" i="65151"/>
  <c r="O28" i="65151"/>
  <c r="N27" i="65151"/>
  <c r="K27" i="65151"/>
  <c r="N26" i="65151"/>
  <c r="K26" i="65151"/>
  <c r="O26" i="65151" s="1"/>
  <c r="N25" i="65151"/>
  <c r="K25" i="65151"/>
  <c r="N24" i="65151"/>
  <c r="K24" i="65151"/>
  <c r="O24" i="65151" s="1"/>
  <c r="N23" i="65151"/>
  <c r="K23" i="65151"/>
  <c r="O23" i="65151" s="1"/>
  <c r="N22" i="65151"/>
  <c r="K22" i="65151"/>
  <c r="O22" i="65151" s="1"/>
  <c r="N21" i="65151"/>
  <c r="K21" i="65151"/>
  <c r="N20" i="65151"/>
  <c r="K20" i="65151"/>
  <c r="O20" i="65151" s="1"/>
  <c r="N19" i="65151"/>
  <c r="K19" i="65151"/>
  <c r="M18" i="65151"/>
  <c r="L18" i="65151"/>
  <c r="J18" i="65151"/>
  <c r="O17" i="65151"/>
  <c r="N16" i="65151"/>
  <c r="N15" i="65151" s="1"/>
  <c r="K16" i="65151"/>
  <c r="K15" i="65151" s="1"/>
  <c r="M15" i="65151"/>
  <c r="L15" i="65151"/>
  <c r="J15" i="65151"/>
  <c r="O14" i="65151"/>
  <c r="N13" i="65151"/>
  <c r="K13" i="65151"/>
  <c r="N12" i="65151"/>
  <c r="K12" i="65151"/>
  <c r="M11" i="65151"/>
  <c r="L11" i="65151"/>
  <c r="J11" i="65151"/>
  <c r="O10" i="65151"/>
  <c r="O38" i="65150"/>
  <c r="O32" i="65150"/>
  <c r="N31" i="65150"/>
  <c r="K31" i="65150"/>
  <c r="N30" i="65150"/>
  <c r="N29" i="65150" s="1"/>
  <c r="K30" i="65150"/>
  <c r="O30" i="65150" s="1"/>
  <c r="M29" i="65150"/>
  <c r="L29" i="65150"/>
  <c r="J29" i="65150"/>
  <c r="O28" i="65150"/>
  <c r="N27" i="65150"/>
  <c r="K27" i="65150"/>
  <c r="N26" i="65150"/>
  <c r="K26" i="65150"/>
  <c r="N25" i="65150"/>
  <c r="K25" i="65150"/>
  <c r="N24" i="65150"/>
  <c r="K24" i="65150"/>
  <c r="O24" i="65150" s="1"/>
  <c r="N23" i="65150"/>
  <c r="K23" i="65150"/>
  <c r="N22" i="65150"/>
  <c r="K22" i="65150"/>
  <c r="N21" i="65150"/>
  <c r="K21" i="65150"/>
  <c r="N20" i="65150"/>
  <c r="K20" i="65150"/>
  <c r="N19" i="65150"/>
  <c r="N18" i="65150" s="1"/>
  <c r="K19" i="65150"/>
  <c r="M18" i="65150"/>
  <c r="L18" i="65150"/>
  <c r="J18" i="65150"/>
  <c r="O17" i="65150"/>
  <c r="N16" i="65150"/>
  <c r="N15" i="65150" s="1"/>
  <c r="K16" i="65150"/>
  <c r="K15" i="65150" s="1"/>
  <c r="M15" i="65150"/>
  <c r="L15" i="65150"/>
  <c r="J15" i="65150"/>
  <c r="O14" i="65150"/>
  <c r="N13" i="65150"/>
  <c r="K13" i="65150"/>
  <c r="N12" i="65150"/>
  <c r="K12" i="65150"/>
  <c r="M11" i="65150"/>
  <c r="L11" i="65150"/>
  <c r="J11" i="65150"/>
  <c r="O10" i="65150"/>
  <c r="O32" i="65149"/>
  <c r="N31" i="65149"/>
  <c r="N29" i="65149" s="1"/>
  <c r="K31" i="65149"/>
  <c r="N30" i="65149"/>
  <c r="K30" i="65149"/>
  <c r="O30" i="65149" s="1"/>
  <c r="M29" i="65149"/>
  <c r="L29" i="65149"/>
  <c r="J29" i="65149"/>
  <c r="O28" i="65149"/>
  <c r="N27" i="65149"/>
  <c r="K27" i="65149"/>
  <c r="N26" i="65149"/>
  <c r="K26" i="65149"/>
  <c r="N25" i="65149"/>
  <c r="K25" i="65149"/>
  <c r="N24" i="65149"/>
  <c r="K24" i="65149"/>
  <c r="O24" i="65149" s="1"/>
  <c r="N23" i="65149"/>
  <c r="K23" i="65149"/>
  <c r="N22" i="65149"/>
  <c r="K22" i="65149"/>
  <c r="N21" i="65149"/>
  <c r="K21" i="65149"/>
  <c r="N20" i="65149"/>
  <c r="K20" i="65149"/>
  <c r="N19" i="65149"/>
  <c r="N18" i="65149" s="1"/>
  <c r="K19" i="65149"/>
  <c r="M18" i="65149"/>
  <c r="L18" i="65149"/>
  <c r="J18" i="65149"/>
  <c r="O17" i="65149"/>
  <c r="N16" i="65149"/>
  <c r="N15" i="65149" s="1"/>
  <c r="K16" i="65149"/>
  <c r="K15" i="65149" s="1"/>
  <c r="O15" i="65149" s="1"/>
  <c r="M15" i="65149"/>
  <c r="L15" i="65149"/>
  <c r="J15" i="65149"/>
  <c r="O14" i="65149"/>
  <c r="N13" i="65149"/>
  <c r="K13" i="65149"/>
  <c r="N12" i="65149"/>
  <c r="K12" i="65149"/>
  <c r="M11" i="65149"/>
  <c r="L11" i="65149"/>
  <c r="J11" i="65149"/>
  <c r="O10" i="65149"/>
  <c r="O38" i="65154"/>
  <c r="O32" i="65154"/>
  <c r="N31" i="65154"/>
  <c r="K31" i="65154"/>
  <c r="O31" i="65154" s="1"/>
  <c r="N30" i="65154"/>
  <c r="K30" i="65154"/>
  <c r="O30" i="65154" s="1"/>
  <c r="M29" i="65154"/>
  <c r="L29" i="65154"/>
  <c r="J29" i="65154"/>
  <c r="O28" i="65154"/>
  <c r="N27" i="65154"/>
  <c r="K27" i="65154"/>
  <c r="N26" i="65154"/>
  <c r="K26" i="65154"/>
  <c r="O26" i="65154" s="1"/>
  <c r="N25" i="65154"/>
  <c r="K25" i="65154"/>
  <c r="N24" i="65154"/>
  <c r="K24" i="65154"/>
  <c r="O24" i="65154" s="1"/>
  <c r="N23" i="65154"/>
  <c r="K23" i="65154"/>
  <c r="O23" i="65154" s="1"/>
  <c r="N22" i="65154"/>
  <c r="K22" i="65154"/>
  <c r="N21" i="65154"/>
  <c r="K21" i="65154"/>
  <c r="N20" i="65154"/>
  <c r="K20" i="65154"/>
  <c r="N19" i="65154"/>
  <c r="N18" i="65154" s="1"/>
  <c r="K19" i="65154"/>
  <c r="M18" i="65154"/>
  <c r="L18" i="65154"/>
  <c r="J18" i="65154"/>
  <c r="O17" i="65154"/>
  <c r="N16" i="65154"/>
  <c r="N15" i="65154" s="1"/>
  <c r="K16" i="65154"/>
  <c r="M15" i="65154"/>
  <c r="L15" i="65154"/>
  <c r="J15" i="65154"/>
  <c r="O14" i="65154"/>
  <c r="N13" i="65154"/>
  <c r="K13" i="65154"/>
  <c r="N12" i="65154"/>
  <c r="K12" i="65154"/>
  <c r="M11" i="65154"/>
  <c r="L11" i="65154"/>
  <c r="J11" i="65154"/>
  <c r="O10" i="65154"/>
  <c r="O187" i="65162"/>
  <c r="O186" i="65162"/>
  <c r="O185" i="65162"/>
  <c r="O181" i="65162"/>
  <c r="N180" i="65162"/>
  <c r="K180" i="65162"/>
  <c r="N179" i="65162"/>
  <c r="K179" i="65162"/>
  <c r="M178" i="65162"/>
  <c r="L178" i="65162"/>
  <c r="J178" i="65162"/>
  <c r="O177" i="65162"/>
  <c r="N176" i="65162"/>
  <c r="K176" i="65162"/>
  <c r="N175" i="65162"/>
  <c r="K175" i="65162"/>
  <c r="O175" i="65162" s="1"/>
  <c r="N174" i="65162"/>
  <c r="K174" i="65162"/>
  <c r="N173" i="65162"/>
  <c r="K173" i="65162"/>
  <c r="O173" i="65162" s="1"/>
  <c r="N172" i="65162"/>
  <c r="K172" i="65162"/>
  <c r="O172" i="65162" s="1"/>
  <c r="N171" i="65162"/>
  <c r="K171" i="65162"/>
  <c r="N170" i="65162"/>
  <c r="K170" i="65162"/>
  <c r="O170" i="65162" s="1"/>
  <c r="N169" i="65162"/>
  <c r="K169" i="65162"/>
  <c r="O169" i="65162" s="1"/>
  <c r="N168" i="65162"/>
  <c r="K168" i="65162"/>
  <c r="M167" i="65162"/>
  <c r="L167" i="65162"/>
  <c r="J167" i="65162"/>
  <c r="O166" i="65162"/>
  <c r="N165" i="65162"/>
  <c r="N164" i="65162" s="1"/>
  <c r="K165" i="65162"/>
  <c r="M164" i="65162"/>
  <c r="L164" i="65162"/>
  <c r="J164" i="65162"/>
  <c r="O163" i="65162"/>
  <c r="N162" i="65162"/>
  <c r="K162" i="65162"/>
  <c r="N161" i="65162"/>
  <c r="K161" i="65162"/>
  <c r="M160" i="65162"/>
  <c r="L160" i="65162"/>
  <c r="J160" i="65162"/>
  <c r="O159" i="65162"/>
  <c r="O158" i="65162"/>
  <c r="O157" i="65162"/>
  <c r="O156" i="65162"/>
  <c r="O152" i="65162"/>
  <c r="N151" i="65162"/>
  <c r="K151" i="65162"/>
  <c r="N150" i="65162"/>
  <c r="K150" i="65162"/>
  <c r="M149" i="65162"/>
  <c r="L149" i="65162"/>
  <c r="J149" i="65162"/>
  <c r="O148" i="65162"/>
  <c r="N147" i="65162"/>
  <c r="K147" i="65162"/>
  <c r="N146" i="65162"/>
  <c r="K146" i="65162"/>
  <c r="O146" i="65162" s="1"/>
  <c r="N145" i="65162"/>
  <c r="K145" i="65162"/>
  <c r="N144" i="65162"/>
  <c r="K144" i="65162"/>
  <c r="O144" i="65162" s="1"/>
  <c r="N143" i="65162"/>
  <c r="K143" i="65162"/>
  <c r="O143" i="65162" s="1"/>
  <c r="N142" i="65162"/>
  <c r="K142" i="65162"/>
  <c r="N141" i="65162"/>
  <c r="K141" i="65162"/>
  <c r="N140" i="65162"/>
  <c r="K140" i="65162"/>
  <c r="O140" i="65162" s="1"/>
  <c r="N139" i="65162"/>
  <c r="K139" i="65162"/>
  <c r="M138" i="65162"/>
  <c r="L138" i="65162"/>
  <c r="J138" i="65162"/>
  <c r="O137" i="65162"/>
  <c r="N136" i="65162"/>
  <c r="N135" i="65162" s="1"/>
  <c r="K136" i="65162"/>
  <c r="M135" i="65162"/>
  <c r="L135" i="65162"/>
  <c r="J135" i="65162"/>
  <c r="O134" i="65162"/>
  <c r="N133" i="65162"/>
  <c r="K133" i="65162"/>
  <c r="N132" i="65162"/>
  <c r="K132" i="65162"/>
  <c r="M131" i="65162"/>
  <c r="L131" i="65162"/>
  <c r="J131" i="65162"/>
  <c r="O130" i="65162"/>
  <c r="O129" i="65162"/>
  <c r="O128" i="65162"/>
  <c r="O127" i="65162"/>
  <c r="O123" i="65162"/>
  <c r="N122" i="65162"/>
  <c r="K122" i="65162"/>
  <c r="N121" i="65162"/>
  <c r="K121" i="65162"/>
  <c r="M120" i="65162"/>
  <c r="L120" i="65162"/>
  <c r="J120" i="65162"/>
  <c r="O119" i="65162"/>
  <c r="N118" i="65162"/>
  <c r="K118" i="65162"/>
  <c r="N117" i="65162"/>
  <c r="K117" i="65162"/>
  <c r="O117" i="65162" s="1"/>
  <c r="N116" i="65162"/>
  <c r="K116" i="65162"/>
  <c r="N115" i="65162"/>
  <c r="K115" i="65162"/>
  <c r="O115" i="65162" s="1"/>
  <c r="N114" i="65162"/>
  <c r="K114" i="65162"/>
  <c r="O114" i="65162" s="1"/>
  <c r="N113" i="65162"/>
  <c r="K113" i="65162"/>
  <c r="N112" i="65162"/>
  <c r="K112" i="65162"/>
  <c r="N111" i="65162"/>
  <c r="K111" i="65162"/>
  <c r="O111" i="65162" s="1"/>
  <c r="N110" i="65162"/>
  <c r="K110" i="65162"/>
  <c r="M109" i="65162"/>
  <c r="L109" i="65162"/>
  <c r="J109" i="65162"/>
  <c r="O108" i="65162"/>
  <c r="N107" i="65162"/>
  <c r="N106" i="65162" s="1"/>
  <c r="K107" i="65162"/>
  <c r="K106" i="65162" s="1"/>
  <c r="M106" i="65162"/>
  <c r="L106" i="65162"/>
  <c r="J106" i="65162"/>
  <c r="O105" i="65162"/>
  <c r="N104" i="65162"/>
  <c r="K104" i="65162"/>
  <c r="N103" i="65162"/>
  <c r="K103" i="65162"/>
  <c r="M102" i="65162"/>
  <c r="L102" i="65162"/>
  <c r="J102" i="65162"/>
  <c r="O101" i="65162"/>
  <c r="O100" i="65162"/>
  <c r="O99" i="65162"/>
  <c r="O98" i="65162"/>
  <c r="O97" i="65162"/>
  <c r="O94" i="65162"/>
  <c r="N93" i="65162"/>
  <c r="K93" i="65162"/>
  <c r="N92" i="65162"/>
  <c r="K92" i="65162"/>
  <c r="M91" i="65162"/>
  <c r="L91" i="65162"/>
  <c r="J91" i="65162"/>
  <c r="O90" i="65162"/>
  <c r="N89" i="65162"/>
  <c r="K89" i="65162"/>
  <c r="N88" i="65162"/>
  <c r="K88" i="65162"/>
  <c r="O88" i="65162" s="1"/>
  <c r="N87" i="65162"/>
  <c r="K87" i="65162"/>
  <c r="O87" i="65162" s="1"/>
  <c r="N86" i="65162"/>
  <c r="K86" i="65162"/>
  <c r="O86" i="65162" s="1"/>
  <c r="N85" i="65162"/>
  <c r="K85" i="65162"/>
  <c r="O85" i="65162" s="1"/>
  <c r="N84" i="65162"/>
  <c r="K84" i="65162"/>
  <c r="N83" i="65162"/>
  <c r="K83" i="65162"/>
  <c r="N82" i="65162"/>
  <c r="K82" i="65162"/>
  <c r="O82" i="65162" s="1"/>
  <c r="N81" i="65162"/>
  <c r="K81" i="65162"/>
  <c r="M80" i="65162"/>
  <c r="L80" i="65162"/>
  <c r="J80" i="65162"/>
  <c r="O79" i="65162"/>
  <c r="N78" i="65162"/>
  <c r="N77" i="65162" s="1"/>
  <c r="K78" i="65162"/>
  <c r="M77" i="65162"/>
  <c r="L77" i="65162"/>
  <c r="J77" i="65162"/>
  <c r="O76" i="65162"/>
  <c r="N75" i="65162"/>
  <c r="K75" i="65162"/>
  <c r="N74" i="65162"/>
  <c r="K74" i="65162"/>
  <c r="M73" i="65162"/>
  <c r="L73" i="65162"/>
  <c r="J73" i="65162"/>
  <c r="O72" i="65162"/>
  <c r="O71" i="65162"/>
  <c r="O70" i="65162"/>
  <c r="O69" i="65162"/>
  <c r="O65" i="65162"/>
  <c r="N63" i="65162"/>
  <c r="K63" i="65162"/>
  <c r="N62" i="65162"/>
  <c r="K62" i="65162"/>
  <c r="O60" i="65162"/>
  <c r="O59" i="65162"/>
  <c r="N58" i="65162"/>
  <c r="K58" i="65162"/>
  <c r="N57" i="65162"/>
  <c r="K57" i="65162"/>
  <c r="N56" i="65162"/>
  <c r="K56" i="65162"/>
  <c r="N55" i="65162"/>
  <c r="K55" i="65162"/>
  <c r="O55" i="65162" s="1"/>
  <c r="N54" i="65162"/>
  <c r="K54" i="65162"/>
  <c r="N53" i="65162"/>
  <c r="K53" i="65162"/>
  <c r="N52" i="65162"/>
  <c r="K52" i="65162"/>
  <c r="N51" i="65162"/>
  <c r="K51" i="65162"/>
  <c r="N50" i="65162"/>
  <c r="K50" i="65162"/>
  <c r="M49" i="65162"/>
  <c r="L49" i="65162"/>
  <c r="J49" i="65162"/>
  <c r="O48" i="65162"/>
  <c r="N47" i="65162"/>
  <c r="N46" i="65162" s="1"/>
  <c r="K47" i="65162"/>
  <c r="K46" i="65162" s="1"/>
  <c r="M46" i="65162"/>
  <c r="L46" i="65162"/>
  <c r="J46" i="65162"/>
  <c r="O45" i="65162"/>
  <c r="N44" i="65162"/>
  <c r="K44" i="65162"/>
  <c r="N43" i="65162"/>
  <c r="K43" i="65162"/>
  <c r="M42" i="65162"/>
  <c r="L42" i="65162"/>
  <c r="J42" i="65162"/>
  <c r="O41" i="65162"/>
  <c r="O40" i="65162"/>
  <c r="O34" i="65162"/>
  <c r="N33" i="65162"/>
  <c r="K33" i="65162"/>
  <c r="N32" i="65162"/>
  <c r="K32" i="65162"/>
  <c r="M31" i="65162"/>
  <c r="L31" i="65162"/>
  <c r="J31" i="65162"/>
  <c r="O30" i="65162"/>
  <c r="N29" i="65162"/>
  <c r="K29" i="65162"/>
  <c r="N28" i="65162"/>
  <c r="K28" i="65162"/>
  <c r="N27" i="65162"/>
  <c r="K27" i="65162"/>
  <c r="N26" i="65162"/>
  <c r="K26" i="65162"/>
  <c r="O26" i="65162" s="1"/>
  <c r="N25" i="65162"/>
  <c r="K25" i="65162"/>
  <c r="N24" i="65162"/>
  <c r="K24" i="65162"/>
  <c r="N23" i="65162"/>
  <c r="K23" i="65162"/>
  <c r="N22" i="65162"/>
  <c r="K22" i="65162"/>
  <c r="N21" i="65162"/>
  <c r="K21" i="65162"/>
  <c r="N20" i="65162"/>
  <c r="K20" i="65162"/>
  <c r="N19" i="65162"/>
  <c r="K19" i="65162"/>
  <c r="M18" i="65162"/>
  <c r="L18" i="65162"/>
  <c r="J18" i="65162"/>
  <c r="O17" i="65162"/>
  <c r="N16" i="65162"/>
  <c r="K16" i="65162"/>
  <c r="M15" i="65162"/>
  <c r="L15" i="65162"/>
  <c r="J15" i="65162"/>
  <c r="O14" i="65162"/>
  <c r="N13" i="65162"/>
  <c r="K13" i="65162"/>
  <c r="N12" i="65162"/>
  <c r="K12" i="65162"/>
  <c r="M11" i="65162"/>
  <c r="L11" i="65162"/>
  <c r="J11" i="65162"/>
  <c r="O10" i="65162"/>
  <c r="O47" i="65161"/>
  <c r="O41" i="65161"/>
  <c r="N40" i="65161"/>
  <c r="N38" i="65161" s="1"/>
  <c r="K40" i="65161"/>
  <c r="N39" i="65161"/>
  <c r="K39" i="65161"/>
  <c r="O39" i="65161" s="1"/>
  <c r="M38" i="65161"/>
  <c r="L38" i="65161"/>
  <c r="J38" i="65161"/>
  <c r="O37" i="65161"/>
  <c r="N36" i="65161"/>
  <c r="K36" i="65161"/>
  <c r="O36" i="65161" s="1"/>
  <c r="N35" i="65161"/>
  <c r="N34" i="65161" s="1"/>
  <c r="K35" i="65161"/>
  <c r="M34" i="65161"/>
  <c r="L34" i="65161"/>
  <c r="J34" i="65161"/>
  <c r="O33" i="65161"/>
  <c r="N32" i="65161"/>
  <c r="K32" i="65161"/>
  <c r="N31" i="65161"/>
  <c r="K31" i="65161"/>
  <c r="M30" i="65161"/>
  <c r="L30" i="65161"/>
  <c r="J30" i="65161"/>
  <c r="O29" i="65161"/>
  <c r="N28" i="65161"/>
  <c r="K28" i="65161"/>
  <c r="O28" i="65161" s="1"/>
  <c r="N27" i="65161"/>
  <c r="K27" i="65161"/>
  <c r="O27" i="65161" s="1"/>
  <c r="N26" i="65161"/>
  <c r="K26" i="65161"/>
  <c r="O26" i="65161" s="1"/>
  <c r="N25" i="65161"/>
  <c r="K25" i="65161"/>
  <c r="O25" i="65161" s="1"/>
  <c r="N24" i="65161"/>
  <c r="K24" i="65161"/>
  <c r="O24" i="65161" s="1"/>
  <c r="N23" i="65161"/>
  <c r="K23" i="65161"/>
  <c r="O23" i="65161" s="1"/>
  <c r="N22" i="65161"/>
  <c r="K22" i="65161"/>
  <c r="N21" i="65161"/>
  <c r="K21" i="65161"/>
  <c r="O21" i="65161" s="1"/>
  <c r="N20" i="65161"/>
  <c r="K20" i="65161"/>
  <c r="O20" i="65161" s="1"/>
  <c r="N19" i="65161"/>
  <c r="K19" i="65161"/>
  <c r="O19" i="65161" s="1"/>
  <c r="M18" i="65161"/>
  <c r="L18" i="65161"/>
  <c r="J18" i="65161"/>
  <c r="O17" i="65161"/>
  <c r="N16" i="65161"/>
  <c r="K16" i="65161"/>
  <c r="K15" i="65161" s="1"/>
  <c r="N15" i="65161"/>
  <c r="M15" i="65161"/>
  <c r="L15" i="65161"/>
  <c r="J15" i="65161"/>
  <c r="O14" i="65161"/>
  <c r="N13" i="65161"/>
  <c r="K13" i="65161"/>
  <c r="N12" i="65161"/>
  <c r="K12" i="65161"/>
  <c r="M11" i="65161"/>
  <c r="L11" i="65161"/>
  <c r="J11" i="65161"/>
  <c r="O10" i="65161"/>
  <c r="O55" i="65160"/>
  <c r="O49" i="65160"/>
  <c r="N48" i="65160"/>
  <c r="N46" i="65160" s="1"/>
  <c r="K48" i="65160"/>
  <c r="N47" i="65160"/>
  <c r="K47" i="65160"/>
  <c r="M46" i="65160"/>
  <c r="L46" i="65160"/>
  <c r="J46" i="65160"/>
  <c r="O45" i="65160"/>
  <c r="N44" i="65160"/>
  <c r="K44" i="65160"/>
  <c r="N43" i="65160"/>
  <c r="K43" i="65160"/>
  <c r="M42" i="65160"/>
  <c r="L42" i="65160"/>
  <c r="J42" i="65160"/>
  <c r="O41" i="65160"/>
  <c r="N40" i="65160"/>
  <c r="K40" i="65160"/>
  <c r="N39" i="65160"/>
  <c r="N38" i="65160" s="1"/>
  <c r="K39" i="65160"/>
  <c r="M38" i="65160"/>
  <c r="L38" i="65160"/>
  <c r="J38" i="65160"/>
  <c r="O37" i="65160"/>
  <c r="N36" i="65160"/>
  <c r="K36" i="65160"/>
  <c r="N35" i="65160"/>
  <c r="K35" i="65160"/>
  <c r="N34" i="65160"/>
  <c r="K34" i="65160"/>
  <c r="M33" i="65160"/>
  <c r="L33" i="65160"/>
  <c r="J33" i="65160"/>
  <c r="O32" i="65160"/>
  <c r="N31" i="65160"/>
  <c r="K31" i="65160"/>
  <c r="N30" i="65160"/>
  <c r="K30" i="65160"/>
  <c r="N29" i="65160"/>
  <c r="K29" i="65160"/>
  <c r="N28" i="65160"/>
  <c r="K28" i="65160"/>
  <c r="N27" i="65160"/>
  <c r="K27" i="65160"/>
  <c r="O27" i="65160" s="1"/>
  <c r="N26" i="65160"/>
  <c r="K26" i="65160"/>
  <c r="O26" i="65160" s="1"/>
  <c r="N25" i="65160"/>
  <c r="K25" i="65160"/>
  <c r="N24" i="65160"/>
  <c r="K24" i="65160"/>
  <c r="N23" i="65160"/>
  <c r="K23" i="65160"/>
  <c r="O23" i="65160" s="1"/>
  <c r="N22" i="65160"/>
  <c r="K22" i="65160"/>
  <c r="M21" i="65160"/>
  <c r="L21" i="65160"/>
  <c r="J21" i="65160"/>
  <c r="O20" i="65160"/>
  <c r="N19" i="65160"/>
  <c r="N18" i="65160" s="1"/>
  <c r="K19" i="65160"/>
  <c r="K18" i="65160" s="1"/>
  <c r="M18" i="65160"/>
  <c r="L18" i="65160"/>
  <c r="J18" i="65160"/>
  <c r="O17" i="65160"/>
  <c r="N16" i="65160"/>
  <c r="K16" i="65160"/>
  <c r="N15" i="65160"/>
  <c r="K15" i="65160"/>
  <c r="M14" i="65160"/>
  <c r="L14" i="65160"/>
  <c r="J14" i="65160"/>
  <c r="O13" i="65160"/>
  <c r="N12" i="65160"/>
  <c r="N11" i="65160" s="1"/>
  <c r="K12" i="65160"/>
  <c r="K11" i="65160" s="1"/>
  <c r="M11" i="65160"/>
  <c r="L11" i="65160"/>
  <c r="J11" i="65160"/>
  <c r="O10" i="65160"/>
  <c r="O45" i="65159"/>
  <c r="O39" i="65159"/>
  <c r="N37" i="65159"/>
  <c r="K37" i="65159"/>
  <c r="N36" i="65159"/>
  <c r="K36" i="65159"/>
  <c r="K35" i="65159" s="1"/>
  <c r="O34" i="65159"/>
  <c r="N33" i="65159"/>
  <c r="K33" i="65159"/>
  <c r="N32" i="65159"/>
  <c r="K32" i="65159"/>
  <c r="N31" i="65159"/>
  <c r="K31" i="65159"/>
  <c r="N30" i="65159"/>
  <c r="K30" i="65159"/>
  <c r="M29" i="65159"/>
  <c r="L29" i="65159"/>
  <c r="J29" i="65159"/>
  <c r="O28" i="65159"/>
  <c r="N27" i="65159"/>
  <c r="K27" i="65159"/>
  <c r="N26" i="65159"/>
  <c r="K26" i="65159"/>
  <c r="O26" i="65159" s="1"/>
  <c r="N25" i="65159"/>
  <c r="K25" i="65159"/>
  <c r="N24" i="65159"/>
  <c r="K24" i="65159"/>
  <c r="O24" i="65159" s="1"/>
  <c r="N23" i="65159"/>
  <c r="K23" i="65159"/>
  <c r="O23" i="65159" s="1"/>
  <c r="N22" i="65159"/>
  <c r="K22" i="65159"/>
  <c r="N21" i="65159"/>
  <c r="K21" i="65159"/>
  <c r="N20" i="65159"/>
  <c r="K20" i="65159"/>
  <c r="O20" i="65159" s="1"/>
  <c r="N19" i="65159"/>
  <c r="K19" i="65159"/>
  <c r="M18" i="65159"/>
  <c r="L18" i="65159"/>
  <c r="J18" i="65159"/>
  <c r="O17" i="65159"/>
  <c r="N16" i="65159"/>
  <c r="N15" i="65159" s="1"/>
  <c r="K16" i="65159"/>
  <c r="K15" i="65159" s="1"/>
  <c r="O15" i="65159" s="1"/>
  <c r="M15" i="65159"/>
  <c r="L15" i="65159"/>
  <c r="J15" i="65159"/>
  <c r="O14" i="65159"/>
  <c r="N13" i="65159"/>
  <c r="K13" i="65159"/>
  <c r="N12" i="65159"/>
  <c r="N11" i="65159" s="1"/>
  <c r="K12" i="65159"/>
  <c r="M11" i="65159"/>
  <c r="L11" i="65159"/>
  <c r="J11" i="65159"/>
  <c r="O10" i="65159"/>
  <c r="O44" i="65158"/>
  <c r="O38" i="65158"/>
  <c r="N37" i="65158"/>
  <c r="K37" i="65158"/>
  <c r="O37" i="65158" s="1"/>
  <c r="N36" i="65158"/>
  <c r="K36" i="65158"/>
  <c r="N35" i="65158"/>
  <c r="K35" i="65158"/>
  <c r="O35" i="65158" s="1"/>
  <c r="N34" i="65158"/>
  <c r="K34" i="65158"/>
  <c r="O34" i="65158" s="1"/>
  <c r="M33" i="65158"/>
  <c r="L33" i="65158"/>
  <c r="J33" i="65158"/>
  <c r="O32" i="65158"/>
  <c r="N31" i="65158"/>
  <c r="N30" i="65158" s="1"/>
  <c r="K31" i="65158"/>
  <c r="K30" i="65158" s="1"/>
  <c r="M30" i="65158"/>
  <c r="L30" i="65158"/>
  <c r="J30" i="65158"/>
  <c r="O29" i="65158"/>
  <c r="N28" i="65158"/>
  <c r="K28" i="65158"/>
  <c r="N27" i="65158"/>
  <c r="K27" i="65158"/>
  <c r="O27" i="65158" s="1"/>
  <c r="N26" i="65158"/>
  <c r="K26" i="65158"/>
  <c r="N25" i="65158"/>
  <c r="K25" i="65158"/>
  <c r="N24" i="65158"/>
  <c r="K24" i="65158"/>
  <c r="O24" i="65158" s="1"/>
  <c r="N23" i="65158"/>
  <c r="K23" i="65158"/>
  <c r="O23" i="65158" s="1"/>
  <c r="N22" i="65158"/>
  <c r="K22" i="65158"/>
  <c r="N21" i="65158"/>
  <c r="K21" i="65158"/>
  <c r="N20" i="65158"/>
  <c r="K20" i="65158"/>
  <c r="O20" i="65158" s="1"/>
  <c r="N19" i="65158"/>
  <c r="K19" i="65158"/>
  <c r="M18" i="65158"/>
  <c r="L18" i="65158"/>
  <c r="J18" i="65158"/>
  <c r="O17" i="65158"/>
  <c r="N16" i="65158"/>
  <c r="N15" i="65158" s="1"/>
  <c r="K16" i="65158"/>
  <c r="K15" i="65158" s="1"/>
  <c r="M15" i="65158"/>
  <c r="L15" i="65158"/>
  <c r="J15" i="65158"/>
  <c r="O14" i="65158"/>
  <c r="N13" i="65158"/>
  <c r="K13" i="65158"/>
  <c r="N12" i="65158"/>
  <c r="K12" i="65158"/>
  <c r="M11" i="65158"/>
  <c r="L11" i="65158"/>
  <c r="J11" i="65158"/>
  <c r="O10" i="65158"/>
  <c r="O48" i="65157"/>
  <c r="O42" i="65157"/>
  <c r="N41" i="65157"/>
  <c r="K41" i="65157"/>
  <c r="O41" i="65157" s="1"/>
  <c r="N40" i="65157"/>
  <c r="N39" i="65157" s="1"/>
  <c r="K40" i="65157"/>
  <c r="O40" i="65157" s="1"/>
  <c r="M39" i="65157"/>
  <c r="L39" i="65157"/>
  <c r="J39" i="65157"/>
  <c r="O38" i="65157"/>
  <c r="N37" i="65157"/>
  <c r="K37" i="65157"/>
  <c r="N36" i="65157"/>
  <c r="K36" i="65157"/>
  <c r="J35" i="65157"/>
  <c r="O34" i="65157"/>
  <c r="N33" i="65157"/>
  <c r="K33" i="65157"/>
  <c r="O33" i="65157" s="1"/>
  <c r="N32" i="65157"/>
  <c r="K32" i="65157"/>
  <c r="N31" i="65157"/>
  <c r="K31" i="65157"/>
  <c r="O31" i="65157" s="1"/>
  <c r="N30" i="65157"/>
  <c r="N29" i="65157" s="1"/>
  <c r="K30" i="65157"/>
  <c r="M29" i="65157"/>
  <c r="L29" i="65157"/>
  <c r="J29" i="65157"/>
  <c r="O28" i="65157"/>
  <c r="N27" i="65157"/>
  <c r="K27" i="65157"/>
  <c r="N26" i="65157"/>
  <c r="K26" i="65157"/>
  <c r="O26" i="65157" s="1"/>
  <c r="N25" i="65157"/>
  <c r="K25" i="65157"/>
  <c r="N24" i="65157"/>
  <c r="K24" i="65157"/>
  <c r="O24" i="65157" s="1"/>
  <c r="N23" i="65157"/>
  <c r="K23" i="65157"/>
  <c r="N22" i="65157"/>
  <c r="K22" i="65157"/>
  <c r="O22" i="65157" s="1"/>
  <c r="N21" i="65157"/>
  <c r="K21" i="65157"/>
  <c r="N20" i="65157"/>
  <c r="K20" i="65157"/>
  <c r="O20" i="65157" s="1"/>
  <c r="N19" i="65157"/>
  <c r="K19" i="65157"/>
  <c r="M18" i="65157"/>
  <c r="L18" i="65157"/>
  <c r="J18" i="65157"/>
  <c r="O17" i="65157"/>
  <c r="N16" i="65157"/>
  <c r="N15" i="65157" s="1"/>
  <c r="K16" i="65157"/>
  <c r="M15" i="65157"/>
  <c r="L15" i="65157"/>
  <c r="J15" i="65157"/>
  <c r="O14" i="65157"/>
  <c r="N13" i="65157"/>
  <c r="K13" i="65157"/>
  <c r="N12" i="65157"/>
  <c r="K12" i="65157"/>
  <c r="M11" i="65157"/>
  <c r="L11" i="65157"/>
  <c r="J11" i="65157"/>
  <c r="O10" i="65157"/>
  <c r="O346" i="65156"/>
  <c r="O345" i="65156"/>
  <c r="O340" i="65156"/>
  <c r="N339" i="65156"/>
  <c r="K339" i="65156"/>
  <c r="N338" i="65156"/>
  <c r="K338" i="65156"/>
  <c r="M337" i="65156"/>
  <c r="L337" i="65156"/>
  <c r="J337" i="65156"/>
  <c r="O336" i="65156"/>
  <c r="N335" i="65156"/>
  <c r="K335" i="65156"/>
  <c r="N334" i="65156"/>
  <c r="K334" i="65156"/>
  <c r="N333" i="65156"/>
  <c r="K333" i="65156"/>
  <c r="N332" i="65156"/>
  <c r="K332" i="65156"/>
  <c r="O332" i="65156" s="1"/>
  <c r="N331" i="65156"/>
  <c r="K331" i="65156"/>
  <c r="N330" i="65156"/>
  <c r="K330" i="65156"/>
  <c r="N329" i="65156"/>
  <c r="K329" i="65156"/>
  <c r="N328" i="65156"/>
  <c r="K328" i="65156"/>
  <c r="N327" i="65156"/>
  <c r="K327" i="65156"/>
  <c r="M326" i="65156"/>
  <c r="L326" i="65156"/>
  <c r="J326" i="65156"/>
  <c r="O325" i="65156"/>
  <c r="N324" i="65156"/>
  <c r="N323" i="65156" s="1"/>
  <c r="K324" i="65156"/>
  <c r="M323" i="65156"/>
  <c r="L323" i="65156"/>
  <c r="J323" i="65156"/>
  <c r="O322" i="65156"/>
  <c r="N321" i="65156"/>
  <c r="K321" i="65156"/>
  <c r="N320" i="65156"/>
  <c r="K320" i="65156"/>
  <c r="M319" i="65156"/>
  <c r="L319" i="65156"/>
  <c r="J319" i="65156"/>
  <c r="O318" i="65156"/>
  <c r="O317" i="65156"/>
  <c r="O316" i="65156"/>
  <c r="O315" i="65156"/>
  <c r="O314" i="65156"/>
  <c r="O311" i="65156"/>
  <c r="N310" i="65156"/>
  <c r="K310" i="65156"/>
  <c r="N309" i="65156"/>
  <c r="K309" i="65156"/>
  <c r="M308" i="65156"/>
  <c r="L308" i="65156"/>
  <c r="J308" i="65156"/>
  <c r="O307" i="65156"/>
  <c r="N306" i="65156"/>
  <c r="K306" i="65156"/>
  <c r="N305" i="65156"/>
  <c r="K305" i="65156"/>
  <c r="N304" i="65156"/>
  <c r="K304" i="65156"/>
  <c r="N303" i="65156"/>
  <c r="K303" i="65156"/>
  <c r="O303" i="65156" s="1"/>
  <c r="N302" i="65156"/>
  <c r="K302" i="65156"/>
  <c r="N301" i="65156"/>
  <c r="K301" i="65156"/>
  <c r="N300" i="65156"/>
  <c r="K300" i="65156"/>
  <c r="N299" i="65156"/>
  <c r="K299" i="65156"/>
  <c r="N298" i="65156"/>
  <c r="K298" i="65156"/>
  <c r="M297" i="65156"/>
  <c r="L297" i="65156"/>
  <c r="J297" i="65156"/>
  <c r="O296" i="65156"/>
  <c r="N295" i="65156"/>
  <c r="N294" i="65156" s="1"/>
  <c r="K295" i="65156"/>
  <c r="K294" i="65156" s="1"/>
  <c r="M294" i="65156"/>
  <c r="L294" i="65156"/>
  <c r="J294" i="65156"/>
  <c r="O293" i="65156"/>
  <c r="N292" i="65156"/>
  <c r="K292" i="65156"/>
  <c r="N291" i="65156"/>
  <c r="K291" i="65156"/>
  <c r="M290" i="65156"/>
  <c r="L290" i="65156"/>
  <c r="J290" i="65156"/>
  <c r="O289" i="65156"/>
  <c r="O288" i="65156"/>
  <c r="O287" i="65156"/>
  <c r="O286" i="65156"/>
  <c r="O285" i="65156"/>
  <c r="O282" i="65156"/>
  <c r="N281" i="65156"/>
  <c r="K281" i="65156"/>
  <c r="N280" i="65156"/>
  <c r="K280" i="65156"/>
  <c r="M279" i="65156"/>
  <c r="L279" i="65156"/>
  <c r="J279" i="65156"/>
  <c r="O278" i="65156"/>
  <c r="N277" i="65156"/>
  <c r="K277" i="65156"/>
  <c r="N276" i="65156"/>
  <c r="K276" i="65156"/>
  <c r="N275" i="65156"/>
  <c r="K275" i="65156"/>
  <c r="N274" i="65156"/>
  <c r="K274" i="65156"/>
  <c r="O274" i="65156" s="1"/>
  <c r="N273" i="65156"/>
  <c r="K273" i="65156"/>
  <c r="N272" i="65156"/>
  <c r="K272" i="65156"/>
  <c r="N271" i="65156"/>
  <c r="K271" i="65156"/>
  <c r="N270" i="65156"/>
  <c r="K270" i="65156"/>
  <c r="N269" i="65156"/>
  <c r="K269" i="65156"/>
  <c r="M268" i="65156"/>
  <c r="L268" i="65156"/>
  <c r="J268" i="65156"/>
  <c r="O267" i="65156"/>
  <c r="N266" i="65156"/>
  <c r="N265" i="65156" s="1"/>
  <c r="K266" i="65156"/>
  <c r="M265" i="65156"/>
  <c r="L265" i="65156"/>
  <c r="J265" i="65156"/>
  <c r="O264" i="65156"/>
  <c r="N263" i="65156"/>
  <c r="K263" i="65156"/>
  <c r="N262" i="65156"/>
  <c r="K262" i="65156"/>
  <c r="M261" i="65156"/>
  <c r="L261" i="65156"/>
  <c r="J261" i="65156"/>
  <c r="O260" i="65156"/>
  <c r="O259" i="65156"/>
  <c r="O258" i="65156"/>
  <c r="O257" i="65156"/>
  <c r="O256" i="65156"/>
  <c r="O253" i="65156"/>
  <c r="N252" i="65156"/>
  <c r="K252" i="65156"/>
  <c r="N251" i="65156"/>
  <c r="K251" i="65156"/>
  <c r="M250" i="65156"/>
  <c r="L250" i="65156"/>
  <c r="J250" i="65156"/>
  <c r="O249" i="65156"/>
  <c r="N248" i="65156"/>
  <c r="K248" i="65156"/>
  <c r="N247" i="65156"/>
  <c r="K247" i="65156"/>
  <c r="N246" i="65156"/>
  <c r="K246" i="65156"/>
  <c r="N245" i="65156"/>
  <c r="K245" i="65156"/>
  <c r="O245" i="65156" s="1"/>
  <c r="N244" i="65156"/>
  <c r="K244" i="65156"/>
  <c r="N243" i="65156"/>
  <c r="K243" i="65156"/>
  <c r="N242" i="65156"/>
  <c r="K242" i="65156"/>
  <c r="N241" i="65156"/>
  <c r="K241" i="65156"/>
  <c r="N240" i="65156"/>
  <c r="K240" i="65156"/>
  <c r="M239" i="65156"/>
  <c r="L239" i="65156"/>
  <c r="J239" i="65156"/>
  <c r="O238" i="65156"/>
  <c r="N237" i="65156"/>
  <c r="N236" i="65156" s="1"/>
  <c r="K237" i="65156"/>
  <c r="K236" i="65156" s="1"/>
  <c r="M236" i="65156"/>
  <c r="L236" i="65156"/>
  <c r="J236" i="65156"/>
  <c r="O235" i="65156"/>
  <c r="N234" i="65156"/>
  <c r="K234" i="65156"/>
  <c r="N233" i="65156"/>
  <c r="K233" i="65156"/>
  <c r="M232" i="65156"/>
  <c r="L232" i="65156"/>
  <c r="J232" i="65156"/>
  <c r="O231" i="65156"/>
  <c r="O230" i="65156"/>
  <c r="O229" i="65156"/>
  <c r="O228" i="65156"/>
  <c r="O227" i="65156"/>
  <c r="O224" i="65156"/>
  <c r="N223" i="65156"/>
  <c r="K223" i="65156"/>
  <c r="N222" i="65156"/>
  <c r="K222" i="65156"/>
  <c r="M221" i="65156"/>
  <c r="L221" i="65156"/>
  <c r="J221" i="65156"/>
  <c r="O220" i="65156"/>
  <c r="N219" i="65156"/>
  <c r="K219" i="65156"/>
  <c r="N218" i="65156"/>
  <c r="K218" i="65156"/>
  <c r="N217" i="65156"/>
  <c r="K217" i="65156"/>
  <c r="N216" i="65156"/>
  <c r="K216" i="65156"/>
  <c r="O216" i="65156" s="1"/>
  <c r="N215" i="65156"/>
  <c r="K215" i="65156"/>
  <c r="N214" i="65156"/>
  <c r="K214" i="65156"/>
  <c r="N213" i="65156"/>
  <c r="K213" i="65156"/>
  <c r="N212" i="65156"/>
  <c r="K212" i="65156"/>
  <c r="N211" i="65156"/>
  <c r="K211" i="65156"/>
  <c r="M210" i="65156"/>
  <c r="L210" i="65156"/>
  <c r="J210" i="65156"/>
  <c r="O209" i="65156"/>
  <c r="N208" i="65156"/>
  <c r="N207" i="65156" s="1"/>
  <c r="K208" i="65156"/>
  <c r="M207" i="65156"/>
  <c r="L207" i="65156"/>
  <c r="J207" i="65156"/>
  <c r="O206" i="65156"/>
  <c r="N205" i="65156"/>
  <c r="K205" i="65156"/>
  <c r="N204" i="65156"/>
  <c r="K204" i="65156"/>
  <c r="M203" i="65156"/>
  <c r="L203" i="65156"/>
  <c r="J203" i="65156"/>
  <c r="O202" i="65156"/>
  <c r="O201" i="65156"/>
  <c r="O200" i="65156"/>
  <c r="O199" i="65156"/>
  <c r="O198" i="65156"/>
  <c r="O195" i="65156"/>
  <c r="N194" i="65156"/>
  <c r="K194" i="65156"/>
  <c r="N193" i="65156"/>
  <c r="K193" i="65156"/>
  <c r="M192" i="65156"/>
  <c r="L192" i="65156"/>
  <c r="J192" i="65156"/>
  <c r="O191" i="65156"/>
  <c r="N190" i="65156"/>
  <c r="K190" i="65156"/>
  <c r="N189" i="65156"/>
  <c r="K189" i="65156"/>
  <c r="N188" i="65156"/>
  <c r="K188" i="65156"/>
  <c r="N187" i="65156"/>
  <c r="K187" i="65156"/>
  <c r="O187" i="65156" s="1"/>
  <c r="N186" i="65156"/>
  <c r="K186" i="65156"/>
  <c r="N185" i="65156"/>
  <c r="K185" i="65156"/>
  <c r="N184" i="65156"/>
  <c r="K184" i="65156"/>
  <c r="N183" i="65156"/>
  <c r="K183" i="65156"/>
  <c r="N182" i="65156"/>
  <c r="K182" i="65156"/>
  <c r="M181" i="65156"/>
  <c r="L181" i="65156"/>
  <c r="J181" i="65156"/>
  <c r="O180" i="65156"/>
  <c r="N179" i="65156"/>
  <c r="N178" i="65156" s="1"/>
  <c r="K179" i="65156"/>
  <c r="K178" i="65156" s="1"/>
  <c r="M178" i="65156"/>
  <c r="L178" i="65156"/>
  <c r="J178" i="65156"/>
  <c r="O177" i="65156"/>
  <c r="N176" i="65156"/>
  <c r="K176" i="65156"/>
  <c r="N175" i="65156"/>
  <c r="K175" i="65156"/>
  <c r="M174" i="65156"/>
  <c r="L174" i="65156"/>
  <c r="J174" i="65156"/>
  <c r="O173" i="65156"/>
  <c r="O172" i="65156"/>
  <c r="O171" i="65156"/>
  <c r="O170" i="65156"/>
  <c r="O169" i="65156"/>
  <c r="O166" i="65156"/>
  <c r="N165" i="65156"/>
  <c r="K165" i="65156"/>
  <c r="N164" i="65156"/>
  <c r="K164" i="65156"/>
  <c r="M163" i="65156"/>
  <c r="L163" i="65156"/>
  <c r="J163" i="65156"/>
  <c r="O162" i="65156"/>
  <c r="N161" i="65156"/>
  <c r="K161" i="65156"/>
  <c r="N160" i="65156"/>
  <c r="K160" i="65156"/>
  <c r="N159" i="65156"/>
  <c r="K159" i="65156"/>
  <c r="N158" i="65156"/>
  <c r="K158" i="65156"/>
  <c r="O158" i="65156" s="1"/>
  <c r="N157" i="65156"/>
  <c r="K157" i="65156"/>
  <c r="N156" i="65156"/>
  <c r="K156" i="65156"/>
  <c r="N155" i="65156"/>
  <c r="K155" i="65156"/>
  <c r="N154" i="65156"/>
  <c r="K154" i="65156"/>
  <c r="N153" i="65156"/>
  <c r="K153" i="65156"/>
  <c r="M152" i="65156"/>
  <c r="L152" i="65156"/>
  <c r="J152" i="65156"/>
  <c r="O151" i="65156"/>
  <c r="N150" i="65156"/>
  <c r="N149" i="65156" s="1"/>
  <c r="K150" i="65156"/>
  <c r="M149" i="65156"/>
  <c r="L149" i="65156"/>
  <c r="J149" i="65156"/>
  <c r="O148" i="65156"/>
  <c r="N147" i="65156"/>
  <c r="K147" i="65156"/>
  <c r="N146" i="65156"/>
  <c r="K146" i="65156"/>
  <c r="M145" i="65156"/>
  <c r="L145" i="65156"/>
  <c r="J145" i="65156"/>
  <c r="O144" i="65156"/>
  <c r="O143" i="65156"/>
  <c r="O142" i="65156"/>
  <c r="O141" i="65156"/>
  <c r="O137" i="65156"/>
  <c r="N136" i="65156"/>
  <c r="K136" i="65156"/>
  <c r="N135" i="65156"/>
  <c r="K135" i="65156"/>
  <c r="M134" i="65156"/>
  <c r="L134" i="65156"/>
  <c r="J134" i="65156"/>
  <c r="O133" i="65156"/>
  <c r="N132" i="65156"/>
  <c r="K132" i="65156"/>
  <c r="N131" i="65156"/>
  <c r="K131" i="65156"/>
  <c r="N130" i="65156"/>
  <c r="K130" i="65156"/>
  <c r="N129" i="65156"/>
  <c r="K129" i="65156"/>
  <c r="O129" i="65156" s="1"/>
  <c r="N128" i="65156"/>
  <c r="K128" i="65156"/>
  <c r="N127" i="65156"/>
  <c r="K127" i="65156"/>
  <c r="N126" i="65156"/>
  <c r="K126" i="65156"/>
  <c r="N125" i="65156"/>
  <c r="K125" i="65156"/>
  <c r="N124" i="65156"/>
  <c r="K124" i="65156"/>
  <c r="M123" i="65156"/>
  <c r="L123" i="65156"/>
  <c r="J123" i="65156"/>
  <c r="O122" i="65156"/>
  <c r="N121" i="65156"/>
  <c r="N120" i="65156" s="1"/>
  <c r="K121" i="65156"/>
  <c r="M120" i="65156"/>
  <c r="L120" i="65156"/>
  <c r="J120" i="65156"/>
  <c r="O119" i="65156"/>
  <c r="N118" i="65156"/>
  <c r="K118" i="65156"/>
  <c r="N117" i="65156"/>
  <c r="K117" i="65156"/>
  <c r="M116" i="65156"/>
  <c r="L116" i="65156"/>
  <c r="J116" i="65156"/>
  <c r="O115" i="65156"/>
  <c r="O114" i="65156"/>
  <c r="O113" i="65156"/>
  <c r="O112" i="65156"/>
  <c r="O111" i="65156"/>
  <c r="O108" i="65156"/>
  <c r="N107" i="65156"/>
  <c r="K107" i="65156"/>
  <c r="N106" i="65156"/>
  <c r="K106" i="65156"/>
  <c r="M105" i="65156"/>
  <c r="L105" i="65156"/>
  <c r="J105" i="65156"/>
  <c r="O104" i="65156"/>
  <c r="N103" i="65156"/>
  <c r="K103" i="65156"/>
  <c r="N102" i="65156"/>
  <c r="K102" i="65156"/>
  <c r="N101" i="65156"/>
  <c r="K101" i="65156"/>
  <c r="N100" i="65156"/>
  <c r="K100" i="65156"/>
  <c r="O100" i="65156" s="1"/>
  <c r="N99" i="65156"/>
  <c r="K99" i="65156"/>
  <c r="N98" i="65156"/>
  <c r="K98" i="65156"/>
  <c r="N97" i="65156"/>
  <c r="K97" i="65156"/>
  <c r="N96" i="65156"/>
  <c r="K96" i="65156"/>
  <c r="N95" i="65156"/>
  <c r="K95" i="65156"/>
  <c r="M94" i="65156"/>
  <c r="L94" i="65156"/>
  <c r="J94" i="65156"/>
  <c r="O93" i="65156"/>
  <c r="N92" i="65156"/>
  <c r="N91" i="65156" s="1"/>
  <c r="K92" i="65156"/>
  <c r="K91" i="65156" s="1"/>
  <c r="M91" i="65156"/>
  <c r="L91" i="65156"/>
  <c r="J91" i="65156"/>
  <c r="O90" i="65156"/>
  <c r="N89" i="65156"/>
  <c r="K89" i="65156"/>
  <c r="N88" i="65156"/>
  <c r="K88" i="65156"/>
  <c r="M87" i="65156"/>
  <c r="L87" i="65156"/>
  <c r="J87" i="65156"/>
  <c r="O86" i="65156"/>
  <c r="O85" i="65156"/>
  <c r="O84" i="65156"/>
  <c r="O83" i="65156"/>
  <c r="O82" i="65156"/>
  <c r="O79" i="65156"/>
  <c r="N78" i="65156"/>
  <c r="K78" i="65156"/>
  <c r="N77" i="65156"/>
  <c r="K77" i="65156"/>
  <c r="M76" i="65156"/>
  <c r="L76" i="65156"/>
  <c r="J76" i="65156"/>
  <c r="O75" i="65156"/>
  <c r="N74" i="65156"/>
  <c r="K74" i="65156"/>
  <c r="N73" i="65156"/>
  <c r="K73" i="65156"/>
  <c r="N72" i="65156"/>
  <c r="K72" i="65156"/>
  <c r="N71" i="65156"/>
  <c r="K71" i="65156"/>
  <c r="O71" i="65156" s="1"/>
  <c r="N70" i="65156"/>
  <c r="K70" i="65156"/>
  <c r="N69" i="65156"/>
  <c r="K69" i="65156"/>
  <c r="N68" i="65156"/>
  <c r="K68" i="65156"/>
  <c r="N67" i="65156"/>
  <c r="K67" i="65156"/>
  <c r="N66" i="65156"/>
  <c r="K66" i="65156"/>
  <c r="M65" i="65156"/>
  <c r="L65" i="65156"/>
  <c r="J65" i="65156"/>
  <c r="O64" i="65156"/>
  <c r="N63" i="65156"/>
  <c r="N62" i="65156" s="1"/>
  <c r="K63" i="65156"/>
  <c r="M62" i="65156"/>
  <c r="L62" i="65156"/>
  <c r="J62" i="65156"/>
  <c r="O61" i="65156"/>
  <c r="N60" i="65156"/>
  <c r="K60" i="65156"/>
  <c r="N59" i="65156"/>
  <c r="K59" i="65156"/>
  <c r="M58" i="65156"/>
  <c r="L58" i="65156"/>
  <c r="J58" i="65156"/>
  <c r="O57" i="65156"/>
  <c r="O56" i="65156"/>
  <c r="O50" i="65156"/>
  <c r="N49" i="65156"/>
  <c r="K49" i="65156"/>
  <c r="N48" i="65156"/>
  <c r="K48" i="65156"/>
  <c r="M47" i="65156"/>
  <c r="L47" i="65156"/>
  <c r="J47" i="65156"/>
  <c r="I52" i="65156"/>
  <c r="O46" i="65156"/>
  <c r="N42" i="65156"/>
  <c r="K42" i="65156"/>
  <c r="N41" i="65156"/>
  <c r="K41" i="65156"/>
  <c r="N40" i="65156"/>
  <c r="K40" i="65156"/>
  <c r="N39" i="65156"/>
  <c r="K39" i="65156"/>
  <c r="N36" i="65156"/>
  <c r="K36" i="65156"/>
  <c r="N35" i="65156"/>
  <c r="K35" i="65156"/>
  <c r="N34" i="65156"/>
  <c r="K34" i="65156"/>
  <c r="M33" i="65156"/>
  <c r="L33" i="65156"/>
  <c r="J33" i="65156"/>
  <c r="O32" i="65156"/>
  <c r="N31" i="65156"/>
  <c r="K31" i="65156"/>
  <c r="H49" i="65165" s="1"/>
  <c r="L49" i="65165" s="1"/>
  <c r="N30" i="65156"/>
  <c r="K30" i="65156"/>
  <c r="N29" i="65156"/>
  <c r="K29" i="65156"/>
  <c r="N28" i="65156"/>
  <c r="K28" i="65156"/>
  <c r="O28" i="65156" s="1"/>
  <c r="N27" i="65156"/>
  <c r="K27" i="65156"/>
  <c r="N26" i="65156"/>
  <c r="K26" i="65156"/>
  <c r="N25" i="65156"/>
  <c r="K25" i="65156"/>
  <c r="O25" i="65156" s="1"/>
  <c r="N24" i="65156"/>
  <c r="K24" i="65156"/>
  <c r="O24" i="65156" s="1"/>
  <c r="N23" i="65156"/>
  <c r="K23" i="65156"/>
  <c r="N22" i="65156"/>
  <c r="K22" i="65156"/>
  <c r="N21" i="65156"/>
  <c r="K21" i="65156"/>
  <c r="N20" i="65156"/>
  <c r="K20" i="65156"/>
  <c r="O20" i="65156" s="1"/>
  <c r="N19" i="65156"/>
  <c r="K19" i="65156"/>
  <c r="M18" i="65156"/>
  <c r="L18" i="65156"/>
  <c r="J18" i="65156"/>
  <c r="O17" i="65156"/>
  <c r="N16" i="65156"/>
  <c r="N15" i="65156" s="1"/>
  <c r="K16" i="65156"/>
  <c r="K15" i="65156" s="1"/>
  <c r="M15" i="65156"/>
  <c r="L15" i="65156"/>
  <c r="J15" i="65156"/>
  <c r="O14" i="65156"/>
  <c r="N13" i="65156"/>
  <c r="K13" i="65156"/>
  <c r="N12" i="65156"/>
  <c r="K12" i="65156"/>
  <c r="M11" i="65156"/>
  <c r="L11" i="65156"/>
  <c r="J11" i="65156"/>
  <c r="O10" i="65156"/>
  <c r="O42" i="65155"/>
  <c r="O36" i="65155"/>
  <c r="N35" i="65155"/>
  <c r="K35" i="65155"/>
  <c r="K33" i="65155" s="1"/>
  <c r="N34" i="65155"/>
  <c r="K34" i="65155"/>
  <c r="O34" i="65155" s="1"/>
  <c r="M33" i="65155"/>
  <c r="L33" i="65155"/>
  <c r="J33" i="65155"/>
  <c r="O32" i="65155"/>
  <c r="N30" i="65155"/>
  <c r="K30" i="65155"/>
  <c r="K29" i="65155" s="1"/>
  <c r="O28" i="65155"/>
  <c r="N27" i="65155"/>
  <c r="K27" i="65155"/>
  <c r="N26" i="65155"/>
  <c r="K26" i="65155"/>
  <c r="O26" i="65155" s="1"/>
  <c r="N25" i="65155"/>
  <c r="K25" i="65155"/>
  <c r="N24" i="65155"/>
  <c r="K24" i="65155"/>
  <c r="O24" i="65155" s="1"/>
  <c r="N23" i="65155"/>
  <c r="K23" i="65155"/>
  <c r="O23" i="65155" s="1"/>
  <c r="N22" i="65155"/>
  <c r="K22" i="65155"/>
  <c r="N21" i="65155"/>
  <c r="K21" i="65155"/>
  <c r="N20" i="65155"/>
  <c r="K20" i="65155"/>
  <c r="O20" i="65155" s="1"/>
  <c r="N19" i="65155"/>
  <c r="K19" i="65155"/>
  <c r="M18" i="65155"/>
  <c r="L18" i="65155"/>
  <c r="J18" i="65155"/>
  <c r="O17" i="65155"/>
  <c r="N16" i="65155"/>
  <c r="N15" i="65155" s="1"/>
  <c r="K16" i="65155"/>
  <c r="K15" i="65155" s="1"/>
  <c r="M15" i="65155"/>
  <c r="L15" i="65155"/>
  <c r="J15" i="65155"/>
  <c r="O14" i="65155"/>
  <c r="N13" i="65155"/>
  <c r="K13" i="65155"/>
  <c r="N12" i="65155"/>
  <c r="K12" i="65155"/>
  <c r="N11" i="65155"/>
  <c r="M11" i="65155"/>
  <c r="L11" i="65155"/>
  <c r="J11" i="65155"/>
  <c r="O10" i="65155"/>
  <c r="O39" i="65163"/>
  <c r="O33" i="65163"/>
  <c r="N32" i="65163"/>
  <c r="K32" i="65163"/>
  <c r="N31" i="65163"/>
  <c r="N30" i="65163" s="1"/>
  <c r="K31" i="65163"/>
  <c r="M30" i="65163"/>
  <c r="L30" i="65163"/>
  <c r="J30" i="65163"/>
  <c r="O29" i="65163"/>
  <c r="N28" i="65163"/>
  <c r="K28" i="65163"/>
  <c r="N27" i="65163"/>
  <c r="K27" i="65163"/>
  <c r="N26" i="65163"/>
  <c r="K26" i="65163"/>
  <c r="N25" i="65163"/>
  <c r="K25" i="65163"/>
  <c r="N24" i="65163"/>
  <c r="K24" i="65163"/>
  <c r="N23" i="65163"/>
  <c r="K23" i="65163"/>
  <c r="N22" i="65163"/>
  <c r="K22" i="65163"/>
  <c r="N21" i="65163"/>
  <c r="K21" i="65163"/>
  <c r="N20" i="65163"/>
  <c r="K20" i="65163"/>
  <c r="N19" i="65163"/>
  <c r="M19" i="65163"/>
  <c r="L19" i="65163"/>
  <c r="J19" i="65163"/>
  <c r="O18" i="65163"/>
  <c r="N17" i="65163"/>
  <c r="K17" i="65163"/>
  <c r="N16" i="65163"/>
  <c r="N15" i="65163" s="1"/>
  <c r="K16" i="65163"/>
  <c r="M15" i="65163"/>
  <c r="L15" i="65163"/>
  <c r="J15" i="65163"/>
  <c r="O14" i="65163"/>
  <c r="N13" i="65163"/>
  <c r="K13" i="65163"/>
  <c r="N12" i="65163"/>
  <c r="K12" i="65163"/>
  <c r="N11" i="65163"/>
  <c r="M11" i="65163"/>
  <c r="L11" i="65163"/>
  <c r="J11" i="65163"/>
  <c r="O10" i="65163"/>
  <c r="O38" i="65164"/>
  <c r="O32" i="65164"/>
  <c r="N31" i="65164"/>
  <c r="K31" i="65164"/>
  <c r="N30" i="65164"/>
  <c r="N29" i="65164" s="1"/>
  <c r="K30" i="65164"/>
  <c r="M29" i="65164"/>
  <c r="L29" i="65164"/>
  <c r="J29" i="65164"/>
  <c r="O28" i="65164"/>
  <c r="N27" i="65164"/>
  <c r="K27" i="65164"/>
  <c r="O27" i="65164" s="1"/>
  <c r="N26" i="65164"/>
  <c r="K26" i="65164"/>
  <c r="N25" i="65164"/>
  <c r="K25" i="65164"/>
  <c r="O25" i="65164" s="1"/>
  <c r="N24" i="65164"/>
  <c r="K24" i="65164"/>
  <c r="O24" i="65164" s="1"/>
  <c r="N23" i="65164"/>
  <c r="K23" i="65164"/>
  <c r="O23" i="65164" s="1"/>
  <c r="N22" i="65164"/>
  <c r="K22" i="65164"/>
  <c r="N21" i="65164"/>
  <c r="K21" i="65164"/>
  <c r="O21" i="65164" s="1"/>
  <c r="N20" i="65164"/>
  <c r="N18" i="65164" s="1"/>
  <c r="K20" i="65164"/>
  <c r="N19" i="65164"/>
  <c r="K19" i="65164"/>
  <c r="M18" i="65164"/>
  <c r="L18" i="65164"/>
  <c r="J18" i="65164"/>
  <c r="O17" i="65164"/>
  <c r="N16" i="65164"/>
  <c r="N15" i="65164" s="1"/>
  <c r="K16" i="65164"/>
  <c r="M15" i="65164"/>
  <c r="L15" i="65164"/>
  <c r="J15" i="65164"/>
  <c r="O14" i="65164"/>
  <c r="N13" i="65164"/>
  <c r="K13" i="65164"/>
  <c r="N12" i="65164"/>
  <c r="K12" i="65164"/>
  <c r="N11" i="65164"/>
  <c r="M11" i="65164"/>
  <c r="L11" i="65164"/>
  <c r="J11" i="65164"/>
  <c r="O10" i="65164"/>
  <c r="O178" i="65145"/>
  <c r="O177" i="65145"/>
  <c r="O172" i="65145"/>
  <c r="N171" i="65145"/>
  <c r="K171" i="65145"/>
  <c r="N170" i="65145"/>
  <c r="K170" i="65145"/>
  <c r="M169" i="65145"/>
  <c r="L169" i="65145"/>
  <c r="J169" i="65145"/>
  <c r="O168" i="65145"/>
  <c r="N167" i="65145"/>
  <c r="N166" i="65145" s="1"/>
  <c r="K167" i="65145"/>
  <c r="M166" i="65145"/>
  <c r="L166" i="65145"/>
  <c r="J166" i="65145"/>
  <c r="O165" i="65145"/>
  <c r="N164" i="65145"/>
  <c r="K164" i="65145"/>
  <c r="N163" i="65145"/>
  <c r="K163" i="65145"/>
  <c r="O163" i="65145" s="1"/>
  <c r="N162" i="65145"/>
  <c r="K162" i="65145"/>
  <c r="N161" i="65145"/>
  <c r="K161" i="65145"/>
  <c r="O161" i="65145" s="1"/>
  <c r="N160" i="65145"/>
  <c r="K160" i="65145"/>
  <c r="O160" i="65145" s="1"/>
  <c r="N159" i="65145"/>
  <c r="K159" i="65145"/>
  <c r="N158" i="65145"/>
  <c r="K158" i="65145"/>
  <c r="N157" i="65145"/>
  <c r="K157" i="65145"/>
  <c r="O157" i="65145" s="1"/>
  <c r="N156" i="65145"/>
  <c r="K156" i="65145"/>
  <c r="M155" i="65145"/>
  <c r="L155" i="65145"/>
  <c r="J155" i="65145"/>
  <c r="O154" i="65145"/>
  <c r="N153" i="65145"/>
  <c r="N152" i="65145" s="1"/>
  <c r="K153" i="65145"/>
  <c r="K152" i="65145" s="1"/>
  <c r="M152" i="65145"/>
  <c r="L152" i="65145"/>
  <c r="J152" i="65145"/>
  <c r="O151" i="65145"/>
  <c r="N150" i="65145"/>
  <c r="K150" i="65145"/>
  <c r="N149" i="65145"/>
  <c r="K149" i="65145"/>
  <c r="M148" i="65145"/>
  <c r="L148" i="65145"/>
  <c r="J148" i="65145"/>
  <c r="O147" i="65145"/>
  <c r="O146" i="65145"/>
  <c r="O145" i="65145"/>
  <c r="O144" i="65145"/>
  <c r="O143" i="65145"/>
  <c r="O140" i="65145"/>
  <c r="N139" i="65145"/>
  <c r="K139" i="65145"/>
  <c r="N138" i="65145"/>
  <c r="K138" i="65145"/>
  <c r="O138" i="65145" s="1"/>
  <c r="M137" i="65145"/>
  <c r="L137" i="65145"/>
  <c r="J137" i="65145"/>
  <c r="O136" i="65145"/>
  <c r="N135" i="65145"/>
  <c r="K135" i="65145"/>
  <c r="N134" i="65145"/>
  <c r="K134" i="65145"/>
  <c r="O134" i="65145" s="1"/>
  <c r="N133" i="65145"/>
  <c r="K133" i="65145"/>
  <c r="N132" i="65145"/>
  <c r="K132" i="65145"/>
  <c r="O132" i="65145" s="1"/>
  <c r="N131" i="65145"/>
  <c r="K131" i="65145"/>
  <c r="O131" i="65145" s="1"/>
  <c r="N130" i="65145"/>
  <c r="K130" i="65145"/>
  <c r="N129" i="65145"/>
  <c r="K129" i="65145"/>
  <c r="N128" i="65145"/>
  <c r="K128" i="65145"/>
  <c r="O128" i="65145" s="1"/>
  <c r="N127" i="65145"/>
  <c r="K127" i="65145"/>
  <c r="M126" i="65145"/>
  <c r="L126" i="65145"/>
  <c r="J126" i="65145"/>
  <c r="O125" i="65145"/>
  <c r="N124" i="65145"/>
  <c r="N123" i="65145" s="1"/>
  <c r="K124" i="65145"/>
  <c r="K123" i="65145" s="1"/>
  <c r="M123" i="65145"/>
  <c r="L123" i="65145"/>
  <c r="J123" i="65145"/>
  <c r="O122" i="65145"/>
  <c r="N121" i="65145"/>
  <c r="K121" i="65145"/>
  <c r="N120" i="65145"/>
  <c r="K120" i="65145"/>
  <c r="M119" i="65145"/>
  <c r="L119" i="65145"/>
  <c r="J119" i="65145"/>
  <c r="O118" i="65145"/>
  <c r="O117" i="65145"/>
  <c r="O116" i="65145"/>
  <c r="O115" i="65145"/>
  <c r="O114" i="65145"/>
  <c r="O111" i="65145"/>
  <c r="N110" i="65145"/>
  <c r="K110" i="65145"/>
  <c r="N109" i="65145"/>
  <c r="K109" i="65145"/>
  <c r="O109" i="65145" s="1"/>
  <c r="M108" i="65145"/>
  <c r="L108" i="65145"/>
  <c r="J108" i="65145"/>
  <c r="O107" i="65145"/>
  <c r="N106" i="65145"/>
  <c r="K106" i="65145"/>
  <c r="N105" i="65145"/>
  <c r="K105" i="65145"/>
  <c r="O105" i="65145" s="1"/>
  <c r="N104" i="65145"/>
  <c r="K104" i="65145"/>
  <c r="N103" i="65145"/>
  <c r="K103" i="65145"/>
  <c r="O103" i="65145" s="1"/>
  <c r="N102" i="65145"/>
  <c r="K102" i="65145"/>
  <c r="O102" i="65145" s="1"/>
  <c r="N101" i="65145"/>
  <c r="K101" i="65145"/>
  <c r="N100" i="65145"/>
  <c r="K100" i="65145"/>
  <c r="N99" i="65145"/>
  <c r="K99" i="65145"/>
  <c r="O99" i="65145" s="1"/>
  <c r="N98" i="65145"/>
  <c r="K98" i="65145"/>
  <c r="M97" i="65145"/>
  <c r="L97" i="65145"/>
  <c r="J97" i="65145"/>
  <c r="O96" i="65145"/>
  <c r="N95" i="65145"/>
  <c r="N94" i="65145" s="1"/>
  <c r="K95" i="65145"/>
  <c r="K94" i="65145" s="1"/>
  <c r="M94" i="65145"/>
  <c r="L94" i="65145"/>
  <c r="J94" i="65145"/>
  <c r="O93" i="65145"/>
  <c r="N92" i="65145"/>
  <c r="K92" i="65145"/>
  <c r="N91" i="65145"/>
  <c r="K91" i="65145"/>
  <c r="M90" i="65145"/>
  <c r="L90" i="65145"/>
  <c r="J90" i="65145"/>
  <c r="O89" i="65145"/>
  <c r="O88" i="65145"/>
  <c r="O87" i="65145"/>
  <c r="O86" i="65145"/>
  <c r="O85" i="65145"/>
  <c r="O82" i="65145"/>
  <c r="N81" i="65145"/>
  <c r="K81" i="65145"/>
  <c r="N80" i="65145"/>
  <c r="N79" i="65145" s="1"/>
  <c r="K80" i="65145"/>
  <c r="O80" i="65145" s="1"/>
  <c r="M79" i="65145"/>
  <c r="L79" i="65145"/>
  <c r="J79" i="65145"/>
  <c r="O78" i="65145"/>
  <c r="N77" i="65145"/>
  <c r="K77" i="65145"/>
  <c r="N76" i="65145"/>
  <c r="K76" i="65145"/>
  <c r="O76" i="65145" s="1"/>
  <c r="N75" i="65145"/>
  <c r="K75" i="65145"/>
  <c r="N74" i="65145"/>
  <c r="K74" i="65145"/>
  <c r="O74" i="65145" s="1"/>
  <c r="N73" i="65145"/>
  <c r="K73" i="65145"/>
  <c r="O73" i="65145" s="1"/>
  <c r="N72" i="65145"/>
  <c r="K72" i="65145"/>
  <c r="O72" i="65145" s="1"/>
  <c r="N71" i="65145"/>
  <c r="K71" i="65145"/>
  <c r="O71" i="65145" s="1"/>
  <c r="N70" i="65145"/>
  <c r="K70" i="65145"/>
  <c r="O70" i="65145" s="1"/>
  <c r="N69" i="65145"/>
  <c r="K69" i="65145"/>
  <c r="M68" i="65145"/>
  <c r="J68" i="65145"/>
  <c r="O67" i="65145"/>
  <c r="N66" i="65145"/>
  <c r="N65" i="65145" s="1"/>
  <c r="K66" i="65145"/>
  <c r="K65" i="65145" s="1"/>
  <c r="M65" i="65145"/>
  <c r="L65" i="65145"/>
  <c r="J65" i="65145"/>
  <c r="O64" i="65145"/>
  <c r="N63" i="65145"/>
  <c r="K63" i="65145"/>
  <c r="N62" i="65145"/>
  <c r="K62" i="65145"/>
  <c r="M61" i="65145"/>
  <c r="L61" i="65145"/>
  <c r="J61" i="65145"/>
  <c r="O60" i="65145"/>
  <c r="O59" i="65145"/>
  <c r="O53" i="65145"/>
  <c r="N52" i="65145"/>
  <c r="K52" i="65145"/>
  <c r="N51" i="65145"/>
  <c r="K51" i="65145"/>
  <c r="N50" i="65145"/>
  <c r="K50" i="65145"/>
  <c r="O47" i="65145"/>
  <c r="N46" i="65145"/>
  <c r="N45" i="65145" s="1"/>
  <c r="K46" i="65145"/>
  <c r="K45" i="65145" s="1"/>
  <c r="M45" i="65145"/>
  <c r="L45" i="65145"/>
  <c r="J45" i="65145"/>
  <c r="O44" i="65145"/>
  <c r="N42" i="65145"/>
  <c r="K42" i="65145"/>
  <c r="N41" i="65145"/>
  <c r="N40" i="65145"/>
  <c r="K40" i="65145"/>
  <c r="N39" i="65145"/>
  <c r="K39" i="65145"/>
  <c r="N38" i="65145"/>
  <c r="K38" i="65145"/>
  <c r="O36" i="65145"/>
  <c r="N35" i="65145"/>
  <c r="K35" i="65145"/>
  <c r="N34" i="65145"/>
  <c r="K34" i="65145"/>
  <c r="N33" i="65145"/>
  <c r="K33" i="65145"/>
  <c r="N32" i="65145"/>
  <c r="K32" i="65145"/>
  <c r="N31" i="65145"/>
  <c r="K31" i="65145"/>
  <c r="N30" i="65145"/>
  <c r="K30" i="65145"/>
  <c r="N29" i="65145"/>
  <c r="K29" i="65145"/>
  <c r="N28" i="65145"/>
  <c r="K28" i="65145"/>
  <c r="N27" i="65145"/>
  <c r="K27" i="65145"/>
  <c r="N26" i="65145"/>
  <c r="K26" i="65145"/>
  <c r="O26" i="65145" s="1"/>
  <c r="N25" i="65145"/>
  <c r="K25" i="65145"/>
  <c r="M24" i="65145"/>
  <c r="L24" i="65145"/>
  <c r="J24" i="65145"/>
  <c r="O23" i="65145"/>
  <c r="N22" i="65145"/>
  <c r="N21" i="65145" s="1"/>
  <c r="K22" i="65145"/>
  <c r="K21" i="65145" s="1"/>
  <c r="M21" i="65145"/>
  <c r="L21" i="65145"/>
  <c r="J21" i="65145"/>
  <c r="O20" i="65145"/>
  <c r="N19" i="65145"/>
  <c r="K19" i="65165" s="1"/>
  <c r="K19" i="65145"/>
  <c r="H19" i="65165" s="1"/>
  <c r="N18" i="65145"/>
  <c r="K18" i="65145"/>
  <c r="N17" i="65145"/>
  <c r="K17" i="65145"/>
  <c r="M16" i="65145"/>
  <c r="L16" i="65145"/>
  <c r="J16" i="65145"/>
  <c r="O15" i="65145"/>
  <c r="N14" i="65145"/>
  <c r="K14" i="65145"/>
  <c r="N13" i="65145"/>
  <c r="K13" i="65145"/>
  <c r="N12" i="65145"/>
  <c r="K12" i="65145"/>
  <c r="M11" i="65145"/>
  <c r="L11" i="65145"/>
  <c r="J11" i="65145"/>
  <c r="O10" i="65145"/>
  <c r="O39" i="65144"/>
  <c r="O38" i="65144"/>
  <c r="O33" i="65144"/>
  <c r="N32" i="65144"/>
  <c r="K32" i="65144"/>
  <c r="N31" i="65144"/>
  <c r="K31" i="65144"/>
  <c r="O31" i="65144" s="1"/>
  <c r="N30" i="65144"/>
  <c r="N29" i="65144" s="1"/>
  <c r="K30" i="65144"/>
  <c r="O30" i="65144" s="1"/>
  <c r="M29" i="65144"/>
  <c r="L29" i="65144"/>
  <c r="J29" i="65144"/>
  <c r="O28" i="65144"/>
  <c r="N27" i="65144"/>
  <c r="K27" i="65144"/>
  <c r="N26" i="65144"/>
  <c r="K26" i="65144"/>
  <c r="N25" i="65144"/>
  <c r="K25" i="65144"/>
  <c r="O25" i="65144" s="1"/>
  <c r="N24" i="65144"/>
  <c r="K24" i="65144"/>
  <c r="O24" i="65144" s="1"/>
  <c r="N23" i="65144"/>
  <c r="K23" i="65144"/>
  <c r="O23" i="65144" s="1"/>
  <c r="N22" i="65144"/>
  <c r="K22" i="65144"/>
  <c r="N21" i="65144"/>
  <c r="K21" i="65144"/>
  <c r="O21" i="65144" s="1"/>
  <c r="N20" i="65144"/>
  <c r="N18" i="65144" s="1"/>
  <c r="K20" i="65144"/>
  <c r="N19" i="65144"/>
  <c r="K19" i="65144"/>
  <c r="O19" i="65144" s="1"/>
  <c r="M18" i="65144"/>
  <c r="L18" i="65144"/>
  <c r="J18" i="65144"/>
  <c r="O17" i="65144"/>
  <c r="N16" i="65144"/>
  <c r="N15" i="65144" s="1"/>
  <c r="K16" i="65144"/>
  <c r="K15" i="65144" s="1"/>
  <c r="M15" i="65144"/>
  <c r="L15" i="65144"/>
  <c r="J15" i="65144"/>
  <c r="O14" i="65144"/>
  <c r="N13" i="65144"/>
  <c r="K13" i="65144"/>
  <c r="N12" i="65144"/>
  <c r="K12" i="65144"/>
  <c r="M11" i="65144"/>
  <c r="M35" i="65144" s="1"/>
  <c r="L11" i="65144"/>
  <c r="J11" i="65144"/>
  <c r="K29" i="65149" l="1"/>
  <c r="K46" i="65160"/>
  <c r="K61" i="65162"/>
  <c r="O32" i="65144"/>
  <c r="H109" i="65165"/>
  <c r="L109" i="65165" s="1"/>
  <c r="J52" i="65156"/>
  <c r="J53" i="65156" s="1"/>
  <c r="K16" i="65165"/>
  <c r="K15" i="65165" s="1"/>
  <c r="H22" i="65165"/>
  <c r="H21" i="65165" s="1"/>
  <c r="K26" i="65165"/>
  <c r="K28" i="65165"/>
  <c r="K32" i="65165"/>
  <c r="K35" i="65165"/>
  <c r="K41" i="65165"/>
  <c r="K40" i="65165" s="1"/>
  <c r="H107" i="65165"/>
  <c r="H38" i="65165"/>
  <c r="K107" i="65165"/>
  <c r="K18" i="65165"/>
  <c r="K27" i="65165"/>
  <c r="K33" i="65165"/>
  <c r="H106" i="65165"/>
  <c r="L106" i="65165" s="1"/>
  <c r="H18" i="65165"/>
  <c r="N15" i="65162"/>
  <c r="K22" i="65165"/>
  <c r="K21" i="65165" s="1"/>
  <c r="O20" i="65162"/>
  <c r="H27" i="65165"/>
  <c r="L27" i="65165" s="1"/>
  <c r="O24" i="65162"/>
  <c r="H33" i="65165"/>
  <c r="L33" i="65165" s="1"/>
  <c r="K38" i="65165"/>
  <c r="H30" i="65165"/>
  <c r="H16" i="65165"/>
  <c r="H26" i="65165"/>
  <c r="H28" i="65165"/>
  <c r="O23" i="65162"/>
  <c r="H32" i="65165"/>
  <c r="L32" i="65165" s="1"/>
  <c r="H35" i="65165"/>
  <c r="L35" i="65165" s="1"/>
  <c r="H41" i="65165"/>
  <c r="K106" i="65165"/>
  <c r="K30" i="65165"/>
  <c r="L19" i="65165"/>
  <c r="O31" i="65153"/>
  <c r="H70" i="65165"/>
  <c r="L70" i="65165" s="1"/>
  <c r="L61" i="65165"/>
  <c r="H52" i="65165"/>
  <c r="L52" i="65165" s="1"/>
  <c r="L34" i="65149"/>
  <c r="L35" i="65149" s="1"/>
  <c r="L36" i="65149" s="1"/>
  <c r="O19" i="65149"/>
  <c r="O22" i="65149"/>
  <c r="K29" i="65150"/>
  <c r="O29" i="65150" s="1"/>
  <c r="N11" i="65150"/>
  <c r="O15" i="65150"/>
  <c r="K11" i="65150"/>
  <c r="N18" i="65151"/>
  <c r="L34" i="65152"/>
  <c r="L35" i="65152" s="1"/>
  <c r="L36" i="65152" s="1"/>
  <c r="O20" i="65152"/>
  <c r="O22" i="65152"/>
  <c r="O26" i="65152"/>
  <c r="O19" i="65152"/>
  <c r="O21" i="65152"/>
  <c r="O23" i="65152"/>
  <c r="O25" i="65152"/>
  <c r="O27" i="65152"/>
  <c r="J34" i="65152"/>
  <c r="J35" i="65152" s="1"/>
  <c r="J36" i="65152" s="1"/>
  <c r="N11" i="65152"/>
  <c r="O15" i="65152"/>
  <c r="N18" i="65152"/>
  <c r="K29" i="65153"/>
  <c r="O21" i="65153"/>
  <c r="O23" i="65153"/>
  <c r="O25" i="65153"/>
  <c r="O27" i="65153"/>
  <c r="O16" i="65153"/>
  <c r="N29" i="65153"/>
  <c r="N33" i="65153"/>
  <c r="N39" i="65153" s="1"/>
  <c r="N40" i="65153" s="1"/>
  <c r="N41" i="65153" s="1"/>
  <c r="N11" i="65154"/>
  <c r="O16" i="65154"/>
  <c r="K11" i="65154"/>
  <c r="O11" i="65154" s="1"/>
  <c r="M34" i="65154"/>
  <c r="M35" i="65154" s="1"/>
  <c r="M36" i="65154" s="1"/>
  <c r="K18" i="65154"/>
  <c r="N29" i="65154"/>
  <c r="N34" i="65154" s="1"/>
  <c r="N35" i="65154" s="1"/>
  <c r="N36" i="65154" s="1"/>
  <c r="K11" i="65155"/>
  <c r="O11" i="65155" s="1"/>
  <c r="K18" i="65155"/>
  <c r="O15" i="65155"/>
  <c r="N18" i="65155"/>
  <c r="O212" i="65156"/>
  <c r="O214" i="65156"/>
  <c r="O218" i="65156"/>
  <c r="N221" i="65156"/>
  <c r="N326" i="65156"/>
  <c r="N210" i="65156"/>
  <c r="N268" i="65156"/>
  <c r="N308" i="65156"/>
  <c r="O324" i="65156"/>
  <c r="K337" i="65156"/>
  <c r="O236" i="65156"/>
  <c r="K250" i="65156"/>
  <c r="O263" i="65156"/>
  <c r="N290" i="65156"/>
  <c r="O27" i="65156"/>
  <c r="O31" i="65156"/>
  <c r="N152" i="65156"/>
  <c r="N203" i="65156"/>
  <c r="O178" i="65156"/>
  <c r="N134" i="65156"/>
  <c r="N163" i="65156"/>
  <c r="K192" i="65156"/>
  <c r="N250" i="65156"/>
  <c r="N11" i="65156"/>
  <c r="O15" i="65156"/>
  <c r="N18" i="65156"/>
  <c r="N181" i="65156"/>
  <c r="N76" i="65156"/>
  <c r="O147" i="65156"/>
  <c r="O329" i="65156"/>
  <c r="O331" i="65156"/>
  <c r="O333" i="65156"/>
  <c r="O335" i="65156"/>
  <c r="O13" i="65157"/>
  <c r="O12" i="65157"/>
  <c r="N11" i="65157"/>
  <c r="N18" i="65157"/>
  <c r="N44" i="65157" s="1"/>
  <c r="N45" i="65157" s="1"/>
  <c r="N46" i="65157" s="1"/>
  <c r="N35" i="65157"/>
  <c r="N11" i="65158"/>
  <c r="N18" i="65158"/>
  <c r="O22" i="65158"/>
  <c r="O26" i="65158"/>
  <c r="O28" i="65158"/>
  <c r="O36" i="65158"/>
  <c r="O21" i="65159"/>
  <c r="O25" i="65159"/>
  <c r="O27" i="65159"/>
  <c r="O22" i="65159"/>
  <c r="N29" i="65159"/>
  <c r="O31" i="65159"/>
  <c r="N21" i="65160"/>
  <c r="O18" i="65160"/>
  <c r="N30" i="65161"/>
  <c r="K38" i="65161"/>
  <c r="O32" i="65161"/>
  <c r="N18" i="65161"/>
  <c r="O22" i="65161"/>
  <c r="N80" i="65162"/>
  <c r="O106" i="65162"/>
  <c r="M36" i="65162"/>
  <c r="N178" i="65162"/>
  <c r="N109" i="65162"/>
  <c r="K131" i="65162"/>
  <c r="N138" i="65162"/>
  <c r="O171" i="65162"/>
  <c r="N11" i="65162"/>
  <c r="N18" i="65162"/>
  <c r="O13" i="65162"/>
  <c r="N102" i="65162"/>
  <c r="N31" i="65162"/>
  <c r="N42" i="65162"/>
  <c r="K91" i="65162"/>
  <c r="L125" i="65162"/>
  <c r="N131" i="65162"/>
  <c r="O151" i="65162"/>
  <c r="N160" i="65162"/>
  <c r="K18" i="65162"/>
  <c r="N73" i="65162"/>
  <c r="O84" i="65162"/>
  <c r="N91" i="65162"/>
  <c r="K160" i="65162"/>
  <c r="O174" i="65162"/>
  <c r="J35" i="65163"/>
  <c r="J36" i="65163" s="1"/>
  <c r="J37" i="65163" s="1"/>
  <c r="O17" i="65163"/>
  <c r="O31" i="65163"/>
  <c r="K11" i="65163"/>
  <c r="O11" i="65163" s="1"/>
  <c r="O16" i="65164"/>
  <c r="K18" i="65164"/>
  <c r="M34" i="65164"/>
  <c r="M35" i="65164" s="1"/>
  <c r="M36" i="65164" s="1"/>
  <c r="O149" i="65145"/>
  <c r="N119" i="65145"/>
  <c r="O65" i="65145"/>
  <c r="N61" i="65145"/>
  <c r="O52" i="65145"/>
  <c r="O75" i="65145"/>
  <c r="J84" i="65145"/>
  <c r="O94" i="65145"/>
  <c r="K126" i="65145"/>
  <c r="K48" i="65145"/>
  <c r="K61" i="65145"/>
  <c r="N108" i="65145"/>
  <c r="O39" i="65145"/>
  <c r="K11" i="65145"/>
  <c r="N16" i="65145"/>
  <c r="N48" i="65145"/>
  <c r="N90" i="65145"/>
  <c r="K108" i="65145"/>
  <c r="O123" i="65145"/>
  <c r="O150" i="65145"/>
  <c r="O156" i="65145"/>
  <c r="O158" i="65145"/>
  <c r="K169" i="65145"/>
  <c r="N11" i="65145"/>
  <c r="O18" i="65145"/>
  <c r="O130" i="65145"/>
  <c r="N137" i="65145"/>
  <c r="O167" i="65145"/>
  <c r="L35" i="65144"/>
  <c r="L36" i="65144" s="1"/>
  <c r="L37" i="65144" s="1"/>
  <c r="O13" i="65144"/>
  <c r="N11" i="65144"/>
  <c r="N35" i="65144" s="1"/>
  <c r="N36" i="65144" s="1"/>
  <c r="N37" i="65144" s="1"/>
  <c r="O15" i="65144"/>
  <c r="I34" i="65149"/>
  <c r="I35" i="65149" s="1"/>
  <c r="I36" i="65149" s="1"/>
  <c r="K18" i="65150"/>
  <c r="K34" i="65150" s="1"/>
  <c r="I34" i="65152"/>
  <c r="I35" i="65152" s="1"/>
  <c r="I36" i="65152" s="1"/>
  <c r="K11" i="65152"/>
  <c r="O11" i="65152" s="1"/>
  <c r="I34" i="65154"/>
  <c r="I35" i="65154" s="1"/>
  <c r="I36" i="65154" s="1"/>
  <c r="K105" i="65156"/>
  <c r="K47" i="65156"/>
  <c r="K87" i="65156"/>
  <c r="N105" i="65156"/>
  <c r="N123" i="65156"/>
  <c r="N65" i="65156"/>
  <c r="N87" i="65156"/>
  <c r="N297" i="65156"/>
  <c r="K308" i="65156"/>
  <c r="K58" i="65156"/>
  <c r="K76" i="65156"/>
  <c r="O76" i="65156" s="1"/>
  <c r="K116" i="65156"/>
  <c r="O125" i="65156"/>
  <c r="O127" i="65156"/>
  <c r="O131" i="65156"/>
  <c r="K134" i="65156"/>
  <c r="N174" i="65156"/>
  <c r="N192" i="65156"/>
  <c r="O208" i="65156"/>
  <c r="O213" i="65156"/>
  <c r="O215" i="65156"/>
  <c r="O217" i="65156"/>
  <c r="O219" i="65156"/>
  <c r="N232" i="65156"/>
  <c r="N239" i="65156"/>
  <c r="K279" i="65156"/>
  <c r="N145" i="65156"/>
  <c r="N47" i="65156"/>
  <c r="J81" i="65156"/>
  <c r="N58" i="65156"/>
  <c r="N94" i="65156"/>
  <c r="N116" i="65156"/>
  <c r="K163" i="65156"/>
  <c r="K221" i="65156"/>
  <c r="L255" i="65156"/>
  <c r="N261" i="65156"/>
  <c r="N279" i="65156"/>
  <c r="O294" i="65156"/>
  <c r="N319" i="65156"/>
  <c r="O328" i="65156"/>
  <c r="O330" i="65156"/>
  <c r="O334" i="65156"/>
  <c r="N337" i="65156"/>
  <c r="O339" i="65156"/>
  <c r="K33" i="65156"/>
  <c r="I44" i="65157"/>
  <c r="I45" i="65157" s="1"/>
  <c r="I46" i="65157" s="1"/>
  <c r="J40" i="65158"/>
  <c r="J41" i="65158" s="1"/>
  <c r="J42" i="65158" s="1"/>
  <c r="I40" i="65158"/>
  <c r="I41" i="65158" s="1"/>
  <c r="I42" i="65158" s="1"/>
  <c r="K30" i="65161"/>
  <c r="O30" i="65161" s="1"/>
  <c r="K178" i="65162"/>
  <c r="O178" i="65162" s="1"/>
  <c r="K138" i="65162"/>
  <c r="K30" i="65163"/>
  <c r="O30" i="65163" s="1"/>
  <c r="K19" i="65163"/>
  <c r="O19" i="65163" s="1"/>
  <c r="K97" i="65145"/>
  <c r="N24" i="65145"/>
  <c r="K68" i="65145"/>
  <c r="N97" i="65145"/>
  <c r="J142" i="65145"/>
  <c r="N155" i="65145"/>
  <c r="N169" i="65145"/>
  <c r="O38" i="65145"/>
  <c r="N37" i="65145"/>
  <c r="N68" i="65145"/>
  <c r="J113" i="65145"/>
  <c r="O101" i="65145"/>
  <c r="N126" i="65145"/>
  <c r="N148" i="65145"/>
  <c r="O159" i="65145"/>
  <c r="K137" i="65145"/>
  <c r="O137" i="65145" s="1"/>
  <c r="O162" i="65145"/>
  <c r="O164" i="65145"/>
  <c r="O42" i="65145"/>
  <c r="K90" i="65145"/>
  <c r="K79" i="65145"/>
  <c r="O79" i="65145" s="1"/>
  <c r="K119" i="65145"/>
  <c r="K29" i="65144"/>
  <c r="O29" i="65144" s="1"/>
  <c r="K18" i="65144"/>
  <c r="O18" i="65144" s="1"/>
  <c r="I35" i="65144"/>
  <c r="I36" i="65144" s="1"/>
  <c r="I37" i="65144" s="1"/>
  <c r="K11" i="65144"/>
  <c r="N35" i="65163"/>
  <c r="N36" i="65163" s="1"/>
  <c r="N37" i="65163" s="1"/>
  <c r="O12" i="65149"/>
  <c r="K11" i="65149"/>
  <c r="J35" i="65144"/>
  <c r="J36" i="65144" s="1"/>
  <c r="J37" i="65144" s="1"/>
  <c r="K41" i="65145"/>
  <c r="K37" i="65145" s="1"/>
  <c r="F76" i="65165"/>
  <c r="F71" i="65165" s="1"/>
  <c r="I34" i="65164"/>
  <c r="I35" i="65164" s="1"/>
  <c r="I36" i="65164" s="1"/>
  <c r="N34" i="65164"/>
  <c r="N35" i="65164" s="1"/>
  <c r="N36" i="65164" s="1"/>
  <c r="O18" i="65164"/>
  <c r="J38" i="65155"/>
  <c r="J39" i="65155" s="1"/>
  <c r="J40" i="65155" s="1"/>
  <c r="M197" i="65156"/>
  <c r="M255" i="65156"/>
  <c r="M313" i="65156"/>
  <c r="J44" i="65157"/>
  <c r="J45" i="65157" s="1"/>
  <c r="J46" i="65157" s="1"/>
  <c r="L41" i="65159"/>
  <c r="L42" i="65159" s="1"/>
  <c r="L43" i="65159" s="1"/>
  <c r="K29" i="65154"/>
  <c r="O29" i="65154" s="1"/>
  <c r="J34" i="65149"/>
  <c r="J35" i="65149" s="1"/>
  <c r="J36" i="65149" s="1"/>
  <c r="O20" i="65149"/>
  <c r="K18" i="65149"/>
  <c r="O18" i="65149" s="1"/>
  <c r="I34" i="65150"/>
  <c r="I35" i="65150" s="1"/>
  <c r="I36" i="65150" s="1"/>
  <c r="K18" i="65152"/>
  <c r="O150" i="65162"/>
  <c r="K149" i="65162"/>
  <c r="M55" i="65145"/>
  <c r="J34" i="65164"/>
  <c r="J35" i="65164" s="1"/>
  <c r="J36" i="65164" s="1"/>
  <c r="K11" i="65164"/>
  <c r="L35" i="65163"/>
  <c r="L36" i="65163" s="1"/>
  <c r="L37" i="65163" s="1"/>
  <c r="K15" i="65163"/>
  <c r="O15" i="65163" s="1"/>
  <c r="O16" i="65163"/>
  <c r="O32" i="65163"/>
  <c r="L38" i="65155"/>
  <c r="L39" i="65155" s="1"/>
  <c r="L40" i="65155" s="1"/>
  <c r="K18" i="65156"/>
  <c r="O18" i="65156" s="1"/>
  <c r="J110" i="65156"/>
  <c r="O121" i="65162"/>
  <c r="K120" i="65162"/>
  <c r="K167" i="65162"/>
  <c r="K15" i="65154"/>
  <c r="O15" i="65154" s="1"/>
  <c r="O29" i="65149"/>
  <c r="M36" i="65144"/>
  <c r="M37" i="65144" s="1"/>
  <c r="O20" i="65144"/>
  <c r="O22" i="65144"/>
  <c r="O26" i="65144"/>
  <c r="O17" i="65145"/>
  <c r="O19" i="65145"/>
  <c r="O21" i="65145"/>
  <c r="O40" i="65145"/>
  <c r="L84" i="65145"/>
  <c r="L57" i="65145" s="1"/>
  <c r="O69" i="65145"/>
  <c r="O77" i="65145"/>
  <c r="L113" i="65145"/>
  <c r="O98" i="65145"/>
  <c r="O100" i="65145"/>
  <c r="O104" i="65145"/>
  <c r="O106" i="65145"/>
  <c r="L142" i="65145"/>
  <c r="O127" i="65145"/>
  <c r="O129" i="65145"/>
  <c r="O133" i="65145"/>
  <c r="O171" i="65145"/>
  <c r="O20" i="65164"/>
  <c r="O22" i="65164"/>
  <c r="O26" i="65164"/>
  <c r="K29" i="65164"/>
  <c r="O29" i="65164" s="1"/>
  <c r="I36" i="65163"/>
  <c r="I37" i="65163" s="1"/>
  <c r="M35" i="65163"/>
  <c r="M36" i="65163" s="1"/>
  <c r="M37" i="65163" s="1"/>
  <c r="N33" i="65155"/>
  <c r="O33" i="65155" s="1"/>
  <c r="K11" i="65156"/>
  <c r="M168" i="65156"/>
  <c r="M226" i="65156"/>
  <c r="M284" i="65156"/>
  <c r="M342" i="65156"/>
  <c r="O30" i="65157"/>
  <c r="O32" i="65157"/>
  <c r="O12" i="65158"/>
  <c r="O32" i="65159"/>
  <c r="O37" i="65159"/>
  <c r="K33" i="65160"/>
  <c r="M34" i="65149"/>
  <c r="M35" i="65149" s="1"/>
  <c r="M36" i="65149" s="1"/>
  <c r="O19" i="65151"/>
  <c r="O21" i="65151"/>
  <c r="O25" i="65151"/>
  <c r="O27" i="65151"/>
  <c r="O20" i="65153"/>
  <c r="O22" i="65153"/>
  <c r="O26" i="65153"/>
  <c r="L53" i="65156"/>
  <c r="N33" i="65156"/>
  <c r="M81" i="65156"/>
  <c r="O60" i="65156"/>
  <c r="I168" i="65156"/>
  <c r="K152" i="65156"/>
  <c r="I197" i="65156"/>
  <c r="K181" i="65156"/>
  <c r="I226" i="65156"/>
  <c r="K210" i="65156"/>
  <c r="I255" i="65156"/>
  <c r="K239" i="65156"/>
  <c r="I284" i="65156"/>
  <c r="K268" i="65156"/>
  <c r="O268" i="65156" s="1"/>
  <c r="I313" i="65156"/>
  <c r="K297" i="65156"/>
  <c r="K326" i="65156"/>
  <c r="L44" i="65157"/>
  <c r="L45" i="65157" s="1"/>
  <c r="L46" i="65157" s="1"/>
  <c r="L40" i="65158"/>
  <c r="L41" i="65158" s="1"/>
  <c r="L42" i="65158" s="1"/>
  <c r="K18" i="65159"/>
  <c r="O35" i="65159"/>
  <c r="I51" i="65160"/>
  <c r="I52" i="65160" s="1"/>
  <c r="I53" i="65160" s="1"/>
  <c r="M51" i="65160"/>
  <c r="M52" i="65160" s="1"/>
  <c r="M53" i="65160" s="1"/>
  <c r="K14" i="65160"/>
  <c r="K38" i="65160"/>
  <c r="O38" i="65160" s="1"/>
  <c r="J43" i="65161"/>
  <c r="J44" i="65161" s="1"/>
  <c r="J45" i="65161" s="1"/>
  <c r="N11" i="65161"/>
  <c r="K34" i="65161"/>
  <c r="O34" i="65161" s="1"/>
  <c r="J36" i="65162"/>
  <c r="K11" i="65162"/>
  <c r="K49" i="65162"/>
  <c r="I96" i="65162"/>
  <c r="O78" i="65162"/>
  <c r="K80" i="65162"/>
  <c r="O83" i="65162"/>
  <c r="O89" i="65162"/>
  <c r="O93" i="65162"/>
  <c r="I125" i="65162"/>
  <c r="N120" i="65162"/>
  <c r="I154" i="65162"/>
  <c r="I155" i="65162" s="1"/>
  <c r="M154" i="65162"/>
  <c r="M155" i="65162" s="1"/>
  <c r="N149" i="65162"/>
  <c r="I183" i="65162"/>
  <c r="I184" i="65162" s="1"/>
  <c r="M183" i="65162"/>
  <c r="M184" i="65162" s="1"/>
  <c r="N11" i="65149"/>
  <c r="N34" i="65149" s="1"/>
  <c r="N35" i="65149" s="1"/>
  <c r="N36" i="65149" s="1"/>
  <c r="O21" i="65149"/>
  <c r="O23" i="65149"/>
  <c r="J34" i="65151"/>
  <c r="J35" i="65151" s="1"/>
  <c r="J36" i="65151" s="1"/>
  <c r="N11" i="65151"/>
  <c r="N29" i="65151"/>
  <c r="K29" i="65152"/>
  <c r="O29" i="65152" s="1"/>
  <c r="I39" i="65153"/>
  <c r="I40" i="65153" s="1"/>
  <c r="I41" i="65153" s="1"/>
  <c r="K18" i="65153"/>
  <c r="O18" i="65153" s="1"/>
  <c r="K65" i="65156"/>
  <c r="I110" i="65156"/>
  <c r="O91" i="65156"/>
  <c r="K94" i="65156"/>
  <c r="I139" i="65156"/>
  <c r="O121" i="65156"/>
  <c r="K123" i="65156"/>
  <c r="O126" i="65156"/>
  <c r="O128" i="65156"/>
  <c r="O130" i="65156"/>
  <c r="O132" i="65156"/>
  <c r="O136" i="65156"/>
  <c r="J168" i="65156"/>
  <c r="K145" i="65156"/>
  <c r="J197" i="65156"/>
  <c r="K174" i="65156"/>
  <c r="J226" i="65156"/>
  <c r="K203" i="65156"/>
  <c r="J255" i="65156"/>
  <c r="K232" i="65156"/>
  <c r="J284" i="65156"/>
  <c r="K261" i="65156"/>
  <c r="J313" i="65156"/>
  <c r="K290" i="65156"/>
  <c r="J342" i="65156"/>
  <c r="K319" i="65156"/>
  <c r="O19" i="65157"/>
  <c r="O21" i="65157"/>
  <c r="O23" i="65157"/>
  <c r="O25" i="65157"/>
  <c r="O27" i="65157"/>
  <c r="O36" i="65157"/>
  <c r="O19" i="65158"/>
  <c r="O21" i="65158"/>
  <c r="O25" i="65158"/>
  <c r="N33" i="65158"/>
  <c r="N40" i="65158" s="1"/>
  <c r="N41" i="65158" s="1"/>
  <c r="N42" i="65158" s="1"/>
  <c r="K42" i="65160"/>
  <c r="O48" i="65160"/>
  <c r="K31" i="65162"/>
  <c r="K42" i="65162"/>
  <c r="N49" i="65162"/>
  <c r="K73" i="65162"/>
  <c r="J125" i="65162"/>
  <c r="K102" i="65162"/>
  <c r="K109" i="65162"/>
  <c r="J154" i="65162"/>
  <c r="J155" i="65162" s="1"/>
  <c r="J183" i="65162"/>
  <c r="J184" i="65162" s="1"/>
  <c r="O13" i="65149"/>
  <c r="O31" i="65149"/>
  <c r="K11" i="65153"/>
  <c r="O11" i="65153" s="1"/>
  <c r="O34" i="65153"/>
  <c r="O16" i="65149"/>
  <c r="O25" i="65149"/>
  <c r="O26" i="65149"/>
  <c r="O27" i="65149"/>
  <c r="J34" i="65150"/>
  <c r="J35" i="65150" s="1"/>
  <c r="J36" i="65150" s="1"/>
  <c r="L34" i="65150"/>
  <c r="L35" i="65150" s="1"/>
  <c r="L36" i="65150" s="1"/>
  <c r="N34" i="65150"/>
  <c r="N35" i="65150" s="1"/>
  <c r="N36" i="65150" s="1"/>
  <c r="O19" i="65150"/>
  <c r="O20" i="65150"/>
  <c r="O21" i="65150"/>
  <c r="O22" i="65150"/>
  <c r="O23" i="65150"/>
  <c r="O25" i="65150"/>
  <c r="O26" i="65150"/>
  <c r="O27" i="65150"/>
  <c r="M34" i="65150"/>
  <c r="M35" i="65150" s="1"/>
  <c r="M36" i="65150" s="1"/>
  <c r="O12" i="65150"/>
  <c r="O13" i="65150"/>
  <c r="O16" i="65150"/>
  <c r="O31" i="65150"/>
  <c r="I34" i="65151"/>
  <c r="I35" i="65151" s="1"/>
  <c r="I36" i="65151" s="1"/>
  <c r="L34" i="65151"/>
  <c r="L35" i="65151" s="1"/>
  <c r="L36" i="65151" s="1"/>
  <c r="O12" i="65151"/>
  <c r="O13" i="65151"/>
  <c r="O15" i="65151"/>
  <c r="K29" i="65151"/>
  <c r="O29" i="65151" s="1"/>
  <c r="K11" i="65151"/>
  <c r="O11" i="65151" s="1"/>
  <c r="M34" i="65151"/>
  <c r="M35" i="65151" s="1"/>
  <c r="M36" i="65151" s="1"/>
  <c r="K18" i="65151"/>
  <c r="O18" i="65151" s="1"/>
  <c r="O31" i="65151"/>
  <c r="M34" i="65152"/>
  <c r="M35" i="65152" s="1"/>
  <c r="M36" i="65152" s="1"/>
  <c r="O31" i="65152"/>
  <c r="O12" i="65152"/>
  <c r="O13" i="65152"/>
  <c r="O16" i="65152"/>
  <c r="J39" i="65153"/>
  <c r="M39" i="65153"/>
  <c r="M40" i="65153" s="1"/>
  <c r="M41" i="65153" s="1"/>
  <c r="O13" i="65153"/>
  <c r="L39" i="65153"/>
  <c r="L40" i="65153" s="1"/>
  <c r="L41" i="65153" s="1"/>
  <c r="K15" i="65153"/>
  <c r="O15" i="65153" s="1"/>
  <c r="O35" i="65153"/>
  <c r="O36" i="65153"/>
  <c r="J34" i="65154"/>
  <c r="J35" i="65154" s="1"/>
  <c r="J36" i="65154" s="1"/>
  <c r="L34" i="65154"/>
  <c r="L35" i="65154" s="1"/>
  <c r="L36" i="65154" s="1"/>
  <c r="O12" i="65154"/>
  <c r="O13" i="65154"/>
  <c r="O18" i="65154"/>
  <c r="O19" i="65154"/>
  <c r="O20" i="65154"/>
  <c r="O21" i="65154"/>
  <c r="O22" i="65154"/>
  <c r="O25" i="65154"/>
  <c r="O27" i="65154"/>
  <c r="M38" i="65155"/>
  <c r="M39" i="65155" s="1"/>
  <c r="M40" i="65155" s="1"/>
  <c r="O11" i="65150"/>
  <c r="O16" i="65151"/>
  <c r="O30" i="65152"/>
  <c r="O12" i="65153"/>
  <c r="O19" i="65153"/>
  <c r="O30" i="65153"/>
  <c r="I38" i="65155"/>
  <c r="I39" i="65155" s="1"/>
  <c r="I40" i="65155" s="1"/>
  <c r="O13" i="65155"/>
  <c r="O16" i="65155"/>
  <c r="O21" i="65155"/>
  <c r="O22" i="65155"/>
  <c r="O25" i="65155"/>
  <c r="O27" i="65155"/>
  <c r="O29" i="65155"/>
  <c r="O35" i="65155"/>
  <c r="M53" i="65156"/>
  <c r="O223" i="65156"/>
  <c r="I81" i="65156"/>
  <c r="O63" i="65156"/>
  <c r="O67" i="65156"/>
  <c r="O68" i="65156"/>
  <c r="O69" i="65156"/>
  <c r="O70" i="65156"/>
  <c r="O72" i="65156"/>
  <c r="O73" i="65156"/>
  <c r="O74" i="65156"/>
  <c r="O78" i="65156"/>
  <c r="L110" i="65156"/>
  <c r="J139" i="65156"/>
  <c r="M139" i="65156"/>
  <c r="O118" i="65156"/>
  <c r="O150" i="65156"/>
  <c r="O154" i="65156"/>
  <c r="O155" i="65156"/>
  <c r="O156" i="65156"/>
  <c r="O157" i="65156"/>
  <c r="O159" i="65156"/>
  <c r="O160" i="65156"/>
  <c r="O161" i="65156"/>
  <c r="O165" i="65156"/>
  <c r="L197" i="65156"/>
  <c r="O205" i="65156"/>
  <c r="O266" i="65156"/>
  <c r="O270" i="65156"/>
  <c r="O271" i="65156"/>
  <c r="O272" i="65156"/>
  <c r="O273" i="65156"/>
  <c r="O275" i="65156"/>
  <c r="O276" i="65156"/>
  <c r="O277" i="65156"/>
  <c r="O281" i="65156"/>
  <c r="L313" i="65156"/>
  <c r="O321" i="65156"/>
  <c r="I53" i="65156"/>
  <c r="O13" i="65156"/>
  <c r="O16" i="65156"/>
  <c r="O21" i="65156"/>
  <c r="O22" i="65156"/>
  <c r="O23" i="65156"/>
  <c r="O26" i="65156"/>
  <c r="O29" i="65156"/>
  <c r="O30" i="65156"/>
  <c r="O34" i="65156"/>
  <c r="O35" i="65156"/>
  <c r="O36" i="65156"/>
  <c r="O39" i="65156"/>
  <c r="O40" i="65156"/>
  <c r="O41" i="65156"/>
  <c r="O42" i="65156"/>
  <c r="O48" i="65156"/>
  <c r="O49" i="65156"/>
  <c r="L81" i="65156"/>
  <c r="K62" i="65156"/>
  <c r="O62" i="65156" s="1"/>
  <c r="M110" i="65156"/>
  <c r="O89" i="65156"/>
  <c r="O92" i="65156"/>
  <c r="O96" i="65156"/>
  <c r="O97" i="65156"/>
  <c r="O98" i="65156"/>
  <c r="O99" i="65156"/>
  <c r="O101" i="65156"/>
  <c r="O102" i="65156"/>
  <c r="O103" i="65156"/>
  <c r="O107" i="65156"/>
  <c r="L139" i="65156"/>
  <c r="K120" i="65156"/>
  <c r="O120" i="65156" s="1"/>
  <c r="L168" i="65156"/>
  <c r="K149" i="65156"/>
  <c r="O149" i="65156" s="1"/>
  <c r="O176" i="65156"/>
  <c r="O179" i="65156"/>
  <c r="O183" i="65156"/>
  <c r="O184" i="65156"/>
  <c r="O185" i="65156"/>
  <c r="O186" i="65156"/>
  <c r="O188" i="65156"/>
  <c r="O189" i="65156"/>
  <c r="O190" i="65156"/>
  <c r="O194" i="65156"/>
  <c r="L226" i="65156"/>
  <c r="K207" i="65156"/>
  <c r="O207" i="65156" s="1"/>
  <c r="O234" i="65156"/>
  <c r="O237" i="65156"/>
  <c r="O241" i="65156"/>
  <c r="O242" i="65156"/>
  <c r="O243" i="65156"/>
  <c r="O244" i="65156"/>
  <c r="O246" i="65156"/>
  <c r="O247" i="65156"/>
  <c r="O248" i="65156"/>
  <c r="O252" i="65156"/>
  <c r="L284" i="65156"/>
  <c r="K265" i="65156"/>
  <c r="O265" i="65156" s="1"/>
  <c r="O292" i="65156"/>
  <c r="O295" i="65156"/>
  <c r="O299" i="65156"/>
  <c r="O300" i="65156"/>
  <c r="O301" i="65156"/>
  <c r="O302" i="65156"/>
  <c r="O304" i="65156"/>
  <c r="O305" i="65156"/>
  <c r="O306" i="65156"/>
  <c r="O310" i="65156"/>
  <c r="L342" i="65156"/>
  <c r="K323" i="65156"/>
  <c r="O323" i="65156" s="1"/>
  <c r="O16" i="65157"/>
  <c r="O37" i="65157"/>
  <c r="K11" i="65157"/>
  <c r="O11" i="65157" s="1"/>
  <c r="M44" i="65157"/>
  <c r="M45" i="65157" s="1"/>
  <c r="M46" i="65157" s="1"/>
  <c r="K18" i="65157"/>
  <c r="O18" i="65157" s="1"/>
  <c r="K29" i="65157"/>
  <c r="O29" i="65157" s="1"/>
  <c r="K35" i="65157"/>
  <c r="K39" i="65157"/>
  <c r="O39" i="65157" s="1"/>
  <c r="O13" i="65158"/>
  <c r="O15" i="65158"/>
  <c r="O30" i="65158"/>
  <c r="K11" i="65158"/>
  <c r="O11" i="65158" s="1"/>
  <c r="M40" i="65158"/>
  <c r="M41" i="65158" s="1"/>
  <c r="M42" i="65158" s="1"/>
  <c r="K18" i="65158"/>
  <c r="O18" i="65158" s="1"/>
  <c r="K33" i="65158"/>
  <c r="O33" i="65158" s="1"/>
  <c r="J41" i="65159"/>
  <c r="J42" i="65159" s="1"/>
  <c r="J43" i="65159" s="1"/>
  <c r="O13" i="65159"/>
  <c r="O16" i="65159"/>
  <c r="N18" i="65159"/>
  <c r="L51" i="65160"/>
  <c r="L52" i="65160" s="1"/>
  <c r="L53" i="65160" s="1"/>
  <c r="O12" i="65160"/>
  <c r="J51" i="65160"/>
  <c r="J52" i="65160" s="1"/>
  <c r="J53" i="65160" s="1"/>
  <c r="N14" i="65160"/>
  <c r="O24" i="65160"/>
  <c r="O28" i="65160"/>
  <c r="O30" i="65160"/>
  <c r="O31" i="65160"/>
  <c r="O34" i="65160"/>
  <c r="O35" i="65160"/>
  <c r="O40" i="65160"/>
  <c r="N42" i="65160"/>
  <c r="I43" i="65161"/>
  <c r="I44" i="65161" s="1"/>
  <c r="I45" i="65161" s="1"/>
  <c r="L43" i="65161"/>
  <c r="L44" i="65161" s="1"/>
  <c r="L45" i="65161" s="1"/>
  <c r="O12" i="65161"/>
  <c r="O13" i="65161"/>
  <c r="O15" i="65161"/>
  <c r="K11" i="65161"/>
  <c r="O11" i="65161" s="1"/>
  <c r="M43" i="65161"/>
  <c r="M44" i="65161" s="1"/>
  <c r="M45" i="65161" s="1"/>
  <c r="K18" i="65161"/>
  <c r="O38" i="65161"/>
  <c r="O40" i="65161"/>
  <c r="I36" i="65162"/>
  <c r="I37" i="65162" s="1"/>
  <c r="O16" i="65162"/>
  <c r="O21" i="65162"/>
  <c r="O22" i="65162"/>
  <c r="O25" i="65162"/>
  <c r="O27" i="65162"/>
  <c r="O28" i="65162"/>
  <c r="O29" i="65162"/>
  <c r="O33" i="65162"/>
  <c r="I67" i="65162"/>
  <c r="I68" i="65162" s="1"/>
  <c r="M67" i="65162"/>
  <c r="M68" i="65162" s="1"/>
  <c r="O63" i="65162"/>
  <c r="J96" i="65162"/>
  <c r="M96" i="65162"/>
  <c r="O75" i="65162"/>
  <c r="L36" i="65162"/>
  <c r="K15" i="65162"/>
  <c r="O15" i="65162" s="1"/>
  <c r="J67" i="65162"/>
  <c r="J68" i="65162" s="1"/>
  <c r="L67" i="65162"/>
  <c r="L68" i="65162" s="1"/>
  <c r="O43" i="65162"/>
  <c r="O44" i="65162"/>
  <c r="O46" i="65162"/>
  <c r="O50" i="65162"/>
  <c r="O51" i="65162"/>
  <c r="O52" i="65162"/>
  <c r="O53" i="65162"/>
  <c r="O54" i="65162"/>
  <c r="O56" i="65162"/>
  <c r="O57" i="65162"/>
  <c r="O58" i="65162"/>
  <c r="L96" i="65162"/>
  <c r="K77" i="65162"/>
  <c r="O77" i="65162" s="1"/>
  <c r="M125" i="65162"/>
  <c r="O104" i="65162"/>
  <c r="O107" i="65162"/>
  <c r="O112" i="65162"/>
  <c r="O113" i="65162"/>
  <c r="O116" i="65162"/>
  <c r="O118" i="65162"/>
  <c r="O122" i="65162"/>
  <c r="L154" i="65162"/>
  <c r="L155" i="65162" s="1"/>
  <c r="O132" i="65162"/>
  <c r="O133" i="65162"/>
  <c r="O136" i="65162"/>
  <c r="O139" i="65162"/>
  <c r="O141" i="65162"/>
  <c r="O142" i="65162"/>
  <c r="O145" i="65162"/>
  <c r="O147" i="65162"/>
  <c r="L183" i="65162"/>
  <c r="L184" i="65162" s="1"/>
  <c r="O161" i="65162"/>
  <c r="O162" i="65162"/>
  <c r="O165" i="65162"/>
  <c r="O168" i="65162"/>
  <c r="O176" i="65162"/>
  <c r="O180" i="65162"/>
  <c r="N167" i="65162"/>
  <c r="O12" i="65163"/>
  <c r="O13" i="65163"/>
  <c r="O20" i="65163"/>
  <c r="O21" i="65163"/>
  <c r="O22" i="65163"/>
  <c r="O23" i="65163"/>
  <c r="O24" i="65163"/>
  <c r="O25" i="65163"/>
  <c r="O26" i="65163"/>
  <c r="O27" i="65163"/>
  <c r="O28" i="65163"/>
  <c r="O13" i="65164"/>
  <c r="O31" i="65164"/>
  <c r="L34" i="65164"/>
  <c r="L35" i="65164" s="1"/>
  <c r="L36" i="65164" s="1"/>
  <c r="K15" i="65164"/>
  <c r="O15" i="65164" s="1"/>
  <c r="O12" i="65145"/>
  <c r="O13" i="65145"/>
  <c r="O14" i="65145"/>
  <c r="O25" i="65145"/>
  <c r="O27" i="65145"/>
  <c r="O28" i="65145"/>
  <c r="O29" i="65145"/>
  <c r="O30" i="65145"/>
  <c r="O31" i="65145"/>
  <c r="O32" i="65145"/>
  <c r="O33" i="65145"/>
  <c r="O34" i="65145"/>
  <c r="O35" i="65145"/>
  <c r="O135" i="65145"/>
  <c r="O152" i="65145"/>
  <c r="O153" i="65145"/>
  <c r="J55" i="65145"/>
  <c r="J57" i="65145" s="1"/>
  <c r="L55" i="65145"/>
  <c r="K16" i="65145"/>
  <c r="K24" i="65145"/>
  <c r="I55" i="65145"/>
  <c r="O45" i="65145"/>
  <c r="O46" i="65145"/>
  <c r="O50" i="65145"/>
  <c r="O51" i="65145"/>
  <c r="I84" i="65145"/>
  <c r="M84" i="65145"/>
  <c r="O62" i="65145"/>
  <c r="O63" i="65145"/>
  <c r="O66" i="65145"/>
  <c r="O81" i="65145"/>
  <c r="I113" i="65145"/>
  <c r="M113" i="65145"/>
  <c r="O91" i="65145"/>
  <c r="O92" i="65145"/>
  <c r="O95" i="65145"/>
  <c r="O110" i="65145"/>
  <c r="I142" i="65145"/>
  <c r="M142" i="65145"/>
  <c r="O120" i="65145"/>
  <c r="O121" i="65145"/>
  <c r="O124" i="65145"/>
  <c r="O139" i="65145"/>
  <c r="K148" i="65145"/>
  <c r="J174" i="65145"/>
  <c r="M174" i="65145"/>
  <c r="K155" i="65145"/>
  <c r="K166" i="65145"/>
  <c r="O166" i="65145" s="1"/>
  <c r="I174" i="65145"/>
  <c r="L174" i="65145"/>
  <c r="O16" i="65144"/>
  <c r="O27" i="65144"/>
  <c r="O12" i="65155"/>
  <c r="O19" i="65155"/>
  <c r="O30" i="65155"/>
  <c r="O12" i="65156"/>
  <c r="O19" i="65156"/>
  <c r="O59" i="65156"/>
  <c r="O66" i="65156"/>
  <c r="O77" i="65156"/>
  <c r="O88" i="65156"/>
  <c r="O95" i="65156"/>
  <c r="O106" i="65156"/>
  <c r="O117" i="65156"/>
  <c r="O124" i="65156"/>
  <c r="O135" i="65156"/>
  <c r="O146" i="65156"/>
  <c r="O153" i="65156"/>
  <c r="O164" i="65156"/>
  <c r="O175" i="65156"/>
  <c r="O182" i="65156"/>
  <c r="O193" i="65156"/>
  <c r="O204" i="65156"/>
  <c r="O211" i="65156"/>
  <c r="O222" i="65156"/>
  <c r="O233" i="65156"/>
  <c r="O240" i="65156"/>
  <c r="O251" i="65156"/>
  <c r="O262" i="65156"/>
  <c r="O269" i="65156"/>
  <c r="O280" i="65156"/>
  <c r="O291" i="65156"/>
  <c r="O298" i="65156"/>
  <c r="O309" i="65156"/>
  <c r="O320" i="65156"/>
  <c r="O327" i="65156"/>
  <c r="O338" i="65156"/>
  <c r="K15" i="65157"/>
  <c r="O15" i="65157" s="1"/>
  <c r="O16" i="65158"/>
  <c r="O31" i="65158"/>
  <c r="I41" i="65159"/>
  <c r="I42" i="65159" s="1"/>
  <c r="I43" i="65159" s="1"/>
  <c r="O19" i="65159"/>
  <c r="O15" i="65160"/>
  <c r="O43" i="65160"/>
  <c r="M41" i="65159"/>
  <c r="M42" i="65159" s="1"/>
  <c r="M43" i="65159" s="1"/>
  <c r="K11" i="65159"/>
  <c r="O12" i="65159"/>
  <c r="K29" i="65159"/>
  <c r="O29" i="65159" s="1"/>
  <c r="O30" i="65159"/>
  <c r="O33" i="65159"/>
  <c r="O36" i="65159"/>
  <c r="O11" i="65160"/>
  <c r="O16" i="65160"/>
  <c r="O19" i="65160"/>
  <c r="K21" i="65160"/>
  <c r="O21" i="65160" s="1"/>
  <c r="O22" i="65160"/>
  <c r="O25" i="65160"/>
  <c r="O29" i="65160"/>
  <c r="N33" i="65160"/>
  <c r="O36" i="65160"/>
  <c r="O39" i="65160"/>
  <c r="O44" i="65160"/>
  <c r="O46" i="65160"/>
  <c r="O47" i="65160"/>
  <c r="O16" i="65161"/>
  <c r="O31" i="65161"/>
  <c r="O35" i="65161"/>
  <c r="M37" i="65162"/>
  <c r="O12" i="65162"/>
  <c r="O19" i="65162"/>
  <c r="O32" i="65162"/>
  <c r="O47" i="65162"/>
  <c r="O62" i="65162"/>
  <c r="O74" i="65162"/>
  <c r="O81" i="65162"/>
  <c r="O92" i="65162"/>
  <c r="O103" i="65162"/>
  <c r="O110" i="65162"/>
  <c r="K135" i="65162"/>
  <c r="O135" i="65162" s="1"/>
  <c r="K164" i="65162"/>
  <c r="O164" i="65162" s="1"/>
  <c r="O179" i="65162"/>
  <c r="O12" i="65164"/>
  <c r="O19" i="65164"/>
  <c r="O30" i="65164"/>
  <c r="O22" i="65145"/>
  <c r="O170" i="65145"/>
  <c r="O12" i="65144"/>
  <c r="K38" i="65155" l="1"/>
  <c r="O38" i="65155" s="1"/>
  <c r="L38" i="65165"/>
  <c r="K104" i="65165"/>
  <c r="L18" i="65165"/>
  <c r="H104" i="65165"/>
  <c r="L104" i="65165" s="1"/>
  <c r="L107" i="65165"/>
  <c r="K52" i="65156"/>
  <c r="K25" i="65165"/>
  <c r="K7" i="65165" s="1"/>
  <c r="L28" i="65165"/>
  <c r="L26" i="65165"/>
  <c r="L16" i="65165"/>
  <c r="H15" i="65165"/>
  <c r="L15" i="65165" s="1"/>
  <c r="L37" i="65162"/>
  <c r="I118" i="65165"/>
  <c r="L30" i="65165"/>
  <c r="L21" i="65165"/>
  <c r="O102" i="65162"/>
  <c r="J37" i="65162"/>
  <c r="G118" i="65165"/>
  <c r="J118" i="65165"/>
  <c r="H40" i="65165"/>
  <c r="L40" i="65165" s="1"/>
  <c r="L41" i="65165"/>
  <c r="L22" i="65165"/>
  <c r="I57" i="65145"/>
  <c r="I56" i="65145" s="1"/>
  <c r="F118" i="65165"/>
  <c r="O11" i="65149"/>
  <c r="O34" i="65150"/>
  <c r="O18" i="65152"/>
  <c r="N34" i="65152"/>
  <c r="N35" i="65152" s="1"/>
  <c r="N36" i="65152" s="1"/>
  <c r="O29" i="65153"/>
  <c r="O33" i="65153"/>
  <c r="N38" i="65155"/>
  <c r="N39" i="65155" s="1"/>
  <c r="N40" i="65155" s="1"/>
  <c r="O18" i="65155"/>
  <c r="O210" i="65156"/>
  <c r="O221" i="65156"/>
  <c r="N226" i="65156"/>
  <c r="O326" i="65156"/>
  <c r="O308" i="65156"/>
  <c r="O337" i="65156"/>
  <c r="O250" i="65156"/>
  <c r="O203" i="65156"/>
  <c r="N168" i="65156"/>
  <c r="O152" i="65156"/>
  <c r="N313" i="65156"/>
  <c r="O58" i="65156"/>
  <c r="N110" i="65156"/>
  <c r="O319" i="65156"/>
  <c r="O297" i="65156"/>
  <c r="O181" i="65156"/>
  <c r="O11" i="65156"/>
  <c r="O163" i="65156"/>
  <c r="O87" i="65156"/>
  <c r="O105" i="65156"/>
  <c r="N81" i="65156"/>
  <c r="O279" i="65156"/>
  <c r="O239" i="65156"/>
  <c r="N197" i="65156"/>
  <c r="O261" i="65156"/>
  <c r="O134" i="65156"/>
  <c r="O192" i="65156"/>
  <c r="L140" i="65156"/>
  <c r="O116" i="65156"/>
  <c r="M140" i="65156"/>
  <c r="O65" i="65156"/>
  <c r="K255" i="65156"/>
  <c r="O35" i="65157"/>
  <c r="O18" i="65159"/>
  <c r="N51" i="65160"/>
  <c r="N52" i="65160" s="1"/>
  <c r="N53" i="65160" s="1"/>
  <c r="O14" i="65160"/>
  <c r="O42" i="65160"/>
  <c r="O18" i="65161"/>
  <c r="N43" i="65161"/>
  <c r="N44" i="65161" s="1"/>
  <c r="N45" i="65161" s="1"/>
  <c r="O80" i="65162"/>
  <c r="O18" i="65162"/>
  <c r="L126" i="65162"/>
  <c r="N125" i="65162"/>
  <c r="O109" i="65162"/>
  <c r="O11" i="65162"/>
  <c r="O131" i="65162"/>
  <c r="N36" i="65162"/>
  <c r="O61" i="65162"/>
  <c r="O160" i="65162"/>
  <c r="N154" i="65162"/>
  <c r="N155" i="65162" s="1"/>
  <c r="O138" i="65162"/>
  <c r="N96" i="65162"/>
  <c r="N183" i="65162"/>
  <c r="N184" i="65162" s="1"/>
  <c r="M126" i="65162"/>
  <c r="J126" i="65162"/>
  <c r="O73" i="65162"/>
  <c r="O149" i="65162"/>
  <c r="O167" i="65162"/>
  <c r="M38" i="65162"/>
  <c r="N67" i="65162"/>
  <c r="N68" i="65162" s="1"/>
  <c r="L38" i="65162"/>
  <c r="J38" i="65162"/>
  <c r="O91" i="65162"/>
  <c r="K35" i="65163"/>
  <c r="K36" i="65163" s="1"/>
  <c r="K34" i="65164"/>
  <c r="O34" i="65164" s="1"/>
  <c r="O155" i="65145"/>
  <c r="O108" i="65145"/>
  <c r="N84" i="65145"/>
  <c r="O119" i="65145"/>
  <c r="O61" i="65145"/>
  <c r="N174" i="65145"/>
  <c r="N142" i="65145"/>
  <c r="K113" i="65145"/>
  <c r="O11" i="65145"/>
  <c r="O24" i="65145"/>
  <c r="O90" i="65145"/>
  <c r="O68" i="65145"/>
  <c r="N55" i="65145"/>
  <c r="O37" i="65145"/>
  <c r="O16" i="65145"/>
  <c r="O126" i="65145"/>
  <c r="O169" i="65145"/>
  <c r="O11" i="65144"/>
  <c r="O18" i="65150"/>
  <c r="K35" i="65150"/>
  <c r="O35" i="65150" s="1"/>
  <c r="K34" i="65152"/>
  <c r="O232" i="65156"/>
  <c r="K197" i="65156"/>
  <c r="O197" i="65156" s="1"/>
  <c r="K139" i="65156"/>
  <c r="I140" i="65156"/>
  <c r="K110" i="65156"/>
  <c r="O47" i="65156"/>
  <c r="K313" i="65156"/>
  <c r="N255" i="65156"/>
  <c r="J140" i="65156"/>
  <c r="J343" i="65156"/>
  <c r="O123" i="65156"/>
  <c r="I343" i="65156"/>
  <c r="O145" i="65156"/>
  <c r="N139" i="65156"/>
  <c r="O33" i="65156"/>
  <c r="O94" i="65156"/>
  <c r="K284" i="65156"/>
  <c r="O290" i="65156"/>
  <c r="O174" i="65156"/>
  <c r="N284" i="65156"/>
  <c r="K168" i="65156"/>
  <c r="K342" i="65156"/>
  <c r="K226" i="65156"/>
  <c r="J54" i="65156"/>
  <c r="M54" i="65156"/>
  <c r="N342" i="65156"/>
  <c r="I54" i="65156"/>
  <c r="K125" i="65162"/>
  <c r="K96" i="65162"/>
  <c r="K67" i="65162"/>
  <c r="K68" i="65162" s="1"/>
  <c r="O42" i="65162"/>
  <c r="K36" i="65162"/>
  <c r="I38" i="65162"/>
  <c r="K174" i="65145"/>
  <c r="K142" i="65145"/>
  <c r="O97" i="65145"/>
  <c r="K84" i="65145"/>
  <c r="N113" i="65145"/>
  <c r="O41" i="65145"/>
  <c r="O148" i="65145"/>
  <c r="O48" i="65145"/>
  <c r="K35" i="65144"/>
  <c r="K36" i="65144" s="1"/>
  <c r="K40" i="65158"/>
  <c r="O40" i="65158" s="1"/>
  <c r="O142" i="65145"/>
  <c r="O31" i="65162"/>
  <c r="I126" i="65162"/>
  <c r="O49" i="65162"/>
  <c r="O120" i="65162"/>
  <c r="M343" i="65156"/>
  <c r="L343" i="65156"/>
  <c r="H76" i="65165"/>
  <c r="K34" i="65149"/>
  <c r="O11" i="65164"/>
  <c r="K55" i="65145"/>
  <c r="N41" i="65159"/>
  <c r="N42" i="65159" s="1"/>
  <c r="N43" i="65159" s="1"/>
  <c r="K39" i="65153"/>
  <c r="O39" i="65153" s="1"/>
  <c r="N34" i="65151"/>
  <c r="N35" i="65151" s="1"/>
  <c r="N36" i="65151" s="1"/>
  <c r="K34" i="65154"/>
  <c r="J40" i="65153"/>
  <c r="J41" i="65153" s="1"/>
  <c r="K34" i="65151"/>
  <c r="L54" i="65156"/>
  <c r="K81" i="65156"/>
  <c r="O33" i="65160"/>
  <c r="K43" i="65161"/>
  <c r="K183" i="65162"/>
  <c r="K184" i="65162" s="1"/>
  <c r="M56" i="65145"/>
  <c r="J56" i="65145"/>
  <c r="K41" i="65159"/>
  <c r="O11" i="65159"/>
  <c r="K154" i="65162"/>
  <c r="K51" i="65160"/>
  <c r="K44" i="65157"/>
  <c r="K39" i="65155" l="1"/>
  <c r="L76" i="65165"/>
  <c r="H71" i="65165"/>
  <c r="N37" i="65162"/>
  <c r="K118" i="65165"/>
  <c r="H25" i="65165"/>
  <c r="L25" i="65165" s="1"/>
  <c r="H118" i="65165"/>
  <c r="K57" i="65145"/>
  <c r="O57" i="65145" s="1"/>
  <c r="O174" i="65145"/>
  <c r="K36" i="65150"/>
  <c r="O36" i="65150" s="1"/>
  <c r="O34" i="65152"/>
  <c r="O226" i="65156"/>
  <c r="O81" i="65156"/>
  <c r="O313" i="65156"/>
  <c r="O168" i="65156"/>
  <c r="N140" i="65156"/>
  <c r="O255" i="65156"/>
  <c r="O110" i="65156"/>
  <c r="O139" i="65156"/>
  <c r="N343" i="65156"/>
  <c r="O284" i="65156"/>
  <c r="N126" i="65162"/>
  <c r="O36" i="65162"/>
  <c r="O125" i="65162"/>
  <c r="O96" i="65162"/>
  <c r="K37" i="65162"/>
  <c r="O37" i="65162" s="1"/>
  <c r="N38" i="65162"/>
  <c r="O68" i="65162"/>
  <c r="O184" i="65162"/>
  <c r="O35" i="65163"/>
  <c r="K35" i="65164"/>
  <c r="O35" i="65164" s="1"/>
  <c r="O84" i="65145"/>
  <c r="N56" i="65145"/>
  <c r="O113" i="65145"/>
  <c r="O55" i="65145"/>
  <c r="K35" i="65152"/>
  <c r="K36" i="65152" s="1"/>
  <c r="O36" i="65152" s="1"/>
  <c r="K40" i="65153"/>
  <c r="K41" i="65153" s="1"/>
  <c r="O41" i="65153" s="1"/>
  <c r="K343" i="65156"/>
  <c r="K140" i="65156"/>
  <c r="O140" i="65156" s="1"/>
  <c r="O342" i="65156"/>
  <c r="K54" i="65156"/>
  <c r="K53" i="65156"/>
  <c r="O52" i="65156"/>
  <c r="K41" i="65158"/>
  <c r="K42" i="65158" s="1"/>
  <c r="O42" i="65158" s="1"/>
  <c r="K126" i="65162"/>
  <c r="O67" i="65162"/>
  <c r="O35" i="65144"/>
  <c r="O183" i="65162"/>
  <c r="O34" i="65154"/>
  <c r="K35" i="65154"/>
  <c r="F51" i="65165"/>
  <c r="F7" i="65165" s="1"/>
  <c r="N54" i="65156"/>
  <c r="N53" i="65156"/>
  <c r="O34" i="65149"/>
  <c r="K35" i="65149"/>
  <c r="O34" i="65151"/>
  <c r="K35" i="65151"/>
  <c r="O43" i="65161"/>
  <c r="K44" i="65161"/>
  <c r="L56" i="65145"/>
  <c r="O44" i="65157"/>
  <c r="K45" i="65157"/>
  <c r="O154" i="65162"/>
  <c r="K155" i="65162"/>
  <c r="O155" i="65162" s="1"/>
  <c r="O36" i="65163"/>
  <c r="K37" i="65163"/>
  <c r="O37" i="65163" s="1"/>
  <c r="O39" i="65155"/>
  <c r="K40" i="65155"/>
  <c r="O40" i="65155" s="1"/>
  <c r="O41" i="65159"/>
  <c r="K42" i="65159"/>
  <c r="O51" i="65160"/>
  <c r="K52" i="65160"/>
  <c r="K38" i="65162"/>
  <c r="O36" i="65144"/>
  <c r="K37" i="65144"/>
  <c r="O37" i="65144" s="1"/>
  <c r="O40" i="65153" l="1"/>
  <c r="O126" i="65162"/>
  <c r="O44" i="65156"/>
  <c r="K36" i="65164"/>
  <c r="O36" i="65164" s="1"/>
  <c r="O35" i="65152"/>
  <c r="O343" i="65156"/>
  <c r="O41" i="65158"/>
  <c r="O38" i="65162"/>
  <c r="L118" i="65165"/>
  <c r="O54" i="65156"/>
  <c r="O53" i="65156"/>
  <c r="K56" i="65145"/>
  <c r="O56" i="65145" s="1"/>
  <c r="K36" i="65149"/>
  <c r="O36" i="65149" s="1"/>
  <c r="O35" i="65149"/>
  <c r="O35" i="65154"/>
  <c r="K36" i="65154"/>
  <c r="O36" i="65154" s="1"/>
  <c r="L71" i="65165"/>
  <c r="H51" i="65165"/>
  <c r="K36" i="65151"/>
  <c r="O36" i="65151" s="1"/>
  <c r="O35" i="65151"/>
  <c r="O44" i="65161"/>
  <c r="K45" i="65161"/>
  <c r="O45" i="65161" s="1"/>
  <c r="K53" i="65160"/>
  <c r="O53" i="65160" s="1"/>
  <c r="O52" i="65160"/>
  <c r="K43" i="65159"/>
  <c r="O43" i="65159" s="1"/>
  <c r="O42" i="65159"/>
  <c r="K46" i="65157"/>
  <c r="O46" i="65157" s="1"/>
  <c r="O45" i="65157"/>
  <c r="L51" i="65165" l="1"/>
  <c r="H7" i="65165"/>
  <c r="L7" i="65165" s="1"/>
</calcChain>
</file>

<file path=xl/sharedStrings.xml><?xml version="1.0" encoding="utf-8"?>
<sst xmlns="http://schemas.openxmlformats.org/spreadsheetml/2006/main" count="1919" uniqueCount="396">
  <si>
    <t>Ministarstvo
(razdjel)</t>
  </si>
  <si>
    <t>Proračunska
institucija</t>
  </si>
  <si>
    <t>OPIS</t>
  </si>
  <si>
    <t>01</t>
  </si>
  <si>
    <t>0001</t>
  </si>
  <si>
    <t xml:space="preserve"> Doprinosi poslodavca</t>
  </si>
  <si>
    <t xml:space="preserve"> Putni troškovi</t>
  </si>
  <si>
    <t xml:space="preserve"> Izdaci za energiju</t>
  </si>
  <si>
    <t xml:space="preserve"> Izdaci za usluge prijevoza i goriva</t>
  </si>
  <si>
    <t xml:space="preserve"> Izdaci za tekuće održavanje</t>
  </si>
  <si>
    <t xml:space="preserve"> Tekuće održavanje cesta</t>
  </si>
  <si>
    <t xml:space="preserve"> Kapitalni grantovi</t>
  </si>
  <si>
    <t xml:space="preserve"> Izdaci za nabavku stalnih sredstava</t>
  </si>
  <si>
    <t xml:space="preserve"> Nabavka građevina</t>
  </si>
  <si>
    <t xml:space="preserve"> Nabavka opreme</t>
  </si>
  <si>
    <t xml:space="preserve"> Ukupan broj zaposlenih:</t>
  </si>
  <si>
    <t xml:space="preserve"> Ukupno za proračunsku instituciju:</t>
  </si>
  <si>
    <t xml:space="preserve"> Ukupno za ministarstvo (razdjel):</t>
  </si>
  <si>
    <t xml:space="preserve"> Tekuća pričuva Vlade</t>
  </si>
  <si>
    <t xml:space="preserve"> Tekuća pričuva predsjednika Vlade</t>
  </si>
  <si>
    <t xml:space="preserve"> Tekuća pričuva ministra financija</t>
  </si>
  <si>
    <t>Potrošačka
jedinica</t>
  </si>
  <si>
    <t xml:space="preserve"> Ostali grantovi-povrat i drugo</t>
  </si>
  <si>
    <t xml:space="preserve"> Isplate stipendija</t>
  </si>
  <si>
    <t xml:space="preserve"> Ukupno za potrošačku jedinicu:</t>
  </si>
  <si>
    <t xml:space="preserve"> Grant za zaštitu od prirodnih i drugih nesreća</t>
  </si>
  <si>
    <t>SKUPŠTINA ŽUPANIJE POSAVSKE</t>
  </si>
  <si>
    <t>0002</t>
  </si>
  <si>
    <t>VLADA ŽUPANIJE POSAVSKE</t>
  </si>
  <si>
    <t>11</t>
  </si>
  <si>
    <t xml:space="preserve"> Rashodi - Tekuća pričuva</t>
  </si>
  <si>
    <t xml:space="preserve"> Tekuća pričuva zamjenika pred. Vlade</t>
  </si>
  <si>
    <t>0003</t>
  </si>
  <si>
    <t>0004</t>
  </si>
  <si>
    <t>12</t>
  </si>
  <si>
    <t>13</t>
  </si>
  <si>
    <t>14</t>
  </si>
  <si>
    <t>02</t>
  </si>
  <si>
    <t>05</t>
  </si>
  <si>
    <t>15</t>
  </si>
  <si>
    <t>16</t>
  </si>
  <si>
    <t>17</t>
  </si>
  <si>
    <t>18</t>
  </si>
  <si>
    <t>19</t>
  </si>
  <si>
    <t>20</t>
  </si>
  <si>
    <t>03</t>
  </si>
  <si>
    <t>0005</t>
  </si>
  <si>
    <t>0006</t>
  </si>
  <si>
    <t>0007</t>
  </si>
  <si>
    <t>21</t>
  </si>
  <si>
    <t>22</t>
  </si>
  <si>
    <t>23</t>
  </si>
  <si>
    <t>KANTONALNI SUD ODŽAK</t>
  </si>
  <si>
    <t>24</t>
  </si>
  <si>
    <t>26</t>
  </si>
  <si>
    <t>27</t>
  </si>
  <si>
    <t xml:space="preserve"> Doprinosi poslodavca i ostali doprinosi</t>
  </si>
  <si>
    <t xml:space="preserve"> Plaće i naknade troškova zaposlenih</t>
  </si>
  <si>
    <t xml:space="preserve"> Izdaci za materijal, sitan inv. i usluge</t>
  </si>
  <si>
    <t xml:space="preserve"> Nabavka materijala i sitnog inventara</t>
  </si>
  <si>
    <t xml:space="preserve"> Izdaci osiguranja, bank. usluga i usluga p.p.</t>
  </si>
  <si>
    <t xml:space="preserve"> Ugovorene i druge posebne usluge</t>
  </si>
  <si>
    <t xml:space="preserve"> Grant za zaštitu okoliša</t>
  </si>
  <si>
    <t xml:space="preserve"> Vozački ispiti-vlastiti prihodi</t>
  </si>
  <si>
    <t>28</t>
  </si>
  <si>
    <t>ŽUPANIJSKA UPRAVA ZA INSPEKCIJSKE POSLOVE</t>
  </si>
  <si>
    <t xml:space="preserve"> Izdaci za negativne tečajne razlike</t>
  </si>
  <si>
    <t>06</t>
  </si>
  <si>
    <t xml:space="preserve"> Bruto plaće i naknade plaća</t>
  </si>
  <si>
    <t xml:space="preserve"> Naknade troškova zaposlenih</t>
  </si>
  <si>
    <t xml:space="preserve"> Izdaci za komunikaciju i komunalne usluge</t>
  </si>
  <si>
    <t xml:space="preserve"> Unajmljivanje imovine, opreme i nemat.imovine</t>
  </si>
  <si>
    <t xml:space="preserve"> Tekući grantovi i drugi tekući rashodi</t>
  </si>
  <si>
    <t xml:space="preserve"> Izdaci za kamate</t>
  </si>
  <si>
    <t>Izdaci za otplate dugova</t>
  </si>
  <si>
    <t xml:space="preserve"> Grant za razvoj turizma</t>
  </si>
  <si>
    <t xml:space="preserve"> Grant za Crveni križ Županije Posavske</t>
  </si>
  <si>
    <t>ŽUPANIJSKO PRAVOBRANITELJSTVO</t>
  </si>
  <si>
    <t xml:space="preserve"> Grant za Gospodarsku komoru ŽP</t>
  </si>
  <si>
    <t xml:space="preserve"> Grant za Sveučilište u Mostaru</t>
  </si>
  <si>
    <t xml:space="preserve"> Grant za uređenje poljoprivrednog zemljišta</t>
  </si>
  <si>
    <t>UKUPNO</t>
  </si>
  <si>
    <t xml:space="preserve"> Nabavka stalnih sredstava u obliku prava</t>
  </si>
  <si>
    <t xml:space="preserve"> Potpora riznici</t>
  </si>
  <si>
    <t xml:space="preserve"> Ugovorene i druge posebne usluge-prostorni plan</t>
  </si>
  <si>
    <t>Ekon. 
kod</t>
  </si>
  <si>
    <t xml:space="preserve"> Ostali grantovi-izvršenje sudskih presuda i rješenja
 o izvršenju</t>
  </si>
  <si>
    <t xml:space="preserve"> Grant za razvoj poduzetništva, obrta i zadruga</t>
  </si>
  <si>
    <t>Subanalitika</t>
  </si>
  <si>
    <t>BA6017</t>
  </si>
  <si>
    <t>BA6014</t>
  </si>
  <si>
    <t>BA6016</t>
  </si>
  <si>
    <t>BA6001</t>
  </si>
  <si>
    <t>BA6008</t>
  </si>
  <si>
    <t>BA6007</t>
  </si>
  <si>
    <t>FA6002</t>
  </si>
  <si>
    <t>FA6001</t>
  </si>
  <si>
    <t>GA6003</t>
  </si>
  <si>
    <t>GA6002</t>
  </si>
  <si>
    <t>GA6005</t>
  </si>
  <si>
    <t>GA6006</t>
  </si>
  <si>
    <t>GA6008</t>
  </si>
  <si>
    <t>GA6009</t>
  </si>
  <si>
    <t>IA6004</t>
  </si>
  <si>
    <t>IA6002</t>
  </si>
  <si>
    <t>JA6004</t>
  </si>
  <si>
    <t>JA6008</t>
  </si>
  <si>
    <t>JA6005</t>
  </si>
  <si>
    <t>JA6007</t>
  </si>
  <si>
    <t>KA6007</t>
  </si>
  <si>
    <t>KA6004</t>
  </si>
  <si>
    <t>KA6009</t>
  </si>
  <si>
    <t>KA6003</t>
  </si>
  <si>
    <t>KA6001</t>
  </si>
  <si>
    <t>KA6006</t>
  </si>
  <si>
    <t>LA6001</t>
  </si>
  <si>
    <t>NA6002</t>
  </si>
  <si>
    <t>iz prorač.
sredstava</t>
  </si>
  <si>
    <t>iz ostalih izvora</t>
  </si>
  <si>
    <t>HA6003</t>
  </si>
  <si>
    <t>HA6004</t>
  </si>
  <si>
    <t>KA6012</t>
  </si>
  <si>
    <t>KA6013</t>
  </si>
  <si>
    <t>FA6003</t>
  </si>
  <si>
    <t>FA6004</t>
  </si>
  <si>
    <t xml:space="preserve"> Rekonstrukcija i investicijsko održavanje regionalnih cesta</t>
  </si>
  <si>
    <t xml:space="preserve"> Rekonstrukcija i investicijsko održavanje lokalnih cesta</t>
  </si>
  <si>
    <t>IA6005</t>
  </si>
  <si>
    <t>IA6006</t>
  </si>
  <si>
    <t>BA6020</t>
  </si>
  <si>
    <t>ŽUPANIJSKA UPRAVA CIVILNE ZAŠTITE</t>
  </si>
  <si>
    <t>KANTONALNO TUŽITELJSTVO POSAVSKOG KANTONA ORAŠJE</t>
  </si>
  <si>
    <t xml:space="preserve"> Kapitalni grant za razvoj poduzetništva, obrta i zadruga</t>
  </si>
  <si>
    <t xml:space="preserve"> Kapitalni grant za uređenje poljoprivrednog zemljišta</t>
  </si>
  <si>
    <t xml:space="preserve"> Kapitalni grant za vodoprivredu</t>
  </si>
  <si>
    <t>Funkcija</t>
  </si>
  <si>
    <t>0111</t>
  </si>
  <si>
    <t>0133</t>
  </si>
  <si>
    <t>0310</t>
  </si>
  <si>
    <t>0360</t>
  </si>
  <si>
    <t>0330</t>
  </si>
  <si>
    <t>0490</t>
  </si>
  <si>
    <t>0112</t>
  </si>
  <si>
    <t>1090</t>
  </si>
  <si>
    <t>0421</t>
  </si>
  <si>
    <t>0980</t>
  </si>
  <si>
    <t>0941</t>
  </si>
  <si>
    <t>0820</t>
  </si>
  <si>
    <t>0810</t>
  </si>
  <si>
    <t>0912
0921</t>
  </si>
  <si>
    <t>0830</t>
  </si>
  <si>
    <t>0840</t>
  </si>
  <si>
    <t>0922</t>
  </si>
  <si>
    <t>0912</t>
  </si>
  <si>
    <t>0320</t>
  </si>
  <si>
    <t xml:space="preserve"> Povjerenstva po Zakonu o drž.službenicima i namještenic.</t>
  </si>
  <si>
    <t>EA6001</t>
  </si>
  <si>
    <t>JA6009</t>
  </si>
  <si>
    <t>JA6010</t>
  </si>
  <si>
    <t xml:space="preserve"> Grant za pomoć pri stambenom zbrinjavanju mladih obitelji 
 i socijalnih kategorija</t>
  </si>
  <si>
    <t>EA6002</t>
  </si>
  <si>
    <t xml:space="preserve"> Ugovorene i dr.pos.usluge - troškovi izvršenja mjere pritvora</t>
  </si>
  <si>
    <t xml:space="preserve"> Izdaci za inozemne kamate-Koreja</t>
  </si>
  <si>
    <t xml:space="preserve"> Izdaci za inozemne kamate-Austrija</t>
  </si>
  <si>
    <t>Vanjske otplate-Koreja</t>
  </si>
  <si>
    <t>Vanjske otplate-Austrija</t>
  </si>
  <si>
    <t xml:space="preserve"> Ugovorene i dr. posebne usluge-sufinanc.prijema vježbenika</t>
  </si>
  <si>
    <t>BA6021</t>
  </si>
  <si>
    <t xml:space="preserve"> Grant za udruge roditelja djece s posebnim potrebama</t>
  </si>
  <si>
    <t>HA6005</t>
  </si>
  <si>
    <t>BA6019</t>
  </si>
  <si>
    <t>10=8+9</t>
  </si>
  <si>
    <t>RAZDJEL:</t>
  </si>
  <si>
    <t>NAZIV RAZDJELA:</t>
  </si>
  <si>
    <t>SLUŽBA ZA ODNOSE S JAVNOŠĆU VLADE ŽP</t>
  </si>
  <si>
    <t>ZAJEDNIČKA SLUŽBA VLADE ŽP</t>
  </si>
  <si>
    <t>MINISTARSTVO UNUTARNJIH POSLOVA ŽP</t>
  </si>
  <si>
    <t>MINISTARSTVO PRAVOSUĐA I UPRAVE ŽP</t>
  </si>
  <si>
    <t>OPĆINSKI SUD U ORAŠJU</t>
  </si>
  <si>
    <t>OPĆINSKO PRAVOBRANITELJSTVO ODŽAK</t>
  </si>
  <si>
    <t>MINISTARSTVO FINANCIJA ŽP</t>
  </si>
  <si>
    <t>SREDNJA ŠKOLA PERE ZEČEVIĆA U ODŽAKU</t>
  </si>
  <si>
    <t>SREDNJA STRUKOVNA ŠKOLA ORAŠJE U ORAŠJU</t>
  </si>
  <si>
    <t>OSNOVNA ŠKOLA ORAŠJE U ORAŠJU</t>
  </si>
  <si>
    <t>OSNOVNA ŠKOLA VLADIMIRA NAZORA U ODŽAKU</t>
  </si>
  <si>
    <t>OSNOVNA ŠKOLA BRAĆE RADIĆA U DOMALJEVCU</t>
  </si>
  <si>
    <t>MINISTARSTVO BRANITELJA ŽP</t>
  </si>
  <si>
    <t>AGENCIJA ZA PRIVATIZACIJU U ŽP</t>
  </si>
  <si>
    <t>URED ZA ZAKONODAVSTVO VLADE ŽP</t>
  </si>
  <si>
    <t>ŽUP.ZAVOD ZA PRUŽANJE PRAVNE POMOĆI</t>
  </si>
  <si>
    <t>MINIST.GOSPODARSTVA, RADA I PROST.UREĐENJA</t>
  </si>
  <si>
    <t>MINISTARSTVO ZDRAVSTVA I SOC.POLITIKE ŽP</t>
  </si>
  <si>
    <t>MINIST.PROMETA, VEZA I ZAŠTITE OKOLIŠA ŽP</t>
  </si>
  <si>
    <t>MINIST.POLJOPR.,VODOPR.I ŠUMARSTVA ŽP</t>
  </si>
  <si>
    <t>MINIST.PROSVJETE, ZNAN., KULTURE I SPORTA ŽP</t>
  </si>
  <si>
    <t>ŠKOLSKI CENTAR FRA M.NEDIĆA U ORAŠJU</t>
  </si>
  <si>
    <t>OSNOVNA ŠKOLA R.BOŠKOVIĆA U DONJOJ MAHALI</t>
  </si>
  <si>
    <t>OSNOVNA ŠKOLA FRA I.STARČEVIĆA U TOLISI</t>
  </si>
  <si>
    <t>OSNOVNA ŠKOLA STJEPANA RADIĆA U BOKU</t>
  </si>
  <si>
    <t>OSNOVNA ŠKOLA A.G.MATOŠA U VIDOVICAMA</t>
  </si>
  <si>
    <t>KANTONALNO TUŽITELJSTVO PK U ORAŠJU</t>
  </si>
  <si>
    <t>ŽUP.UPRAVA ZA INSPEKCIJSKE POSLOVE</t>
  </si>
  <si>
    <t>ZAJEDNIČKA SLUŽBA VLADE ŽUPANIJE POSAVSKE</t>
  </si>
  <si>
    <t>MINISTARSTVO UNUTARNJIH POSLOVA ŽUPANIJE POSAVSKE</t>
  </si>
  <si>
    <t>MINISTARSTVO PRAVOSUĐA I UPRAVE ŽUPANIJE POSAVSKE</t>
  </si>
  <si>
    <t>MINISTARSTVO GOSPODARSTVA, RADA I PROSTORNOG UREĐENJA ŽUPANIJE POSAVSKE</t>
  </si>
  <si>
    <t>MINISTARSTVO FINANCIJA ŽUPANIJE POSAVSKE</t>
  </si>
  <si>
    <t>MINISTARSTVO ZDRAVSTVA I SOCIJALNE POLITIKE ŽUPANIJE POSAVSKE</t>
  </si>
  <si>
    <t>MINISTARSTVO PROMETA, VEZA I ZAŠTITE OKOLIŠA ŽUPANIJE POSAVSKE</t>
  </si>
  <si>
    <t>MINISTARSTVO POLJOPRIVREDE, VODOPRIVREDE I ŠUMARSTVA ŽUPANIJE POSAVSKE</t>
  </si>
  <si>
    <t>MINISTARSTVO PROSVJETE, ZNANOSTI, KULTURE I SPORTA ŽUPANIJE POSAVSKE</t>
  </si>
  <si>
    <t>MINISTARSTVO BRANITELJA ŽUPANIJE POSAVSKE</t>
  </si>
  <si>
    <t>AGENCIJA ZA PRIVATIZACIJU U ŽUPANIJI POSAVSKOJ</t>
  </si>
  <si>
    <t>RAZDJEL</t>
  </si>
  <si>
    <t>NAZIV RAZDJELA</t>
  </si>
  <si>
    <t>Općinski sud u Orašju</t>
  </si>
  <si>
    <t>Općinsko pravobraniteljstvo Odžak</t>
  </si>
  <si>
    <t>Županijski Zavod za pružanje pravne pomoći</t>
  </si>
  <si>
    <t>Ured za zakonodavstvo Vlade Županije Posavske</t>
  </si>
  <si>
    <t>Služba za odnose s javnošću Vlade Županije Posavske</t>
  </si>
  <si>
    <t>Ured za obnovu, stambeno zbrinjavanje i raseljene osobe Vlade Županije Posavske</t>
  </si>
  <si>
    <t>Srednja škola Pere Zečevića u Odžaku</t>
  </si>
  <si>
    <t>Školski centar Fra Martina Nedića u Orašju</t>
  </si>
  <si>
    <t>Srednja strukovna škola u Orašju</t>
  </si>
  <si>
    <t>Osnovna škola Orašje u Orašju</t>
  </si>
  <si>
    <t>Osnovna škola Vladimira Nazora u Odžaku</t>
  </si>
  <si>
    <t>Osnovna škola Ruđera Boškovića u Donjoj Mahali</t>
  </si>
  <si>
    <t>Osnovna škola Fra Ilije Starčevića u Tolisi</t>
  </si>
  <si>
    <t>Osnovna škola Stjepana Radića u Boku</t>
  </si>
  <si>
    <t>Osnovna škola Antuna Gustava Matoša u Vidovicama</t>
  </si>
  <si>
    <t>Osnovna škola Braće Radića u Domaljevcu</t>
  </si>
  <si>
    <t>(nema)</t>
  </si>
  <si>
    <t>Datum zahtjeva:</t>
  </si>
  <si>
    <t>Županijski arhiv</t>
  </si>
  <si>
    <t xml:space="preserve"> Kapitalni grant</t>
  </si>
  <si>
    <t>7 (8)</t>
  </si>
  <si>
    <t>07</t>
  </si>
  <si>
    <t>0130</t>
  </si>
  <si>
    <t>ŽUPANIJSKI ARHIV</t>
  </si>
  <si>
    <t>FA6005</t>
  </si>
  <si>
    <t xml:space="preserve"> Kapitalni grant jedinicama lokalne samouprave za razvoj poduzetničke infratsrukture</t>
  </si>
  <si>
    <t xml:space="preserve"> Grant neprofitnim organizacijama i udrugama građana</t>
  </si>
  <si>
    <t xml:space="preserve"> Grant političkim strankama</t>
  </si>
  <si>
    <t xml:space="preserve"> Grant nižim razinama vlasti</t>
  </si>
  <si>
    <t xml:space="preserve"> Grant za šumarstvo</t>
  </si>
  <si>
    <t xml:space="preserve"> Grant za poljoprivredu</t>
  </si>
  <si>
    <t xml:space="preserve"> Grant za vodoprivredu</t>
  </si>
  <si>
    <t>KA6014</t>
  </si>
  <si>
    <t xml:space="preserve"> Grant za sufinanciranje prijevoza učenika</t>
  </si>
  <si>
    <t xml:space="preserve"> Grant za informiranje</t>
  </si>
  <si>
    <t xml:space="preserve"> Grant za financiranje vjerskih zajednica</t>
  </si>
  <si>
    <t xml:space="preserve"> Grant za sport</t>
  </si>
  <si>
    <t xml:space="preserve"> Grant za kulturu</t>
  </si>
  <si>
    <t xml:space="preserve"> Nabavka opreme - vatrogasna postrojba</t>
  </si>
  <si>
    <t>NA8001</t>
  </si>
  <si>
    <t xml:space="preserve"> Grant za zdravstvene institucije i centre za soc.rad</t>
  </si>
  <si>
    <t xml:space="preserve"> Grant za zdravstvene potrebe</t>
  </si>
  <si>
    <t xml:space="preserve"> Grant za socijalne potrebe</t>
  </si>
  <si>
    <t>INDEKS</t>
  </si>
  <si>
    <t xml:space="preserve"> Grant za branitelje i stradalnike Domovinskog rata</t>
  </si>
  <si>
    <t xml:space="preserve">     koji potom cjeloviti zahtjev za razdjel dostavlja Ministarstvu financija. </t>
  </si>
  <si>
    <t>1. Na radnim listovima odaberite Vaš razdjel. Ovisno o razdjelu otvoriti će Vam se ili samo jedna tablica za razdjel ili više tablica (ukoliko razdjel ima porač.institucije/potrošačke jedinice).</t>
  </si>
  <si>
    <r>
      <t xml:space="preserve">3. Po zavšetku unosa zahtjeva, upišite datum zahtjeva, isprintajte tablice te ih u </t>
    </r>
    <r>
      <rPr>
        <b/>
        <sz val="12"/>
        <rFont val="Arial"/>
        <family val="2"/>
        <charset val="238"/>
      </rPr>
      <t>elektronskoj</t>
    </r>
    <r>
      <rPr>
        <sz val="12"/>
        <rFont val="Arial"/>
        <family val="2"/>
        <charset val="238"/>
      </rPr>
      <t xml:space="preserve"> i </t>
    </r>
    <r>
      <rPr>
        <b/>
        <sz val="12"/>
        <rFont val="Arial"/>
        <family val="2"/>
        <charset val="238"/>
      </rPr>
      <t>papirnoj</t>
    </r>
    <r>
      <rPr>
        <sz val="12"/>
        <rFont val="Arial"/>
        <family val="2"/>
        <charset val="238"/>
      </rPr>
      <t xml:space="preserve"> formi, skupa s pratećim obrascima, dostavite u Ministarstvo financija 
    (ruzica.zivkovic@zupanijaposavska.ba). Ukoliko se pojavi neki problem pri unosu kontaktirajte nas na broj: 031 713 265, lok. 167.</t>
    </r>
  </si>
  <si>
    <t>4. Proračunski zahtjevi i prateći obrasci moraju biti potpisani i opečaćeni, te s jasno naznačenim datumom.</t>
  </si>
  <si>
    <r>
      <t xml:space="preserve">5. Sukladno utvrđenim organizacijskim kodovima, </t>
    </r>
    <r>
      <rPr>
        <b/>
        <sz val="12"/>
        <rFont val="Arial"/>
        <family val="2"/>
        <charset val="238"/>
      </rPr>
      <t>svaka proračunska institucija/potrošačka jedinica svoj zahtjev mora najprije dostaviti nadležnom razdjelu</t>
    </r>
    <r>
      <rPr>
        <sz val="12"/>
        <rFont val="Arial"/>
        <family val="2"/>
        <charset val="238"/>
      </rPr>
      <t xml:space="preserve"> (vidi donju tablicu),</t>
    </r>
  </si>
  <si>
    <t>PRORAČUNSKE INSTITUCIJE/POTROŠAČKE JEDINICE</t>
  </si>
  <si>
    <t xml:space="preserve">II - RASHODI I IZDACI  </t>
  </si>
  <si>
    <t>8=6+7</t>
  </si>
  <si>
    <t>9=8/4</t>
  </si>
  <si>
    <t xml:space="preserve"> UKUPNI IZDACI </t>
  </si>
  <si>
    <t xml:space="preserve"> o/č Naknade troškova zaposlenih</t>
  </si>
  <si>
    <t xml:space="preserve"> o/č Nabavka materijala i sitnog inventara</t>
  </si>
  <si>
    <t xml:space="preserve"> o/č Izdaci za tekuće održavanje</t>
  </si>
  <si>
    <t xml:space="preserve"> o/č Tekuće održavanje cesta</t>
  </si>
  <si>
    <t xml:space="preserve"> o/č Izdaci osiguranja, bank. usluga i usluga p.p.</t>
  </si>
  <si>
    <t xml:space="preserve"> o/č Izdaci za negativne tečajne razlike</t>
  </si>
  <si>
    <t xml:space="preserve"> o/č Ugovorene i druge posebne usluge</t>
  </si>
  <si>
    <t xml:space="preserve"> o/č Povjerenstva po Zakonu o drž.službenicima i namještenic.</t>
  </si>
  <si>
    <t xml:space="preserve"> o/č Ugovorene i dr.pos.usluge - troškovi izvršenja mjere pritvora</t>
  </si>
  <si>
    <t xml:space="preserve"> o/č Potpora riznici</t>
  </si>
  <si>
    <t xml:space="preserve"> o/č Vozački ispiti-vlastiti prihodi</t>
  </si>
  <si>
    <t xml:space="preserve"> o/č Ugov.i dr.poseb.usluge-sufinanciranje prijema vježbenika</t>
  </si>
  <si>
    <t xml:space="preserve"> o/č Ugovorene i druge posebne usluge-prostorni plan</t>
  </si>
  <si>
    <t xml:space="preserve"> Tekući grantovi drugim razinama vlasti i fondovima</t>
  </si>
  <si>
    <t xml:space="preserve"> o/č Grant za Sveučilište u Mostaru</t>
  </si>
  <si>
    <t xml:space="preserve"> o/č Grant za razvoj turizma</t>
  </si>
  <si>
    <t xml:space="preserve"> o/č Grant nižim razinama vlasti</t>
  </si>
  <si>
    <t xml:space="preserve"> o/č Grant za zdravstvene institucije i centre za soc.rad</t>
  </si>
  <si>
    <t xml:space="preserve"> o/č Grant za zaštitu okoliša</t>
  </si>
  <si>
    <t xml:space="preserve"> o/č Grant za šumarstvo</t>
  </si>
  <si>
    <t>614100</t>
  </si>
  <si>
    <t xml:space="preserve"> o/č Grant za sufinanciranje prijevoza učenika</t>
  </si>
  <si>
    <t>614200</t>
  </si>
  <si>
    <t xml:space="preserve"> Tekući grantovi pojedincima</t>
  </si>
  <si>
    <t xml:space="preserve"> o/č Grant za sufinanciranje nabavke udžbenika učenicima </t>
  </si>
  <si>
    <t xml:space="preserve"> o/č Grant za zdravstvene potrebe</t>
  </si>
  <si>
    <t xml:space="preserve"> o/č Grant za socijalne potrebe</t>
  </si>
  <si>
    <t xml:space="preserve"> o/č Isplate stipendija</t>
  </si>
  <si>
    <t xml:space="preserve"> o/č Grant za branitelje i stradalnike dom. rata</t>
  </si>
  <si>
    <t xml:space="preserve"> o/č Grant za zaštitu od prirodnih i drugih nesreća</t>
  </si>
  <si>
    <t>614300</t>
  </si>
  <si>
    <t xml:space="preserve"> Tekući grantovi neprofitnim organizacijama</t>
  </si>
  <si>
    <t xml:space="preserve"> o/č Grant političkim strankama</t>
  </si>
  <si>
    <t xml:space="preserve"> o/č Grant neprofitnim organizacijama i udrugama građana</t>
  </si>
  <si>
    <t xml:space="preserve"> o/č Grant za Crveni križ Županije Posavske</t>
  </si>
  <si>
    <t xml:space="preserve"> o/č Grant za Gospodarsku komoru ŽP</t>
  </si>
  <si>
    <t xml:space="preserve"> o/č Grant za udruge roditelja djece s posebnim potrebama</t>
  </si>
  <si>
    <t xml:space="preserve"> o/č Grant za informiranje</t>
  </si>
  <si>
    <t xml:space="preserve"> o/č Grant za financiranje vjerskih zajednica</t>
  </si>
  <si>
    <t xml:space="preserve"> o/č Grant za sport</t>
  </si>
  <si>
    <t xml:space="preserve"> o/č Grant za kulturu</t>
  </si>
  <si>
    <t>614500</t>
  </si>
  <si>
    <t xml:space="preserve"> Subvencije privatnim poduzećima i poduzetnicima</t>
  </si>
  <si>
    <t xml:space="preserve"> o/č Grant za razvoj poduzetništva, obrta i zadruga</t>
  </si>
  <si>
    <t xml:space="preserve"> o/č Grant za poljoprivredu</t>
  </si>
  <si>
    <t xml:space="preserve"> o/č Grant za vodoprivredu</t>
  </si>
  <si>
    <t xml:space="preserve"> o/č Grant za uređenje poljoprivrednog zemljišta</t>
  </si>
  <si>
    <t xml:space="preserve"> Drugi tekući rashodi</t>
  </si>
  <si>
    <t xml:space="preserve"> o/č Ostali grantovi-povrat i drugo</t>
  </si>
  <si>
    <t xml:space="preserve"> o/č Ostali grantovi-izvršenje sudskih presuda i rješenja o 
      izvršenju</t>
  </si>
  <si>
    <t>615100</t>
  </si>
  <si>
    <t>615500</t>
  </si>
  <si>
    <t>616000</t>
  </si>
  <si>
    <t xml:space="preserve"> Izdaci za kamate </t>
  </si>
  <si>
    <t xml:space="preserve"> Izdaci za otplate dugova</t>
  </si>
  <si>
    <t xml:space="preserve"> Vanjske otplate - Koreja</t>
  </si>
  <si>
    <t xml:space="preserve"> Vanjske otplate - Austrija</t>
  </si>
  <si>
    <t xml:space="preserve"> Ukupno za potrošačke jedinice:</t>
  </si>
  <si>
    <t xml:space="preserve"> o/č Grant za pomoć pri stambenom zbrinjavanju mladih 
      obitelji  socijalnih kategorija</t>
  </si>
  <si>
    <t>BA60122</t>
  </si>
  <si>
    <t xml:space="preserve"> Grant za Muzej Franjevačkog samostana Tolisa Vrata Bosne</t>
  </si>
  <si>
    <t xml:space="preserve"> Nabavka zemljišta</t>
  </si>
  <si>
    <t>BA6022</t>
  </si>
  <si>
    <t xml:space="preserve"> o/č Grant za Muzej Franj.samostana Tolisa Vrata Bosne</t>
  </si>
  <si>
    <t>KA6016</t>
  </si>
  <si>
    <t xml:space="preserve"> Grant za predškolsko, osnovno i srednje obrazovanje</t>
  </si>
  <si>
    <t>KA6015</t>
  </si>
  <si>
    <t xml:space="preserve"> Grant za sufinanciranje nabavke udžbenika učenicima</t>
  </si>
  <si>
    <t xml:space="preserve"> o/č Grant za predškolsko, osnovno i srednje obrazovanje</t>
  </si>
  <si>
    <t>13 (14)</t>
  </si>
  <si>
    <t xml:space="preserve"> Kapitalni grant jedinicama lokalne samouprave za razvoj
 poduzetničke infrastrukture</t>
  </si>
  <si>
    <t>ZAHTJEV za 2025.</t>
  </si>
  <si>
    <t xml:space="preserve"> Ostali doprinosi iz ranijih razdoblja</t>
  </si>
  <si>
    <t>DA6002</t>
  </si>
  <si>
    <t>43 (44)</t>
  </si>
  <si>
    <t>2 (3)</t>
  </si>
  <si>
    <t>KA6017</t>
  </si>
  <si>
    <t xml:space="preserve"> Grant za financiranje visokog obrazovanja</t>
  </si>
  <si>
    <t>NA6005</t>
  </si>
  <si>
    <t xml:space="preserve"> Grant nižim razinama za uklanjanje posljedica pr.nesreća</t>
  </si>
  <si>
    <t xml:space="preserve"> o/č Nabavka mat.i sitn.invent.-obroci za učenike</t>
  </si>
  <si>
    <t xml:space="preserve">o/č Grant za financiranje visokog obrazovanja </t>
  </si>
  <si>
    <t xml:space="preserve"> o/č Grant nižim razinama za uklanjanje poslj.pr.nesr.</t>
  </si>
  <si>
    <t>PRORAČUN za 2024./
Povećanje smanjenje</t>
  </si>
  <si>
    <t>Ured za razvoj i europske integracije Županije Posavske</t>
  </si>
  <si>
    <t>Ured za borbu protiv korupcije Vlade Županije Posavske</t>
  </si>
  <si>
    <t xml:space="preserve"> Naknade troškova zaposlenih - volonteri</t>
  </si>
  <si>
    <t xml:space="preserve"> Ugovorene i dr. posebne usluge-volonteri</t>
  </si>
  <si>
    <t>URED ZA RAZVOJ I EU.INTEGRACIJE ŽP</t>
  </si>
  <si>
    <t>URED ZA OBNOVU, STAMB.ZBRINJ.I RAS.OSOBE VLADE ŽP</t>
  </si>
  <si>
    <t>URED ZA BORBU PROTIV KORUPCIJE VLADE ŽP</t>
  </si>
  <si>
    <t>11 (13)</t>
  </si>
  <si>
    <t xml:space="preserve"> Nab.mat.i sitn.invent.-obroci za djecu progr.predšk.i učen.</t>
  </si>
  <si>
    <t xml:space="preserve"> Ugovorene i dr.posebne usluge-obuke i seminari prosv.dj.</t>
  </si>
  <si>
    <t>084</t>
  </si>
  <si>
    <t xml:space="preserve"> Kapitalni grant vjerskim zajednicama za realizaciju 
 projekata obnove sakralnih objekata</t>
  </si>
  <si>
    <t xml:space="preserve"> Grant za obilježavanje značajnih datuma i drug.aktivnosti 
 vezano za Domovinski rat</t>
  </si>
  <si>
    <t xml:space="preserve"> o/č Naknade troškova zaposlenih - volonteri</t>
  </si>
  <si>
    <t>615300</t>
  </si>
  <si>
    <t xml:space="preserve"> o/č Ugovorene i druge posebne usluge-volont.rad</t>
  </si>
  <si>
    <t xml:space="preserve"> o/č Ugov.i dr.pos.usluge-obuke i seminari prosv.djelatn.</t>
  </si>
  <si>
    <t xml:space="preserve"> o/č  Grant za obilježav.Domovinski rat</t>
  </si>
  <si>
    <t>PRORAČUN za 2026.</t>
  </si>
  <si>
    <t>ZAHTJEV za Izmjene i dopune 
Proračuna za 2026.</t>
  </si>
  <si>
    <t>ZAHTJEV ZA IZMJENE I DOPUNE PRORAČUNA ZA 2026. GODINU</t>
  </si>
  <si>
    <t>PRORAČUN za 2026./
(poveć./smanj.)</t>
  </si>
  <si>
    <t>204 (205)</t>
  </si>
  <si>
    <t>GRADSKO PRAVOBRANITELJSTVO ORAŠJE</t>
  </si>
  <si>
    <t>12 (13)</t>
  </si>
  <si>
    <t>18 (19)</t>
  </si>
  <si>
    <t>29 (31)</t>
  </si>
  <si>
    <t>14 (15)</t>
  </si>
  <si>
    <t>42 (44)</t>
  </si>
  <si>
    <t>41 (45)</t>
  </si>
  <si>
    <t>57 (59)</t>
  </si>
  <si>
    <t>108 (111)</t>
  </si>
  <si>
    <t>29 (30)</t>
  </si>
  <si>
    <t>33 (36)</t>
  </si>
  <si>
    <t>38 (39)</t>
  </si>
  <si>
    <t>14 (18)</t>
  </si>
  <si>
    <t>30 (31)</t>
  </si>
  <si>
    <t>UVODNE NAPOMENE ZA POPUNJAVANJE TABLICA ZAHTJEVA ZA IZMJENE I DOPUNE PRORAČUNA ZA 2026. GODINU</t>
  </si>
  <si>
    <t>2. Za izradu Izmjena i dopuna Proračuna niau utvrđene gornje granice rashoda i izdataka te Vas molimo da se pri planiranju pridržavate općih uputa danih u Instrukciji.</t>
  </si>
  <si>
    <t>Gradsko pravobraniteljstvo Orašje</t>
  </si>
  <si>
    <t>13=11+12</t>
  </si>
  <si>
    <t>14=13/10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</si>
</sst>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k_n_-;\-* #,##0.00\ _k_n_-;_-* &quot;-&quot;??\ _k_n_-;_-@_-"/>
    <numFmt numFmtId="165" formatCode="#,##0\ &quot;KM&quot;;\-#,##0\ &quot;KM&quot;"/>
    <numFmt numFmtId="166" formatCode="#,##0\ [$KM-101A]"/>
    <numFmt numFmtId="167" formatCode="dd/mm/yy/;@"/>
  </numFmts>
  <fonts count="30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name val="Arial"/>
      <family val="2"/>
      <charset val="238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</font>
    <font>
      <i/>
      <sz val="10"/>
      <name val="Arial"/>
      <family val="2"/>
      <charset val="238"/>
    </font>
    <font>
      <i/>
      <sz val="8"/>
      <name val="Arial"/>
      <family val="2"/>
    </font>
    <font>
      <i/>
      <sz val="11"/>
      <name val="Arial"/>
      <family val="2"/>
    </font>
    <font>
      <i/>
      <sz val="8"/>
      <name val="Arial"/>
      <family val="2"/>
      <charset val="238"/>
    </font>
    <font>
      <i/>
      <sz val="11"/>
      <name val="Arial"/>
      <family val="2"/>
      <charset val="238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43" fontId="10" fillId="0" borderId="0" applyFont="0" applyFill="0" applyBorder="0" applyAlignment="0" applyProtection="0"/>
    <xf numFmtId="0" fontId="3" fillId="0" borderId="0"/>
    <xf numFmtId="0" fontId="9" fillId="0" borderId="0"/>
    <xf numFmtId="164" fontId="10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56">
    <xf numFmtId="0" fontId="0" fillId="0" borderId="0" xfId="0"/>
    <xf numFmtId="0" fontId="4" fillId="0" borderId="1" xfId="2" applyFont="1" applyBorder="1" applyAlignment="1">
      <alignment horizontal="center"/>
    </xf>
    <xf numFmtId="49" fontId="4" fillId="0" borderId="1" xfId="2" applyNumberFormat="1" applyFont="1" applyBorder="1" applyAlignment="1">
      <alignment horizontal="center"/>
    </xf>
    <xf numFmtId="49" fontId="4" fillId="0" borderId="2" xfId="2" applyNumberFormat="1" applyFont="1" applyBorder="1" applyAlignment="1">
      <alignment horizontal="center"/>
    </xf>
    <xf numFmtId="0" fontId="4" fillId="0" borderId="2" xfId="2" applyFont="1" applyBorder="1"/>
    <xf numFmtId="0" fontId="5" fillId="0" borderId="2" xfId="2" applyFont="1" applyBorder="1"/>
    <xf numFmtId="0" fontId="3" fillId="0" borderId="3" xfId="2" applyBorder="1"/>
    <xf numFmtId="0" fontId="3" fillId="0" borderId="4" xfId="2" applyBorder="1"/>
    <xf numFmtId="0" fontId="3" fillId="0" borderId="2" xfId="2" applyBorder="1"/>
    <xf numFmtId="0" fontId="3" fillId="0" borderId="5" xfId="2" applyBorder="1"/>
    <xf numFmtId="0" fontId="4" fillId="0" borderId="5" xfId="2" applyFont="1" applyBorder="1"/>
    <xf numFmtId="0" fontId="4" fillId="0" borderId="2" xfId="0" applyFont="1" applyBorder="1"/>
    <xf numFmtId="0" fontId="3" fillId="0" borderId="6" xfId="2" applyBorder="1"/>
    <xf numFmtId="3" fontId="3" fillId="0" borderId="4" xfId="2" applyNumberFormat="1" applyBorder="1"/>
    <xf numFmtId="0" fontId="0" fillId="0" borderId="7" xfId="0" applyBorder="1"/>
    <xf numFmtId="0" fontId="5" fillId="0" borderId="2" xfId="0" applyFont="1" applyBorder="1"/>
    <xf numFmtId="0" fontId="4" fillId="0" borderId="9" xfId="2" applyFont="1" applyBorder="1"/>
    <xf numFmtId="0" fontId="3" fillId="0" borderId="0" xfId="2"/>
    <xf numFmtId="3" fontId="3" fillId="0" borderId="11" xfId="2" applyNumberFormat="1" applyBorder="1"/>
    <xf numFmtId="2" fontId="4" fillId="0" borderId="0" xfId="2" applyNumberFormat="1" applyFont="1"/>
    <xf numFmtId="3" fontId="3" fillId="0" borderId="0" xfId="2" applyNumberFormat="1"/>
    <xf numFmtId="0" fontId="5" fillId="0" borderId="1" xfId="2" applyFont="1" applyBorder="1"/>
    <xf numFmtId="0" fontId="4" fillId="0" borderId="0" xfId="2" applyFont="1"/>
    <xf numFmtId="3" fontId="4" fillId="0" borderId="2" xfId="2" applyNumberFormat="1" applyFont="1" applyBorder="1" applyAlignment="1">
      <alignment horizontal="center"/>
    </xf>
    <xf numFmtId="3" fontId="9" fillId="0" borderId="2" xfId="2" applyNumberFormat="1" applyFont="1" applyBorder="1"/>
    <xf numFmtId="3" fontId="4" fillId="0" borderId="4" xfId="2" applyNumberFormat="1" applyFont="1" applyBorder="1"/>
    <xf numFmtId="165" fontId="8" fillId="0" borderId="10" xfId="2" applyNumberFormat="1" applyFont="1" applyBorder="1"/>
    <xf numFmtId="0" fontId="3" fillId="0" borderId="1" xfId="2" applyBorder="1" applyAlignment="1">
      <alignment vertical="center"/>
    </xf>
    <xf numFmtId="0" fontId="3" fillId="0" borderId="2" xfId="2" applyBorder="1" applyAlignment="1">
      <alignment vertical="center"/>
    </xf>
    <xf numFmtId="0" fontId="3" fillId="0" borderId="5" xfId="2" applyBorder="1" applyAlignment="1">
      <alignment vertical="center"/>
    </xf>
    <xf numFmtId="0" fontId="9" fillId="0" borderId="2" xfId="2" applyFont="1" applyBorder="1"/>
    <xf numFmtId="3" fontId="9" fillId="0" borderId="2" xfId="3" applyNumberFormat="1" applyBorder="1"/>
    <xf numFmtId="3" fontId="4" fillId="0" borderId="2" xfId="3" applyNumberFormat="1" applyFont="1" applyBorder="1"/>
    <xf numFmtId="3" fontId="9" fillId="0" borderId="7" xfId="3" applyNumberFormat="1" applyBorder="1"/>
    <xf numFmtId="3" fontId="5" fillId="0" borderId="2" xfId="3" applyNumberFormat="1" applyFont="1" applyBorder="1"/>
    <xf numFmtId="3" fontId="4" fillId="0" borderId="7" xfId="3" applyNumberFormat="1" applyFont="1" applyBorder="1"/>
    <xf numFmtId="3" fontId="4" fillId="4" borderId="2" xfId="3" applyNumberFormat="1" applyFont="1" applyFill="1" applyBorder="1"/>
    <xf numFmtId="3" fontId="9" fillId="4" borderId="2" xfId="3" applyNumberFormat="1" applyFill="1" applyBorder="1"/>
    <xf numFmtId="3" fontId="5" fillId="4" borderId="2" xfId="3" applyNumberFormat="1" applyFont="1" applyFill="1" applyBorder="1"/>
    <xf numFmtId="3" fontId="3" fillId="0" borderId="7" xfId="2" applyNumberFormat="1" applyBorder="1"/>
    <xf numFmtId="3" fontId="4" fillId="2" borderId="7" xfId="2" applyNumberFormat="1" applyFont="1" applyFill="1" applyBorder="1"/>
    <xf numFmtId="3" fontId="5" fillId="0" borderId="7" xfId="2" applyNumberFormat="1" applyFont="1" applyBorder="1"/>
    <xf numFmtId="3" fontId="4" fillId="0" borderId="7" xfId="2" applyNumberFormat="1" applyFont="1" applyBorder="1" applyAlignment="1">
      <alignment horizontal="right"/>
    </xf>
    <xf numFmtId="3" fontId="4" fillId="0" borderId="7" xfId="2" applyNumberFormat="1" applyFont="1" applyBorder="1"/>
    <xf numFmtId="3" fontId="7" fillId="0" borderId="2" xfId="2" applyNumberFormat="1" applyFont="1" applyBorder="1"/>
    <xf numFmtId="3" fontId="5" fillId="0" borderId="2" xfId="2" applyNumberFormat="1" applyFont="1" applyBorder="1" applyAlignment="1">
      <alignment vertical="center"/>
    </xf>
    <xf numFmtId="3" fontId="3" fillId="0" borderId="2" xfId="2" applyNumberFormat="1" applyBorder="1"/>
    <xf numFmtId="3" fontId="4" fillId="0" borderId="2" xfId="2" applyNumberFormat="1" applyFont="1" applyBorder="1" applyAlignment="1">
      <alignment horizontal="right"/>
    </xf>
    <xf numFmtId="0" fontId="4" fillId="0" borderId="0" xfId="2" applyFont="1" applyAlignment="1">
      <alignment horizontal="center"/>
    </xf>
    <xf numFmtId="0" fontId="4" fillId="0" borderId="2" xfId="2" applyFont="1" applyBorder="1" applyAlignment="1">
      <alignment horizontal="center"/>
    </xf>
    <xf numFmtId="0" fontId="3" fillId="0" borderId="1" xfId="2" applyBorder="1"/>
    <xf numFmtId="0" fontId="4" fillId="0" borderId="1" xfId="2" applyFont="1" applyBorder="1"/>
    <xf numFmtId="3" fontId="4" fillId="0" borderId="2" xfId="2" applyNumberFormat="1" applyFont="1" applyBorder="1"/>
    <xf numFmtId="0" fontId="3" fillId="0" borderId="0" xfId="2" applyAlignment="1">
      <alignment horizontal="center"/>
    </xf>
    <xf numFmtId="3" fontId="5" fillId="0" borderId="2" xfId="2" applyNumberFormat="1" applyFont="1" applyBorder="1"/>
    <xf numFmtId="3" fontId="4" fillId="2" borderId="2" xfId="2" applyNumberFormat="1" applyFont="1" applyFill="1" applyBorder="1"/>
    <xf numFmtId="0" fontId="4" fillId="0" borderId="7" xfId="2" applyFont="1" applyBorder="1" applyAlignment="1">
      <alignment horizontal="center"/>
    </xf>
    <xf numFmtId="0" fontId="16" fillId="0" borderId="2" xfId="2" applyFont="1" applyBorder="1" applyAlignment="1">
      <alignment horizontal="center"/>
    </xf>
    <xf numFmtId="0" fontId="17" fillId="0" borderId="2" xfId="2" applyFont="1" applyBorder="1" applyAlignment="1">
      <alignment horizontal="center"/>
    </xf>
    <xf numFmtId="0" fontId="17" fillId="0" borderId="4" xfId="2" applyFont="1" applyBorder="1" applyAlignment="1">
      <alignment horizontal="center"/>
    </xf>
    <xf numFmtId="0" fontId="17" fillId="0" borderId="0" xfId="2" applyFont="1" applyAlignment="1">
      <alignment horizontal="center"/>
    </xf>
    <xf numFmtId="0" fontId="17" fillId="0" borderId="2" xfId="2" applyFont="1" applyBorder="1" applyAlignment="1">
      <alignment horizontal="center" vertical="center"/>
    </xf>
    <xf numFmtId="0" fontId="17" fillId="0" borderId="9" xfId="2" applyFont="1" applyBorder="1" applyAlignment="1">
      <alignment horizontal="center"/>
    </xf>
    <xf numFmtId="0" fontId="17" fillId="0" borderId="8" xfId="2" applyFont="1" applyBorder="1" applyAlignment="1">
      <alignment horizontal="center"/>
    </xf>
    <xf numFmtId="0" fontId="17" fillId="0" borderId="7" xfId="2" applyFont="1" applyBorder="1" applyAlignment="1">
      <alignment horizontal="center"/>
    </xf>
    <xf numFmtId="0" fontId="16" fillId="0" borderId="12" xfId="2" applyFont="1" applyBorder="1" applyAlignment="1">
      <alignment horizontal="center"/>
    </xf>
    <xf numFmtId="0" fontId="16" fillId="0" borderId="8" xfId="2" applyFont="1" applyBorder="1" applyAlignment="1">
      <alignment horizontal="center"/>
    </xf>
    <xf numFmtId="0" fontId="13" fillId="0" borderId="7" xfId="2" applyFont="1" applyBorder="1" applyAlignment="1">
      <alignment horizontal="center"/>
    </xf>
    <xf numFmtId="0" fontId="14" fillId="0" borderId="2" xfId="2" applyFont="1" applyBorder="1" applyAlignment="1">
      <alignment horizontal="center"/>
    </xf>
    <xf numFmtId="0" fontId="13" fillId="0" borderId="2" xfId="2" applyFont="1" applyBorder="1" applyAlignment="1">
      <alignment horizontal="center"/>
    </xf>
    <xf numFmtId="0" fontId="13" fillId="0" borderId="4" xfId="2" applyFont="1" applyBorder="1" applyAlignment="1">
      <alignment horizontal="center"/>
    </xf>
    <xf numFmtId="0" fontId="13" fillId="0" borderId="0" xfId="2" applyFont="1" applyAlignment="1">
      <alignment horizontal="center"/>
    </xf>
    <xf numFmtId="0" fontId="13" fillId="0" borderId="2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/>
    </xf>
    <xf numFmtId="0" fontId="13" fillId="0" borderId="8" xfId="2" applyFont="1" applyBorder="1" applyAlignment="1">
      <alignment horizontal="center"/>
    </xf>
    <xf numFmtId="49" fontId="13" fillId="0" borderId="7" xfId="0" applyNumberFormat="1" applyFont="1" applyBorder="1" applyAlignment="1">
      <alignment horizontal="center"/>
    </xf>
    <xf numFmtId="49" fontId="13" fillId="0" borderId="12" xfId="0" applyNumberFormat="1" applyFont="1" applyBorder="1" applyAlignment="1">
      <alignment horizontal="center"/>
    </xf>
    <xf numFmtId="0" fontId="14" fillId="0" borderId="12" xfId="2" applyFont="1" applyBorder="1" applyAlignment="1">
      <alignment horizontal="center"/>
    </xf>
    <xf numFmtId="0" fontId="14" fillId="0" borderId="8" xfId="2" applyFont="1" applyBorder="1" applyAlignment="1">
      <alignment horizontal="center"/>
    </xf>
    <xf numFmtId="49" fontId="17" fillId="0" borderId="2" xfId="0" applyNumberFormat="1" applyFont="1" applyBorder="1" applyAlignment="1">
      <alignment horizontal="center"/>
    </xf>
    <xf numFmtId="49" fontId="17" fillId="0" borderId="9" xfId="0" applyNumberFormat="1" applyFont="1" applyBorder="1" applyAlignment="1">
      <alignment horizontal="center"/>
    </xf>
    <xf numFmtId="3" fontId="5" fillId="0" borderId="7" xfId="10" applyNumberFormat="1" applyFont="1" applyBorder="1"/>
    <xf numFmtId="3" fontId="2" fillId="0" borderId="2" xfId="10" applyNumberFormat="1" applyBorder="1"/>
    <xf numFmtId="3" fontId="5" fillId="4" borderId="2" xfId="10" applyNumberFormat="1" applyFont="1" applyFill="1" applyBorder="1"/>
    <xf numFmtId="3" fontId="5" fillId="0" borderId="2" xfId="10" applyNumberFormat="1" applyFont="1" applyBorder="1"/>
    <xf numFmtId="0" fontId="4" fillId="0" borderId="9" xfId="2" applyFont="1" applyBorder="1" applyAlignment="1">
      <alignment horizontal="center" vertical="center" wrapText="1"/>
    </xf>
    <xf numFmtId="3" fontId="6" fillId="3" borderId="2" xfId="3" applyNumberFormat="1" applyFont="1" applyFill="1" applyBorder="1"/>
    <xf numFmtId="3" fontId="6" fillId="3" borderId="2" xfId="2" applyNumberFormat="1" applyFont="1" applyFill="1" applyBorder="1"/>
    <xf numFmtId="3" fontId="11" fillId="3" borderId="2" xfId="2" applyNumberFormat="1" applyFont="1" applyFill="1" applyBorder="1"/>
    <xf numFmtId="3" fontId="11" fillId="3" borderId="2" xfId="2" applyNumberFormat="1" applyFont="1" applyFill="1" applyBorder="1" applyAlignment="1">
      <alignment horizontal="right"/>
    </xf>
    <xf numFmtId="3" fontId="6" fillId="3" borderId="4" xfId="2" applyNumberFormat="1" applyFont="1" applyFill="1" applyBorder="1"/>
    <xf numFmtId="0" fontId="6" fillId="0" borderId="0" xfId="2" applyFont="1"/>
    <xf numFmtId="3" fontId="6" fillId="0" borderId="0" xfId="2" applyNumberFormat="1" applyFont="1"/>
    <xf numFmtId="0" fontId="6" fillId="3" borderId="4" xfId="2" applyFont="1" applyFill="1" applyBorder="1"/>
    <xf numFmtId="3" fontId="11" fillId="3" borderId="4" xfId="2" applyNumberFormat="1" applyFont="1" applyFill="1" applyBorder="1"/>
    <xf numFmtId="3" fontId="6" fillId="0" borderId="11" xfId="2" applyNumberFormat="1" applyFont="1" applyBorder="1"/>
    <xf numFmtId="0" fontId="6" fillId="3" borderId="2" xfId="2" applyFont="1" applyFill="1" applyBorder="1"/>
    <xf numFmtId="0" fontId="14" fillId="0" borderId="1" xfId="2" applyFont="1" applyBorder="1" applyAlignment="1">
      <alignment horizontal="center"/>
    </xf>
    <xf numFmtId="0" fontId="3" fillId="0" borderId="7" xfId="2" applyBorder="1"/>
    <xf numFmtId="3" fontId="2" fillId="0" borderId="1" xfId="10" applyNumberFormat="1" applyBorder="1"/>
    <xf numFmtId="3" fontId="5" fillId="0" borderId="1" xfId="10" applyNumberFormat="1" applyFont="1" applyBorder="1"/>
    <xf numFmtId="3" fontId="5" fillId="4" borderId="1" xfId="10" applyNumberFormat="1" applyFont="1" applyFill="1" applyBorder="1"/>
    <xf numFmtId="3" fontId="7" fillId="0" borderId="1" xfId="10" applyNumberFormat="1" applyFont="1" applyBorder="1"/>
    <xf numFmtId="0" fontId="2" fillId="0" borderId="5" xfId="10" applyBorder="1"/>
    <xf numFmtId="0" fontId="4" fillId="0" borderId="5" xfId="2" applyFont="1" applyBorder="1" applyAlignment="1">
      <alignment horizontal="center"/>
    </xf>
    <xf numFmtId="0" fontId="4" fillId="0" borderId="15" xfId="2" applyFont="1" applyBorder="1" applyAlignment="1">
      <alignment horizontal="center" vertical="center" wrapText="1"/>
    </xf>
    <xf numFmtId="3" fontId="4" fillId="0" borderId="1" xfId="3" applyNumberFormat="1" applyFont="1" applyBorder="1"/>
    <xf numFmtId="3" fontId="9" fillId="0" borderId="1" xfId="3" applyNumberFormat="1" applyBorder="1"/>
    <xf numFmtId="3" fontId="3" fillId="0" borderId="1" xfId="2" applyNumberFormat="1" applyBorder="1"/>
    <xf numFmtId="3" fontId="4" fillId="2" borderId="1" xfId="2" applyNumberFormat="1" applyFont="1" applyFill="1" applyBorder="1"/>
    <xf numFmtId="3" fontId="4" fillId="0" borderId="1" xfId="2" applyNumberFormat="1" applyFont="1" applyBorder="1"/>
    <xf numFmtId="3" fontId="4" fillId="0" borderId="1" xfId="2" applyNumberFormat="1" applyFont="1" applyBorder="1" applyAlignment="1">
      <alignment horizontal="right"/>
    </xf>
    <xf numFmtId="3" fontId="3" fillId="0" borderId="3" xfId="2" applyNumberFormat="1" applyBorder="1"/>
    <xf numFmtId="3" fontId="4" fillId="4" borderId="1" xfId="3" applyNumberFormat="1" applyFont="1" applyFill="1" applyBorder="1"/>
    <xf numFmtId="3" fontId="9" fillId="4" borderId="1" xfId="3" applyNumberFormat="1" applyFill="1" applyBorder="1"/>
    <xf numFmtId="3" fontId="4" fillId="0" borderId="1" xfId="2" applyNumberFormat="1" applyFont="1" applyBorder="1" applyAlignment="1">
      <alignment horizontal="center"/>
    </xf>
    <xf numFmtId="3" fontId="5" fillId="0" borderId="1" xfId="2" applyNumberFormat="1" applyFont="1" applyBorder="1"/>
    <xf numFmtId="3" fontId="9" fillId="0" borderId="1" xfId="2" applyNumberFormat="1" applyFont="1" applyBorder="1"/>
    <xf numFmtId="3" fontId="5" fillId="4" borderId="1" xfId="3" applyNumberFormat="1" applyFont="1" applyFill="1" applyBorder="1"/>
    <xf numFmtId="3" fontId="5" fillId="0" borderId="1" xfId="3" applyNumberFormat="1" applyFont="1" applyBorder="1"/>
    <xf numFmtId="0" fontId="2" fillId="0" borderId="2" xfId="10" applyBorder="1"/>
    <xf numFmtId="3" fontId="7" fillId="0" borderId="1" xfId="2" applyNumberFormat="1" applyFont="1" applyBorder="1"/>
    <xf numFmtId="3" fontId="5" fillId="0" borderId="1" xfId="2" applyNumberFormat="1" applyFont="1" applyBorder="1" applyAlignment="1">
      <alignment vertical="center"/>
    </xf>
    <xf numFmtId="3" fontId="4" fillId="0" borderId="3" xfId="2" applyNumberFormat="1" applyFont="1" applyBorder="1"/>
    <xf numFmtId="3" fontId="4" fillId="0" borderId="20" xfId="2" applyNumberFormat="1" applyFont="1" applyBorder="1"/>
    <xf numFmtId="0" fontId="2" fillId="0" borderId="0" xfId="2" applyFont="1" applyAlignment="1">
      <alignment horizontal="center"/>
    </xf>
    <xf numFmtId="0" fontId="2" fillId="0" borderId="0" xfId="2" applyFont="1"/>
    <xf numFmtId="0" fontId="4" fillId="0" borderId="1" xfId="2" applyFont="1" applyBorder="1" applyAlignment="1">
      <alignment horizontal="right"/>
    </xf>
    <xf numFmtId="0" fontId="4" fillId="0" borderId="2" xfId="2" applyFont="1" applyBorder="1" applyAlignment="1">
      <alignment horizontal="right"/>
    </xf>
    <xf numFmtId="0" fontId="11" fillId="3" borderId="2" xfId="2" applyFont="1" applyFill="1" applyBorder="1" applyAlignment="1">
      <alignment horizontal="right"/>
    </xf>
    <xf numFmtId="3" fontId="15" fillId="3" borderId="2" xfId="2" applyNumberFormat="1" applyFont="1" applyFill="1" applyBorder="1"/>
    <xf numFmtId="0" fontId="3" fillId="0" borderId="9" xfId="2" applyBorder="1"/>
    <xf numFmtId="0" fontId="3" fillId="0" borderId="8" xfId="2" applyBorder="1"/>
    <xf numFmtId="0" fontId="3" fillId="0" borderId="17" xfId="2" applyBorder="1"/>
    <xf numFmtId="0" fontId="3" fillId="0" borderId="12" xfId="2" applyBorder="1"/>
    <xf numFmtId="0" fontId="4" fillId="0" borderId="8" xfId="2" applyFont="1" applyBorder="1"/>
    <xf numFmtId="49" fontId="16" fillId="0" borderId="2" xfId="2" applyNumberFormat="1" applyFont="1" applyBorder="1" applyAlignment="1">
      <alignment horizontal="center"/>
    </xf>
    <xf numFmtId="49" fontId="16" fillId="0" borderId="2" xfId="2" applyNumberFormat="1" applyFont="1" applyBorder="1"/>
    <xf numFmtId="49" fontId="17" fillId="0" borderId="5" xfId="2" applyNumberFormat="1" applyFont="1" applyBorder="1" applyAlignment="1">
      <alignment vertical="center"/>
    </xf>
    <xf numFmtId="49" fontId="17" fillId="0" borderId="9" xfId="2" applyNumberFormat="1" applyFont="1" applyBorder="1"/>
    <xf numFmtId="49" fontId="17" fillId="0" borderId="2" xfId="2" applyNumberFormat="1" applyFont="1" applyBorder="1"/>
    <xf numFmtId="49" fontId="17" fillId="0" borderId="2" xfId="2" applyNumberFormat="1" applyFont="1" applyBorder="1" applyAlignment="1">
      <alignment vertical="center" wrapText="1"/>
    </xf>
    <xf numFmtId="0" fontId="4" fillId="0" borderId="5" xfId="2" applyFont="1" applyBorder="1" applyAlignment="1">
      <alignment horizontal="left"/>
    </xf>
    <xf numFmtId="0" fontId="5" fillId="0" borderId="5" xfId="2" applyFont="1" applyBorder="1" applyAlignment="1">
      <alignment horizontal="left"/>
    </xf>
    <xf numFmtId="0" fontId="2" fillId="0" borderId="5" xfId="2" applyFont="1" applyBorder="1"/>
    <xf numFmtId="0" fontId="5" fillId="0" borderId="5" xfId="2" applyFont="1" applyBorder="1"/>
    <xf numFmtId="0" fontId="2" fillId="2" borderId="5" xfId="2" applyFont="1" applyFill="1" applyBorder="1" applyAlignment="1">
      <alignment wrapText="1"/>
    </xf>
    <xf numFmtId="0" fontId="0" fillId="0" borderId="16" xfId="0" applyBorder="1" applyAlignment="1">
      <alignment wrapText="1"/>
    </xf>
    <xf numFmtId="0" fontId="2" fillId="0" borderId="1" xfId="10" applyBorder="1"/>
    <xf numFmtId="0" fontId="17" fillId="0" borderId="2" xfId="10" applyFont="1" applyBorder="1" applyAlignment="1">
      <alignment horizontal="center"/>
    </xf>
    <xf numFmtId="0" fontId="13" fillId="0" borderId="2" xfId="10" applyFont="1" applyBorder="1" applyAlignment="1">
      <alignment horizontal="center"/>
    </xf>
    <xf numFmtId="3" fontId="6" fillId="3" borderId="13" xfId="10" applyNumberFormat="1" applyFont="1" applyFill="1" applyBorder="1"/>
    <xf numFmtId="0" fontId="0" fillId="0" borderId="5" xfId="0" applyBorder="1"/>
    <xf numFmtId="0" fontId="0" fillId="0" borderId="16" xfId="0" applyBorder="1"/>
    <xf numFmtId="0" fontId="3" fillId="0" borderId="16" xfId="0" applyFont="1" applyBorder="1" applyAlignment="1">
      <alignment wrapText="1"/>
    </xf>
    <xf numFmtId="0" fontId="2" fillId="0" borderId="5" xfId="2" applyFont="1" applyBorder="1" applyAlignment="1">
      <alignment wrapText="1"/>
    </xf>
    <xf numFmtId="0" fontId="3" fillId="0" borderId="16" xfId="2" applyBorder="1"/>
    <xf numFmtId="0" fontId="2" fillId="0" borderId="5" xfId="0" applyFont="1" applyBorder="1"/>
    <xf numFmtId="0" fontId="2" fillId="0" borderId="5" xfId="0" applyFont="1" applyBorder="1" applyAlignment="1">
      <alignment vertical="center" wrapText="1"/>
    </xf>
    <xf numFmtId="0" fontId="11" fillId="3" borderId="18" xfId="2" applyFont="1" applyFill="1" applyBorder="1" applyAlignment="1">
      <alignment horizontal="center" vertical="center" wrapText="1"/>
    </xf>
    <xf numFmtId="0" fontId="14" fillId="3" borderId="13" xfId="2" applyFont="1" applyFill="1" applyBorder="1" applyAlignment="1">
      <alignment horizontal="center"/>
    </xf>
    <xf numFmtId="0" fontId="11" fillId="3" borderId="13" xfId="2" applyFont="1" applyFill="1" applyBorder="1" applyAlignment="1">
      <alignment horizontal="center"/>
    </xf>
    <xf numFmtId="3" fontId="11" fillId="3" borderId="13" xfId="3" applyNumberFormat="1" applyFont="1" applyFill="1" applyBorder="1"/>
    <xf numFmtId="3" fontId="6" fillId="3" borderId="13" xfId="3" applyNumberFormat="1" applyFont="1" applyFill="1" applyBorder="1"/>
    <xf numFmtId="3" fontId="6" fillId="3" borderId="13" xfId="2" applyNumberFormat="1" applyFont="1" applyFill="1" applyBorder="1"/>
    <xf numFmtId="3" fontId="11" fillId="3" borderId="13" xfId="2" applyNumberFormat="1" applyFont="1" applyFill="1" applyBorder="1"/>
    <xf numFmtId="3" fontId="11" fillId="3" borderId="13" xfId="2" applyNumberFormat="1" applyFont="1" applyFill="1" applyBorder="1" applyAlignment="1">
      <alignment horizontal="right"/>
    </xf>
    <xf numFmtId="3" fontId="6" fillId="3" borderId="19" xfId="2" applyNumberFormat="1" applyFont="1" applyFill="1" applyBorder="1"/>
    <xf numFmtId="3" fontId="11" fillId="3" borderId="13" xfId="2" applyNumberFormat="1" applyFont="1" applyFill="1" applyBorder="1" applyAlignment="1">
      <alignment horizontal="center"/>
    </xf>
    <xf numFmtId="0" fontId="6" fillId="3" borderId="19" xfId="2" applyFont="1" applyFill="1" applyBorder="1"/>
    <xf numFmtId="3" fontId="11" fillId="3" borderId="13" xfId="10" applyNumberFormat="1" applyFont="1" applyFill="1" applyBorder="1"/>
    <xf numFmtId="0" fontId="11" fillId="3" borderId="14" xfId="2" applyFont="1" applyFill="1" applyBorder="1" applyAlignment="1">
      <alignment horizontal="center"/>
    </xf>
    <xf numFmtId="3" fontId="11" fillId="3" borderId="14" xfId="2" applyNumberFormat="1" applyFont="1" applyFill="1" applyBorder="1" applyAlignment="1">
      <alignment horizontal="right"/>
    </xf>
    <xf numFmtId="3" fontId="6" fillId="3" borderId="14" xfId="2" applyNumberFormat="1" applyFont="1" applyFill="1" applyBorder="1"/>
    <xf numFmtId="3" fontId="11" fillId="3" borderId="14" xfId="2" applyNumberFormat="1" applyFont="1" applyFill="1" applyBorder="1"/>
    <xf numFmtId="3" fontId="11" fillId="3" borderId="14" xfId="3" applyNumberFormat="1" applyFont="1" applyFill="1" applyBorder="1"/>
    <xf numFmtId="3" fontId="5" fillId="0" borderId="1" xfId="10" applyNumberFormat="1" applyFont="1" applyBorder="1" applyAlignment="1">
      <alignment vertical="center"/>
    </xf>
    <xf numFmtId="3" fontId="4" fillId="0" borderId="1" xfId="10" applyNumberFormat="1" applyFont="1" applyBorder="1"/>
    <xf numFmtId="3" fontId="4" fillId="2" borderId="1" xfId="10" applyNumberFormat="1" applyFont="1" applyFill="1" applyBorder="1"/>
    <xf numFmtId="3" fontId="15" fillId="3" borderId="13" xfId="2" applyNumberFormat="1" applyFont="1" applyFill="1" applyBorder="1"/>
    <xf numFmtId="0" fontId="7" fillId="0" borderId="0" xfId="2" applyFont="1"/>
    <xf numFmtId="0" fontId="18" fillId="0" borderId="0" xfId="0" applyFont="1" applyAlignment="1">
      <alignment horizontal="center"/>
    </xf>
    <xf numFmtId="0" fontId="4" fillId="0" borderId="2" xfId="2" applyFont="1" applyBorder="1" applyAlignment="1">
      <alignment horizontal="left"/>
    </xf>
    <xf numFmtId="3" fontId="19" fillId="0" borderId="3" xfId="2" applyNumberFormat="1" applyFont="1" applyBorder="1" applyAlignment="1">
      <alignment horizontal="center"/>
    </xf>
    <xf numFmtId="0" fontId="19" fillId="0" borderId="3" xfId="2" applyFont="1" applyBorder="1"/>
    <xf numFmtId="0" fontId="4" fillId="0" borderId="29" xfId="2" applyFont="1" applyBorder="1" applyAlignment="1">
      <alignment horizontal="center"/>
    </xf>
    <xf numFmtId="0" fontId="4" fillId="0" borderId="27" xfId="2" applyFont="1" applyBorder="1" applyAlignment="1">
      <alignment horizontal="center"/>
    </xf>
    <xf numFmtId="0" fontId="20" fillId="0" borderId="0" xfId="0" applyFont="1"/>
    <xf numFmtId="0" fontId="15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5" fillId="0" borderId="2" xfId="0" applyFont="1" applyBorder="1" applyAlignment="1">
      <alignment vertical="center"/>
    </xf>
    <xf numFmtId="0" fontId="21" fillId="0" borderId="2" xfId="0" applyFont="1" applyBorder="1" applyAlignment="1">
      <alignment horizontal="left"/>
    </xf>
    <xf numFmtId="0" fontId="21" fillId="5" borderId="2" xfId="0" applyFont="1" applyFill="1" applyBorder="1" applyAlignment="1">
      <alignment horizontal="left"/>
    </xf>
    <xf numFmtId="0" fontId="18" fillId="0" borderId="0" xfId="0" applyFont="1" applyAlignment="1">
      <alignment horizontal="left" vertical="center"/>
    </xf>
    <xf numFmtId="167" fontId="7" fillId="0" borderId="28" xfId="2" applyNumberFormat="1" applyFont="1" applyBorder="1"/>
    <xf numFmtId="0" fontId="2" fillId="0" borderId="2" xfId="2" applyFont="1" applyBorder="1"/>
    <xf numFmtId="0" fontId="2" fillId="0" borderId="16" xfId="0" applyFont="1" applyBorder="1"/>
    <xf numFmtId="49" fontId="22" fillId="0" borderId="2" xfId="2" applyNumberFormat="1" applyFont="1" applyBorder="1"/>
    <xf numFmtId="0" fontId="11" fillId="0" borderId="17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/>
    </xf>
    <xf numFmtId="3" fontId="11" fillId="0" borderId="5" xfId="3" applyNumberFormat="1" applyFont="1" applyBorder="1"/>
    <xf numFmtId="3" fontId="6" fillId="0" borderId="5" xfId="3" applyNumberFormat="1" applyFont="1" applyBorder="1"/>
    <xf numFmtId="3" fontId="6" fillId="0" borderId="5" xfId="2" applyNumberFormat="1" applyFont="1" applyBorder="1"/>
    <xf numFmtId="3" fontId="11" fillId="0" borderId="5" xfId="2" applyNumberFormat="1" applyFont="1" applyBorder="1"/>
    <xf numFmtId="3" fontId="11" fillId="0" borderId="5" xfId="2" applyNumberFormat="1" applyFont="1" applyBorder="1" applyAlignment="1">
      <alignment horizontal="right"/>
    </xf>
    <xf numFmtId="3" fontId="6" fillId="0" borderId="6" xfId="2" applyNumberFormat="1" applyFont="1" applyBorder="1"/>
    <xf numFmtId="0" fontId="4" fillId="0" borderId="13" xfId="2" applyFont="1" applyBorder="1" applyAlignment="1">
      <alignment horizontal="center"/>
    </xf>
    <xf numFmtId="0" fontId="11" fillId="0" borderId="16" xfId="2" applyFont="1" applyBorder="1" applyAlignment="1">
      <alignment horizontal="center"/>
    </xf>
    <xf numFmtId="3" fontId="11" fillId="0" borderId="16" xfId="2" applyNumberFormat="1" applyFont="1" applyBorder="1" applyAlignment="1">
      <alignment horizontal="right"/>
    </xf>
    <xf numFmtId="3" fontId="6" fillId="0" borderId="16" xfId="2" applyNumberFormat="1" applyFont="1" applyBorder="1"/>
    <xf numFmtId="3" fontId="11" fillId="0" borderId="16" xfId="2" applyNumberFormat="1" applyFont="1" applyBorder="1"/>
    <xf numFmtId="3" fontId="11" fillId="0" borderId="16" xfId="3" applyNumberFormat="1" applyFont="1" applyBorder="1"/>
    <xf numFmtId="3" fontId="15" fillId="0" borderId="5" xfId="2" applyNumberFormat="1" applyFont="1" applyBorder="1"/>
    <xf numFmtId="0" fontId="6" fillId="0" borderId="6" xfId="2" applyFont="1" applyBorder="1"/>
    <xf numFmtId="0" fontId="11" fillId="0" borderId="26" xfId="2" applyFont="1" applyBorder="1" applyAlignment="1">
      <alignment horizontal="center"/>
    </xf>
    <xf numFmtId="3" fontId="11" fillId="0" borderId="5" xfId="2" applyNumberFormat="1" applyFont="1" applyBorder="1" applyAlignment="1">
      <alignment horizontal="center"/>
    </xf>
    <xf numFmtId="3" fontId="6" fillId="0" borderId="5" xfId="10" applyNumberFormat="1" applyFont="1" applyBorder="1"/>
    <xf numFmtId="3" fontId="11" fillId="0" borderId="5" xfId="10" applyNumberFormat="1" applyFont="1" applyBorder="1"/>
    <xf numFmtId="0" fontId="6" fillId="0" borderId="5" xfId="2" applyFont="1" applyBorder="1"/>
    <xf numFmtId="0" fontId="11" fillId="0" borderId="5" xfId="2" applyFont="1" applyBorder="1" applyAlignment="1">
      <alignment horizontal="right"/>
    </xf>
    <xf numFmtId="3" fontId="11" fillId="0" borderId="6" xfId="2" applyNumberFormat="1" applyFont="1" applyBorder="1"/>
    <xf numFmtId="4" fontId="4" fillId="0" borderId="13" xfId="2" applyNumberFormat="1" applyFont="1" applyBorder="1"/>
    <xf numFmtId="4" fontId="3" fillId="0" borderId="13" xfId="2" applyNumberFormat="1" applyBorder="1"/>
    <xf numFmtId="4" fontId="9" fillId="0" borderId="13" xfId="2" applyNumberFormat="1" applyFont="1" applyBorder="1"/>
    <xf numFmtId="4" fontId="4" fillId="0" borderId="19" xfId="2" applyNumberFormat="1" applyFont="1" applyBorder="1"/>
    <xf numFmtId="4" fontId="3" fillId="0" borderId="19" xfId="2" applyNumberFormat="1" applyBorder="1"/>
    <xf numFmtId="4" fontId="7" fillId="0" borderId="13" xfId="2" applyNumberFormat="1" applyFont="1" applyBorder="1"/>
    <xf numFmtId="4" fontId="3" fillId="0" borderId="2" xfId="2" applyNumberFormat="1" applyBorder="1"/>
    <xf numFmtId="4" fontId="3" fillId="0" borderId="21" xfId="2" applyNumberFormat="1" applyBorder="1"/>
    <xf numFmtId="4" fontId="2" fillId="0" borderId="13" xfId="2" applyNumberFormat="1" applyFont="1" applyBorder="1"/>
    <xf numFmtId="0" fontId="14" fillId="0" borderId="13" xfId="2" applyFont="1" applyBorder="1" applyAlignment="1">
      <alignment horizontal="center"/>
    </xf>
    <xf numFmtId="4" fontId="3" fillId="0" borderId="11" xfId="2" applyNumberFormat="1" applyBorder="1"/>
    <xf numFmtId="0" fontId="2" fillId="0" borderId="0" xfId="10"/>
    <xf numFmtId="0" fontId="2" fillId="0" borderId="0" xfId="10" applyAlignment="1">
      <alignment horizontal="center"/>
    </xf>
    <xf numFmtId="4" fontId="2" fillId="0" borderId="0" xfId="10" applyNumberFormat="1"/>
    <xf numFmtId="0" fontId="4" fillId="0" borderId="0" xfId="10" applyFont="1"/>
    <xf numFmtId="0" fontId="23" fillId="0" borderId="0" xfId="10" applyFont="1" applyAlignment="1">
      <alignment horizontal="left"/>
    </xf>
    <xf numFmtId="0" fontId="4" fillId="0" borderId="29" xfId="10" applyFont="1" applyBorder="1" applyAlignment="1">
      <alignment horizontal="center" vertical="center" textRotation="90" wrapText="1"/>
    </xf>
    <xf numFmtId="0" fontId="4" fillId="0" borderId="15" xfId="10" applyFont="1" applyBorder="1" applyAlignment="1">
      <alignment horizontal="center" vertical="center" textRotation="90" wrapText="1"/>
    </xf>
    <xf numFmtId="0" fontId="4" fillId="3" borderId="15" xfId="10" applyFont="1" applyFill="1" applyBorder="1" applyAlignment="1">
      <alignment horizontal="center" vertical="center" wrapText="1"/>
    </xf>
    <xf numFmtId="0" fontId="4" fillId="3" borderId="9" xfId="10" applyFont="1" applyFill="1" applyBorder="1" applyAlignment="1">
      <alignment horizontal="center" vertical="center" wrapText="1"/>
    </xf>
    <xf numFmtId="0" fontId="11" fillId="3" borderId="18" xfId="10" applyFont="1" applyFill="1" applyBorder="1" applyAlignment="1">
      <alignment horizontal="center" vertical="center" wrapText="1"/>
    </xf>
    <xf numFmtId="0" fontId="4" fillId="0" borderId="0" xfId="10" applyFont="1" applyAlignment="1">
      <alignment horizontal="center"/>
    </xf>
    <xf numFmtId="0" fontId="4" fillId="0" borderId="1" xfId="10" applyFont="1" applyBorder="1" applyAlignment="1">
      <alignment horizontal="center"/>
    </xf>
    <xf numFmtId="0" fontId="14" fillId="0" borderId="1" xfId="10" applyFont="1" applyBorder="1" applyAlignment="1">
      <alignment horizontal="center"/>
    </xf>
    <xf numFmtId="0" fontId="14" fillId="0" borderId="7" xfId="10" applyFont="1" applyBorder="1" applyAlignment="1">
      <alignment horizontal="center"/>
    </xf>
    <xf numFmtId="0" fontId="14" fillId="0" borderId="2" xfId="10" applyFont="1" applyBorder="1" applyAlignment="1">
      <alignment horizontal="center"/>
    </xf>
    <xf numFmtId="0" fontId="14" fillId="0" borderId="5" xfId="10" applyFont="1" applyBorder="1" applyAlignment="1">
      <alignment horizontal="center"/>
    </xf>
    <xf numFmtId="0" fontId="14" fillId="0" borderId="13" xfId="10" applyFont="1" applyBorder="1" applyAlignment="1">
      <alignment horizontal="center"/>
    </xf>
    <xf numFmtId="0" fontId="14" fillId="0" borderId="14" xfId="10" applyFont="1" applyBorder="1" applyAlignment="1">
      <alignment horizontal="center"/>
    </xf>
    <xf numFmtId="0" fontId="4" fillId="3" borderId="1" xfId="10" applyFont="1" applyFill="1" applyBorder="1" applyAlignment="1">
      <alignment horizontal="center"/>
    </xf>
    <xf numFmtId="0" fontId="4" fillId="3" borderId="7" xfId="10" applyFont="1" applyFill="1" applyBorder="1" applyAlignment="1">
      <alignment horizontal="center"/>
    </xf>
    <xf numFmtId="0" fontId="4" fillId="3" borderId="2" xfId="10" applyFont="1" applyFill="1" applyBorder="1" applyAlignment="1">
      <alignment horizontal="left"/>
    </xf>
    <xf numFmtId="3" fontId="4" fillId="3" borderId="2" xfId="10" applyNumberFormat="1" applyFont="1" applyFill="1" applyBorder="1" applyAlignment="1">
      <alignment horizontal="right"/>
    </xf>
    <xf numFmtId="3" fontId="4" fillId="3" borderId="5" xfId="10" applyNumberFormat="1" applyFont="1" applyFill="1" applyBorder="1" applyAlignment="1">
      <alignment horizontal="right"/>
    </xf>
    <xf numFmtId="3" fontId="4" fillId="3" borderId="13" xfId="10" applyNumberFormat="1" applyFont="1" applyFill="1" applyBorder="1" applyAlignment="1">
      <alignment horizontal="right"/>
    </xf>
    <xf numFmtId="3" fontId="4" fillId="3" borderId="1" xfId="10" applyNumberFormat="1" applyFont="1" applyFill="1" applyBorder="1" applyAlignment="1">
      <alignment horizontal="right"/>
    </xf>
    <xf numFmtId="3" fontId="11" fillId="3" borderId="13" xfId="10" applyNumberFormat="1" applyFont="1" applyFill="1" applyBorder="1" applyAlignment="1">
      <alignment horizontal="right"/>
    </xf>
    <xf numFmtId="4" fontId="4" fillId="3" borderId="14" xfId="10" applyNumberFormat="1" applyFont="1" applyFill="1" applyBorder="1" applyAlignment="1">
      <alignment horizontal="right"/>
    </xf>
    <xf numFmtId="4" fontId="4" fillId="0" borderId="0" xfId="10" applyNumberFormat="1" applyFont="1" applyAlignment="1">
      <alignment horizontal="center"/>
    </xf>
    <xf numFmtId="0" fontId="4" fillId="0" borderId="2" xfId="10" applyFont="1" applyBorder="1" applyAlignment="1">
      <alignment horizontal="left"/>
    </xf>
    <xf numFmtId="3" fontId="4" fillId="0" borderId="2" xfId="10" applyNumberFormat="1" applyFont="1" applyBorder="1" applyAlignment="1">
      <alignment horizontal="right"/>
    </xf>
    <xf numFmtId="3" fontId="4" fillId="0" borderId="5" xfId="10" applyNumberFormat="1" applyFont="1" applyBorder="1" applyAlignment="1">
      <alignment horizontal="right"/>
    </xf>
    <xf numFmtId="3" fontId="4" fillId="0" borderId="13" xfId="10" applyNumberFormat="1" applyFont="1" applyBorder="1" applyAlignment="1">
      <alignment horizontal="right"/>
    </xf>
    <xf numFmtId="3" fontId="4" fillId="0" borderId="1" xfId="10" applyNumberFormat="1" applyFont="1" applyBorder="1" applyAlignment="1">
      <alignment horizontal="right"/>
    </xf>
    <xf numFmtId="4" fontId="5" fillId="0" borderId="14" xfId="10" applyNumberFormat="1" applyFont="1" applyBorder="1" applyAlignment="1">
      <alignment horizontal="right"/>
    </xf>
    <xf numFmtId="3" fontId="4" fillId="0" borderId="0" xfId="10" applyNumberFormat="1" applyFont="1" applyAlignment="1">
      <alignment horizontal="center"/>
    </xf>
    <xf numFmtId="0" fontId="4" fillId="3" borderId="1" xfId="10" applyFont="1" applyFill="1" applyBorder="1" applyAlignment="1">
      <alignment horizontal="center" vertical="top"/>
    </xf>
    <xf numFmtId="0" fontId="14" fillId="3" borderId="7" xfId="10" applyFont="1" applyFill="1" applyBorder="1" applyAlignment="1">
      <alignment horizontal="center" vertical="top"/>
    </xf>
    <xf numFmtId="0" fontId="5" fillId="0" borderId="1" xfId="10" applyFont="1" applyBorder="1" applyAlignment="1">
      <alignment horizontal="center" vertical="top"/>
    </xf>
    <xf numFmtId="0" fontId="13" fillId="0" borderId="7" xfId="10" applyFont="1" applyBorder="1" applyAlignment="1" applyProtection="1">
      <alignment horizontal="center" vertical="center"/>
      <protection locked="0"/>
    </xf>
    <xf numFmtId="0" fontId="5" fillId="0" borderId="2" xfId="10" applyFont="1" applyBorder="1" applyAlignment="1">
      <alignment horizontal="left"/>
    </xf>
    <xf numFmtId="3" fontId="5" fillId="0" borderId="2" xfId="10" applyNumberFormat="1" applyFont="1" applyBorder="1" applyAlignment="1">
      <alignment horizontal="right"/>
    </xf>
    <xf numFmtId="3" fontId="5" fillId="0" borderId="5" xfId="10" applyNumberFormat="1" applyFont="1" applyBorder="1" applyAlignment="1">
      <alignment horizontal="right"/>
    </xf>
    <xf numFmtId="3" fontId="5" fillId="0" borderId="13" xfId="10" applyNumberFormat="1" applyFont="1" applyBorder="1" applyAlignment="1">
      <alignment horizontal="right"/>
    </xf>
    <xf numFmtId="3" fontId="5" fillId="0" borderId="1" xfId="10" applyNumberFormat="1" applyFont="1" applyBorder="1" applyAlignment="1">
      <alignment horizontal="right"/>
    </xf>
    <xf numFmtId="3" fontId="6" fillId="3" borderId="13" xfId="10" applyNumberFormat="1" applyFont="1" applyFill="1" applyBorder="1" applyAlignment="1">
      <alignment horizontal="right"/>
    </xf>
    <xf numFmtId="49" fontId="4" fillId="0" borderId="1" xfId="10" applyNumberFormat="1" applyFont="1" applyBorder="1" applyAlignment="1">
      <alignment horizontal="center"/>
    </xf>
    <xf numFmtId="0" fontId="14" fillId="3" borderId="7" xfId="10" applyFont="1" applyFill="1" applyBorder="1" applyAlignment="1" applyProtection="1">
      <alignment horizontal="center" vertical="center"/>
      <protection locked="0"/>
    </xf>
    <xf numFmtId="0" fontId="4" fillId="3" borderId="2" xfId="10" applyFont="1" applyFill="1" applyBorder="1"/>
    <xf numFmtId="3" fontId="4" fillId="3" borderId="2" xfId="10" applyNumberFormat="1" applyFont="1" applyFill="1" applyBorder="1"/>
    <xf numFmtId="3" fontId="4" fillId="3" borderId="5" xfId="10" applyNumberFormat="1" applyFont="1" applyFill="1" applyBorder="1"/>
    <xf numFmtId="3" fontId="4" fillId="3" borderId="13" xfId="10" applyNumberFormat="1" applyFont="1" applyFill="1" applyBorder="1"/>
    <xf numFmtId="3" fontId="4" fillId="3" borderId="1" xfId="10" applyNumberFormat="1" applyFont="1" applyFill="1" applyBorder="1"/>
    <xf numFmtId="4" fontId="7" fillId="3" borderId="14" xfId="10" applyNumberFormat="1" applyFont="1" applyFill="1" applyBorder="1" applyAlignment="1">
      <alignment horizontal="right"/>
    </xf>
    <xf numFmtId="3" fontId="4" fillId="0" borderId="0" xfId="10" applyNumberFormat="1" applyFont="1"/>
    <xf numFmtId="0" fontId="2" fillId="0" borderId="1" xfId="10" applyBorder="1" applyAlignment="1">
      <alignment horizontal="center" vertical="top"/>
    </xf>
    <xf numFmtId="3" fontId="5" fillId="0" borderId="5" xfId="10" applyNumberFormat="1" applyFont="1" applyBorder="1"/>
    <xf numFmtId="3" fontId="5" fillId="0" borderId="13" xfId="10" applyNumberFormat="1" applyFont="1" applyBorder="1"/>
    <xf numFmtId="3" fontId="2" fillId="0" borderId="0" xfId="10" applyNumberFormat="1"/>
    <xf numFmtId="0" fontId="24" fillId="0" borderId="1" xfId="10" applyFont="1" applyBorder="1" applyAlignment="1">
      <alignment horizontal="right" vertical="top"/>
    </xf>
    <xf numFmtId="0" fontId="25" fillId="0" borderId="7" xfId="10" applyFont="1" applyBorder="1" applyAlignment="1" applyProtection="1">
      <alignment horizontal="center" vertical="center"/>
      <protection locked="0"/>
    </xf>
    <xf numFmtId="0" fontId="24" fillId="0" borderId="2" xfId="10" applyFont="1" applyBorder="1"/>
    <xf numFmtId="3" fontId="24" fillId="0" borderId="2" xfId="10" applyNumberFormat="1" applyFont="1" applyBorder="1"/>
    <xf numFmtId="3" fontId="24" fillId="0" borderId="5" xfId="10" applyNumberFormat="1" applyFont="1" applyBorder="1"/>
    <xf numFmtId="3" fontId="24" fillId="0" borderId="13" xfId="10" applyNumberFormat="1" applyFont="1" applyBorder="1"/>
    <xf numFmtId="3" fontId="24" fillId="0" borderId="1" xfId="10" applyNumberFormat="1" applyFont="1" applyBorder="1"/>
    <xf numFmtId="3" fontId="26" fillId="3" borderId="13" xfId="10" applyNumberFormat="1" applyFont="1" applyFill="1" applyBorder="1"/>
    <xf numFmtId="4" fontId="24" fillId="0" borderId="14" xfId="10" applyNumberFormat="1" applyFont="1" applyBorder="1" applyAlignment="1">
      <alignment horizontal="right"/>
    </xf>
    <xf numFmtId="3" fontId="2" fillId="0" borderId="5" xfId="10" applyNumberFormat="1" applyBorder="1"/>
    <xf numFmtId="3" fontId="2" fillId="0" borderId="13" xfId="10" applyNumberFormat="1" applyBorder="1"/>
    <xf numFmtId="0" fontId="4" fillId="3" borderId="2" xfId="10" applyFont="1" applyFill="1" applyBorder="1" applyAlignment="1">
      <alignment vertical="center"/>
    </xf>
    <xf numFmtId="3" fontId="4" fillId="3" borderId="2" xfId="10" applyNumberFormat="1" applyFont="1" applyFill="1" applyBorder="1" applyAlignment="1">
      <alignment vertical="center"/>
    </xf>
    <xf numFmtId="3" fontId="4" fillId="3" borderId="5" xfId="10" applyNumberFormat="1" applyFont="1" applyFill="1" applyBorder="1" applyAlignment="1">
      <alignment vertical="center"/>
    </xf>
    <xf numFmtId="3" fontId="4" fillId="3" borderId="13" xfId="10" applyNumberFormat="1" applyFont="1" applyFill="1" applyBorder="1" applyAlignment="1">
      <alignment vertical="center"/>
    </xf>
    <xf numFmtId="3" fontId="4" fillId="3" borderId="1" xfId="10" applyNumberFormat="1" applyFont="1" applyFill="1" applyBorder="1" applyAlignment="1">
      <alignment vertical="center"/>
    </xf>
    <xf numFmtId="3" fontId="11" fillId="3" borderId="13" xfId="10" applyNumberFormat="1" applyFont="1" applyFill="1" applyBorder="1" applyAlignment="1">
      <alignment vertical="center"/>
    </xf>
    <xf numFmtId="4" fontId="7" fillId="3" borderId="14" xfId="10" applyNumberFormat="1" applyFont="1" applyFill="1" applyBorder="1" applyAlignment="1">
      <alignment horizontal="right" vertical="center"/>
    </xf>
    <xf numFmtId="0" fontId="4" fillId="0" borderId="1" xfId="10" applyFont="1" applyBorder="1"/>
    <xf numFmtId="0" fontId="5" fillId="0" borderId="2" xfId="10" applyFont="1" applyBorder="1" applyAlignment="1">
      <alignment vertical="center"/>
    </xf>
    <xf numFmtId="3" fontId="5" fillId="0" borderId="2" xfId="10" applyNumberFormat="1" applyFont="1" applyBorder="1" applyAlignment="1">
      <alignment vertical="center"/>
    </xf>
    <xf numFmtId="3" fontId="5" fillId="0" borderId="5" xfId="10" applyNumberFormat="1" applyFont="1" applyBorder="1" applyAlignment="1">
      <alignment vertical="center"/>
    </xf>
    <xf numFmtId="3" fontId="5" fillId="0" borderId="13" xfId="10" applyNumberFormat="1" applyFont="1" applyBorder="1" applyAlignment="1">
      <alignment vertical="center"/>
    </xf>
    <xf numFmtId="3" fontId="6" fillId="3" borderId="13" xfId="10" applyNumberFormat="1" applyFont="1" applyFill="1" applyBorder="1" applyAlignment="1">
      <alignment vertical="center"/>
    </xf>
    <xf numFmtId="4" fontId="5" fillId="0" borderId="14" xfId="10" applyNumberFormat="1" applyFont="1" applyBorder="1" applyAlignment="1">
      <alignment horizontal="right" vertical="center"/>
    </xf>
    <xf numFmtId="0" fontId="2" fillId="0" borderId="2" xfId="10" applyBorder="1" applyAlignment="1">
      <alignment vertical="center"/>
    </xf>
    <xf numFmtId="0" fontId="13" fillId="0" borderId="7" xfId="10" applyFont="1" applyBorder="1" applyAlignment="1">
      <alignment horizontal="center" vertical="top"/>
    </xf>
    <xf numFmtId="0" fontId="27" fillId="0" borderId="7" xfId="10" applyFont="1" applyBorder="1" applyAlignment="1">
      <alignment horizontal="center" vertical="top"/>
    </xf>
    <xf numFmtId="0" fontId="24" fillId="0" borderId="2" xfId="10" applyFont="1" applyBorder="1" applyAlignment="1">
      <alignment vertical="center"/>
    </xf>
    <xf numFmtId="3" fontId="24" fillId="0" borderId="2" xfId="10" applyNumberFormat="1" applyFont="1" applyBorder="1" applyAlignment="1">
      <alignment vertical="center"/>
    </xf>
    <xf numFmtId="3" fontId="24" fillId="0" borderId="5" xfId="10" applyNumberFormat="1" applyFont="1" applyBorder="1" applyAlignment="1">
      <alignment vertical="center"/>
    </xf>
    <xf numFmtId="3" fontId="24" fillId="0" borderId="13" xfId="10" applyNumberFormat="1" applyFont="1" applyBorder="1" applyAlignment="1">
      <alignment vertical="center"/>
    </xf>
    <xf numFmtId="3" fontId="24" fillId="0" borderId="1" xfId="10" applyNumberFormat="1" applyFont="1" applyBorder="1" applyAlignment="1">
      <alignment vertical="center"/>
    </xf>
    <xf numFmtId="3" fontId="28" fillId="3" borderId="13" xfId="10" applyNumberFormat="1" applyFont="1" applyFill="1" applyBorder="1" applyAlignment="1">
      <alignment vertical="center"/>
    </xf>
    <xf numFmtId="4" fontId="24" fillId="0" borderId="14" xfId="10" applyNumberFormat="1" applyFont="1" applyBorder="1" applyAlignment="1">
      <alignment horizontal="right" vertical="center"/>
    </xf>
    <xf numFmtId="0" fontId="24" fillId="0" borderId="1" xfId="10" applyFont="1" applyBorder="1" applyAlignment="1">
      <alignment horizontal="right" vertical="center"/>
    </xf>
    <xf numFmtId="0" fontId="27" fillId="0" borderId="7" xfId="10" applyFont="1" applyBorder="1" applyAlignment="1">
      <alignment horizontal="center" vertical="center"/>
    </xf>
    <xf numFmtId="0" fontId="24" fillId="0" borderId="2" xfId="10" applyFont="1" applyBorder="1" applyAlignment="1">
      <alignment vertical="center" wrapText="1"/>
    </xf>
    <xf numFmtId="0" fontId="25" fillId="0" borderId="7" xfId="10" applyFont="1" applyBorder="1" applyAlignment="1">
      <alignment horizontal="center" vertical="top"/>
    </xf>
    <xf numFmtId="3" fontId="26" fillId="3" borderId="13" xfId="10" applyNumberFormat="1" applyFont="1" applyFill="1" applyBorder="1" applyAlignment="1">
      <alignment vertical="center"/>
    </xf>
    <xf numFmtId="3" fontId="5" fillId="0" borderId="2" xfId="10" applyNumberFormat="1" applyFont="1" applyBorder="1" applyAlignment="1" applyProtection="1">
      <alignment vertical="center"/>
      <protection locked="0"/>
    </xf>
    <xf numFmtId="3" fontId="5" fillId="0" borderId="5" xfId="10" applyNumberFormat="1" applyFont="1" applyBorder="1" applyAlignment="1" applyProtection="1">
      <alignment vertical="center"/>
      <protection locked="0"/>
    </xf>
    <xf numFmtId="3" fontId="5" fillId="0" borderId="13" xfId="10" applyNumberFormat="1" applyFont="1" applyBorder="1" applyAlignment="1" applyProtection="1">
      <alignment vertical="center"/>
      <protection locked="0"/>
    </xf>
    <xf numFmtId="3" fontId="5" fillId="0" borderId="1" xfId="10" applyNumberFormat="1" applyFont="1" applyBorder="1" applyAlignment="1" applyProtection="1">
      <alignment vertical="center"/>
      <protection locked="0"/>
    </xf>
    <xf numFmtId="3" fontId="6" fillId="3" borderId="13" xfId="10" applyNumberFormat="1" applyFont="1" applyFill="1" applyBorder="1" applyAlignment="1" applyProtection="1">
      <alignment vertical="center"/>
      <protection locked="0"/>
    </xf>
    <xf numFmtId="3" fontId="24" fillId="0" borderId="2" xfId="10" applyNumberFormat="1" applyFont="1" applyBorder="1" applyAlignment="1" applyProtection="1">
      <alignment vertical="center"/>
      <protection locked="0"/>
    </xf>
    <xf numFmtId="3" fontId="24" fillId="0" borderId="5" xfId="10" applyNumberFormat="1" applyFont="1" applyBorder="1" applyAlignment="1" applyProtection="1">
      <alignment vertical="center"/>
      <protection locked="0"/>
    </xf>
    <xf numFmtId="3" fontId="24" fillId="0" borderId="13" xfId="10" applyNumberFormat="1" applyFont="1" applyBorder="1" applyAlignment="1" applyProtection="1">
      <alignment vertical="center"/>
      <protection locked="0"/>
    </xf>
    <xf numFmtId="3" fontId="24" fillId="0" borderId="1" xfId="10" applyNumberFormat="1" applyFont="1" applyBorder="1" applyAlignment="1" applyProtection="1">
      <alignment vertical="center"/>
      <protection locked="0"/>
    </xf>
    <xf numFmtId="3" fontId="26" fillId="3" borderId="13" xfId="10" applyNumberFormat="1" applyFont="1" applyFill="1" applyBorder="1" applyAlignment="1" applyProtection="1">
      <alignment vertical="center"/>
      <protection locked="0"/>
    </xf>
    <xf numFmtId="3" fontId="2" fillId="0" borderId="2" xfId="10" applyNumberFormat="1" applyBorder="1" applyAlignment="1">
      <alignment vertical="center"/>
    </xf>
    <xf numFmtId="3" fontId="2" fillId="0" borderId="5" xfId="10" applyNumberFormat="1" applyBorder="1" applyAlignment="1">
      <alignment vertical="center"/>
    </xf>
    <xf numFmtId="3" fontId="2" fillId="0" borderId="13" xfId="10" applyNumberFormat="1" applyBorder="1" applyAlignment="1">
      <alignment vertical="center"/>
    </xf>
    <xf numFmtId="3" fontId="2" fillId="0" borderId="1" xfId="10" applyNumberFormat="1" applyBorder="1" applyAlignment="1">
      <alignment vertical="center"/>
    </xf>
    <xf numFmtId="0" fontId="2" fillId="0" borderId="1" xfId="10" applyBorder="1" applyAlignment="1">
      <alignment horizontal="center" vertical="center"/>
    </xf>
    <xf numFmtId="0" fontId="13" fillId="0" borderId="7" xfId="10" applyFont="1" applyBorder="1" applyAlignment="1">
      <alignment horizontal="center" vertical="center"/>
    </xf>
    <xf numFmtId="0" fontId="5" fillId="0" borderId="1" xfId="10" applyFont="1" applyBorder="1"/>
    <xf numFmtId="0" fontId="25" fillId="0" borderId="7" xfId="10" applyFont="1" applyBorder="1" applyAlignment="1">
      <alignment horizontal="center" vertical="center"/>
    </xf>
    <xf numFmtId="0" fontId="5" fillId="0" borderId="0" xfId="10" applyFont="1"/>
    <xf numFmtId="0" fontId="25" fillId="0" borderId="12" xfId="10" applyFont="1" applyBorder="1" applyAlignment="1">
      <alignment horizontal="center" vertical="center"/>
    </xf>
    <xf numFmtId="0" fontId="24" fillId="0" borderId="9" xfId="10" applyFont="1" applyBorder="1" applyAlignment="1">
      <alignment vertical="center"/>
    </xf>
    <xf numFmtId="0" fontId="24" fillId="0" borderId="2" xfId="0" applyFont="1" applyBorder="1" applyAlignment="1">
      <alignment vertical="center"/>
    </xf>
    <xf numFmtId="49" fontId="24" fillId="0" borderId="1" xfId="0" applyNumberFormat="1" applyFont="1" applyBorder="1" applyAlignment="1">
      <alignment horizontal="right" vertical="center"/>
    </xf>
    <xf numFmtId="49" fontId="25" fillId="0" borderId="7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0" fontId="2" fillId="0" borderId="2" xfId="10" applyBorder="1" applyAlignment="1">
      <alignment vertical="center" wrapText="1"/>
    </xf>
    <xf numFmtId="0" fontId="24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4" fillId="0" borderId="34" xfId="10" applyFont="1" applyBorder="1"/>
    <xf numFmtId="0" fontId="7" fillId="0" borderId="34" xfId="10" applyFont="1" applyBorder="1"/>
    <xf numFmtId="49" fontId="2" fillId="0" borderId="1" xfId="0" applyNumberFormat="1" applyFont="1" applyBorder="1" applyAlignment="1">
      <alignment horizontal="right" vertical="center"/>
    </xf>
    <xf numFmtId="49" fontId="27" fillId="0" borderId="7" xfId="0" applyNumberFormat="1" applyFont="1" applyBorder="1" applyAlignment="1">
      <alignment horizontal="center" vertical="center"/>
    </xf>
    <xf numFmtId="0" fontId="7" fillId="0" borderId="0" xfId="10" applyFont="1"/>
    <xf numFmtId="0" fontId="2" fillId="0" borderId="3" xfId="10" applyBorder="1"/>
    <xf numFmtId="0" fontId="4" fillId="0" borderId="1" xfId="10" applyFont="1" applyBorder="1" applyAlignment="1">
      <alignment vertical="center"/>
    </xf>
    <xf numFmtId="0" fontId="14" fillId="0" borderId="7" xfId="10" applyFont="1" applyBorder="1" applyAlignment="1">
      <alignment horizontal="center" vertical="center"/>
    </xf>
    <xf numFmtId="0" fontId="4" fillId="0" borderId="2" xfId="10" applyFont="1" applyBorder="1" applyAlignment="1">
      <alignment vertical="center"/>
    </xf>
    <xf numFmtId="3" fontId="4" fillId="0" borderId="2" xfId="10" applyNumberFormat="1" applyFont="1" applyBorder="1" applyAlignment="1">
      <alignment vertical="center"/>
    </xf>
    <xf numFmtId="3" fontId="4" fillId="0" borderId="5" xfId="10" applyNumberFormat="1" applyFont="1" applyBorder="1" applyAlignment="1">
      <alignment vertical="center"/>
    </xf>
    <xf numFmtId="3" fontId="4" fillId="0" borderId="13" xfId="10" applyNumberFormat="1" applyFont="1" applyBorder="1" applyAlignment="1">
      <alignment vertical="center"/>
    </xf>
    <xf numFmtId="3" fontId="4" fillId="0" borderId="1" xfId="10" applyNumberFormat="1" applyFont="1" applyBorder="1" applyAlignment="1">
      <alignment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14" fillId="3" borderId="7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49" fontId="2" fillId="0" borderId="1" xfId="10" applyNumberFormat="1" applyBorder="1" applyAlignment="1">
      <alignment horizontal="center" vertical="center"/>
    </xf>
    <xf numFmtId="49" fontId="13" fillId="0" borderId="7" xfId="1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4" fillId="3" borderId="1" xfId="10" applyNumberFormat="1" applyFont="1" applyFill="1" applyBorder="1" applyAlignment="1">
      <alignment horizontal="center" vertical="center"/>
    </xf>
    <xf numFmtId="49" fontId="14" fillId="3" borderId="7" xfId="10" applyNumberFormat="1" applyFont="1" applyFill="1" applyBorder="1" applyAlignment="1">
      <alignment horizontal="center" vertical="center"/>
    </xf>
    <xf numFmtId="0" fontId="4" fillId="3" borderId="1" xfId="10" applyFont="1" applyFill="1" applyBorder="1" applyAlignment="1">
      <alignment horizontal="center" vertical="center"/>
    </xf>
    <xf numFmtId="0" fontId="14" fillId="3" borderId="7" xfId="10" applyFont="1" applyFill="1" applyBorder="1" applyAlignment="1">
      <alignment horizontal="center" vertical="center"/>
    </xf>
    <xf numFmtId="0" fontId="4" fillId="0" borderId="1" xfId="10" applyFont="1" applyBorder="1" applyAlignment="1">
      <alignment horizontal="center" vertical="center"/>
    </xf>
    <xf numFmtId="0" fontId="4" fillId="0" borderId="2" xfId="10" applyFont="1" applyBorder="1"/>
    <xf numFmtId="3" fontId="4" fillId="0" borderId="2" xfId="10" applyNumberFormat="1" applyFont="1" applyBorder="1"/>
    <xf numFmtId="3" fontId="4" fillId="0" borderId="5" xfId="10" applyNumberFormat="1" applyFont="1" applyBorder="1"/>
    <xf numFmtId="3" fontId="4" fillId="0" borderId="13" xfId="10" applyNumberFormat="1" applyFont="1" applyBorder="1"/>
    <xf numFmtId="4" fontId="7" fillId="0" borderId="14" xfId="10" applyNumberFormat="1" applyFont="1" applyBorder="1" applyAlignment="1">
      <alignment horizontal="right"/>
    </xf>
    <xf numFmtId="0" fontId="2" fillId="0" borderId="3" xfId="10" applyBorder="1" applyAlignment="1">
      <alignment horizontal="center"/>
    </xf>
    <xf numFmtId="0" fontId="13" fillId="0" borderId="35" xfId="10" applyFont="1" applyBorder="1" applyAlignment="1">
      <alignment horizontal="center"/>
    </xf>
    <xf numFmtId="0" fontId="2" fillId="0" borderId="4" xfId="10" applyBorder="1"/>
    <xf numFmtId="0" fontId="2" fillId="0" borderId="6" xfId="10" applyBorder="1"/>
    <xf numFmtId="0" fontId="2" fillId="0" borderId="19" xfId="10" applyBorder="1"/>
    <xf numFmtId="0" fontId="6" fillId="3" borderId="19" xfId="10" applyFont="1" applyFill="1" applyBorder="1"/>
    <xf numFmtId="4" fontId="2" fillId="0" borderId="36" xfId="10" applyNumberFormat="1" applyBorder="1"/>
    <xf numFmtId="0" fontId="2" fillId="0" borderId="37" xfId="10" applyBorder="1" applyAlignment="1">
      <alignment horizontal="center"/>
    </xf>
    <xf numFmtId="0" fontId="2" fillId="0" borderId="10" xfId="10" applyBorder="1" applyAlignment="1">
      <alignment horizontal="center"/>
    </xf>
    <xf numFmtId="0" fontId="2" fillId="0" borderId="10" xfId="10" applyBorder="1"/>
    <xf numFmtId="4" fontId="2" fillId="0" borderId="38" xfId="10" applyNumberFormat="1" applyBorder="1"/>
    <xf numFmtId="0" fontId="2" fillId="0" borderId="0" xfId="10" applyAlignment="1">
      <alignment horizontal="left"/>
    </xf>
    <xf numFmtId="0" fontId="6" fillId="0" borderId="0" xfId="10" applyFont="1" applyAlignment="1">
      <alignment horizontal="left"/>
    </xf>
    <xf numFmtId="0" fontId="29" fillId="0" borderId="0" xfId="10" applyFont="1" applyAlignment="1">
      <alignment horizontal="left"/>
    </xf>
    <xf numFmtId="4" fontId="29" fillId="0" borderId="0" xfId="10" applyNumberFormat="1" applyFont="1" applyAlignment="1">
      <alignment horizontal="left"/>
    </xf>
    <xf numFmtId="3" fontId="24" fillId="0" borderId="2" xfId="10" quotePrefix="1" applyNumberFormat="1" applyFont="1" applyBorder="1"/>
    <xf numFmtId="0" fontId="24" fillId="0" borderId="5" xfId="0" applyFont="1" applyBorder="1" applyAlignment="1">
      <alignment vertical="center" wrapText="1"/>
    </xf>
    <xf numFmtId="0" fontId="0" fillId="0" borderId="5" xfId="0" applyBorder="1" applyAlignment="1">
      <alignment wrapText="1"/>
    </xf>
    <xf numFmtId="166" fontId="7" fillId="0" borderId="0" xfId="2" applyNumberFormat="1" applyFont="1"/>
    <xf numFmtId="0" fontId="20" fillId="0" borderId="0" xfId="0" applyFont="1" applyAlignment="1">
      <alignment horizontal="left" vertical="center"/>
    </xf>
    <xf numFmtId="0" fontId="0" fillId="0" borderId="0" xfId="0"/>
    <xf numFmtId="0" fontId="20" fillId="0" borderId="0" xfId="0" applyFont="1" applyAlignment="1">
      <alignment horizontal="left" vertical="center" wrapText="1"/>
    </xf>
    <xf numFmtId="0" fontId="15" fillId="5" borderId="8" xfId="0" applyFont="1" applyFill="1" applyBorder="1" applyAlignment="1">
      <alignment vertical="center"/>
    </xf>
    <xf numFmtId="0" fontId="15" fillId="5" borderId="30" xfId="0" applyFont="1" applyFill="1" applyBorder="1" applyAlignment="1">
      <alignment vertical="center"/>
    </xf>
    <xf numFmtId="0" fontId="15" fillId="5" borderId="9" xfId="0" applyFont="1" applyFill="1" applyBorder="1" applyAlignment="1">
      <alignment vertical="center"/>
    </xf>
    <xf numFmtId="0" fontId="15" fillId="5" borderId="8" xfId="0" applyFont="1" applyFill="1" applyBorder="1" applyAlignment="1">
      <alignment horizontal="center" vertical="center"/>
    </xf>
    <xf numFmtId="0" fontId="15" fillId="5" borderId="30" xfId="0" applyFont="1" applyFill="1" applyBorder="1" applyAlignment="1">
      <alignment horizontal="center" vertical="center"/>
    </xf>
    <xf numFmtId="0" fontId="15" fillId="5" borderId="9" xfId="0" applyFont="1" applyFill="1" applyBorder="1" applyAlignment="1">
      <alignment horizontal="center" vertical="center"/>
    </xf>
    <xf numFmtId="0" fontId="4" fillId="0" borderId="23" xfId="2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8" fillId="0" borderId="24" xfId="2" applyFont="1" applyBorder="1" applyAlignment="1" applyProtection="1">
      <alignment horizontal="center" vertical="center" wrapText="1"/>
      <protection locked="0"/>
    </xf>
    <xf numFmtId="0" fontId="12" fillId="0" borderId="21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4" fillId="0" borderId="31" xfId="2" applyFont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18" fillId="0" borderId="0" xfId="10" applyFont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8" fillId="0" borderId="0" xfId="2" applyFont="1" applyAlignment="1">
      <alignment horizontal="left"/>
    </xf>
    <xf numFmtId="0" fontId="18" fillId="0" borderId="0" xfId="0" applyFont="1" applyAlignment="1">
      <alignment horizontal="left"/>
    </xf>
    <xf numFmtId="0" fontId="18" fillId="0" borderId="5" xfId="2" applyFont="1" applyBorder="1" applyAlignment="1">
      <alignment horizontal="center"/>
    </xf>
    <xf numFmtId="0" fontId="0" fillId="0" borderId="7" xfId="0" applyBorder="1"/>
    <xf numFmtId="0" fontId="4" fillId="0" borderId="10" xfId="2" applyFont="1" applyBorder="1" applyAlignment="1">
      <alignment horizontal="right"/>
    </xf>
    <xf numFmtId="0" fontId="16" fillId="0" borderId="22" xfId="2" applyFont="1" applyBorder="1" applyAlignment="1">
      <alignment horizontal="center" vertical="center" textRotation="90" wrapText="1"/>
    </xf>
    <xf numFmtId="0" fontId="0" fillId="0" borderId="15" xfId="0" applyBorder="1" applyAlignment="1">
      <alignment horizontal="center" vertical="center" textRotation="90" wrapText="1"/>
    </xf>
    <xf numFmtId="0" fontId="16" fillId="0" borderId="23" xfId="2" applyFont="1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7" fillId="0" borderId="23" xfId="2" applyFont="1" applyBorder="1" applyAlignment="1">
      <alignment horizontal="center" vertical="center" textRotation="90" wrapText="1"/>
    </xf>
    <xf numFmtId="0" fontId="23" fillId="0" borderId="0" xfId="10" applyFont="1" applyAlignment="1">
      <alignment horizontal="left"/>
    </xf>
    <xf numFmtId="3" fontId="23" fillId="0" borderId="0" xfId="10" applyNumberFormat="1" applyFont="1" applyAlignment="1">
      <alignment horizontal="left"/>
    </xf>
    <xf numFmtId="3" fontId="0" fillId="0" borderId="10" xfId="0" applyNumberFormat="1" applyBorder="1"/>
    <xf numFmtId="0" fontId="4" fillId="3" borderId="22" xfId="10" applyFont="1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4" fillId="3" borderId="23" xfId="10" applyFont="1" applyFill="1" applyBorder="1" applyAlignment="1">
      <alignment horizontal="center" vertical="center" textRotation="90" wrapText="1"/>
    </xf>
    <xf numFmtId="0" fontId="0" fillId="3" borderId="9" xfId="0" applyFill="1" applyBorder="1" applyAlignment="1">
      <alignment horizontal="center" vertical="center" textRotation="90" wrapText="1"/>
    </xf>
    <xf numFmtId="0" fontId="4" fillId="3" borderId="23" xfId="10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8" fillId="3" borderId="2" xfId="2" applyFont="1" applyFill="1" applyBorder="1" applyAlignment="1" applyProtection="1">
      <alignment horizontal="center" vertical="center" wrapText="1"/>
      <protection locked="0"/>
    </xf>
    <xf numFmtId="0" fontId="12" fillId="3" borderId="2" xfId="0" applyFont="1" applyFill="1" applyBorder="1" applyAlignment="1">
      <alignment horizontal="center" vertical="center" wrapText="1"/>
    </xf>
    <xf numFmtId="4" fontId="16" fillId="3" borderId="32" xfId="10" applyNumberFormat="1" applyFont="1" applyFill="1" applyBorder="1" applyAlignment="1">
      <alignment horizontal="center" vertical="center" wrapText="1"/>
    </xf>
    <xf numFmtId="0" fontId="17" fillId="3" borderId="33" xfId="0" applyFont="1" applyFill="1" applyBorder="1" applyAlignment="1">
      <alignment horizontal="center" vertical="center"/>
    </xf>
    <xf numFmtId="0" fontId="29" fillId="0" borderId="0" xfId="10" applyFont="1" applyAlignment="1">
      <alignment horizontal="left"/>
    </xf>
    <xf numFmtId="0" fontId="0" fillId="0" borderId="0" xfId="0" applyAlignment="1">
      <alignment horizontal="justify" vertical="top"/>
    </xf>
  </cellXfs>
  <cellStyles count="13">
    <cellStyle name="Comma_izvrsenje300903-s planom 2" xfId="1" xr:uid="{00000000-0005-0000-0000-000000000000}"/>
    <cellStyle name="Normal_sablon1-230704" xfId="2" xr:uid="{00000000-0005-0000-0000-000001000000}"/>
    <cellStyle name="Normal_sablon1-230704 2" xfId="3" xr:uid="{00000000-0005-0000-0000-000002000000}"/>
    <cellStyle name="Normal_sablon1-230704 2 2 2" xfId="10" xr:uid="{00000000-0005-0000-0000-000003000000}"/>
    <cellStyle name="Normalno" xfId="0" builtinId="0"/>
    <cellStyle name="Obično 2" xfId="5" xr:uid="{00000000-0005-0000-0000-000005000000}"/>
    <cellStyle name="Obično 2 2" xfId="9" xr:uid="{00000000-0005-0000-0000-000006000000}"/>
    <cellStyle name="Obično 3" xfId="7" xr:uid="{00000000-0005-0000-0000-000007000000}"/>
    <cellStyle name="Obično 4" xfId="12" xr:uid="{00000000-0005-0000-0000-000008000000}"/>
    <cellStyle name="Zarez 2" xfId="4" xr:uid="{00000000-0005-0000-0000-000009000000}"/>
    <cellStyle name="Zarez 2 2" xfId="6" xr:uid="{00000000-0005-0000-0000-00000A000000}"/>
    <cellStyle name="Zarez 2 2 2" xfId="11" xr:uid="{00000000-0005-0000-0000-00000B000000}"/>
    <cellStyle name="Zarez 2 3" xfId="8" xr:uid="{00000000-0005-0000-0000-00000C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2:C47"/>
  <sheetViews>
    <sheetView tabSelected="1" zoomScaleNormal="100" workbookViewId="0">
      <selection activeCell="A9" sqref="A9:C9"/>
    </sheetView>
  </sheetViews>
  <sheetFormatPr defaultRowHeight="15" x14ac:dyDescent="0.2"/>
  <cols>
    <col min="1" max="1" width="10.7109375" style="191" customWidth="1"/>
    <col min="2" max="2" width="96.85546875" style="187" customWidth="1"/>
    <col min="3" max="3" width="79.42578125" customWidth="1"/>
  </cols>
  <sheetData>
    <row r="2" spans="1:3" ht="15.75" x14ac:dyDescent="0.2">
      <c r="A2" s="195" t="s">
        <v>391</v>
      </c>
    </row>
    <row r="3" spans="1:3" ht="15.75" x14ac:dyDescent="0.2">
      <c r="A3" s="195"/>
    </row>
    <row r="4" spans="1:3" ht="17.25" customHeight="1" x14ac:dyDescent="0.2">
      <c r="A4" s="412" t="s">
        <v>261</v>
      </c>
      <c r="B4" s="413"/>
      <c r="C4" s="413"/>
    </row>
    <row r="5" spans="1:3" ht="19.5" customHeight="1" x14ac:dyDescent="0.2">
      <c r="A5" s="412" t="s">
        <v>392</v>
      </c>
      <c r="B5" s="412"/>
      <c r="C5" s="412"/>
    </row>
    <row r="6" spans="1:3" ht="32.25" customHeight="1" x14ac:dyDescent="0.2">
      <c r="A6" s="414" t="s">
        <v>262</v>
      </c>
      <c r="B6" s="413"/>
      <c r="C6" s="413"/>
    </row>
    <row r="7" spans="1:3" ht="18" customHeight="1" x14ac:dyDescent="0.2">
      <c r="A7" s="414" t="s">
        <v>263</v>
      </c>
      <c r="B7" s="413"/>
      <c r="C7" s="413"/>
    </row>
    <row r="8" spans="1:3" ht="18" customHeight="1" x14ac:dyDescent="0.2">
      <c r="A8" s="412" t="s">
        <v>264</v>
      </c>
      <c r="B8" s="413"/>
      <c r="C8" s="413"/>
    </row>
    <row r="9" spans="1:3" ht="18" customHeight="1" x14ac:dyDescent="0.2">
      <c r="A9" s="412" t="s">
        <v>260</v>
      </c>
      <c r="B9" s="413"/>
      <c r="C9" s="413"/>
    </row>
    <row r="11" spans="1:3" ht="20.100000000000001" customHeight="1" x14ac:dyDescent="0.25">
      <c r="A11" s="189" t="s">
        <v>213</v>
      </c>
      <c r="B11" s="188" t="s">
        <v>214</v>
      </c>
      <c r="C11" s="188" t="s">
        <v>265</v>
      </c>
    </row>
    <row r="12" spans="1:3" ht="20.100000000000001" customHeight="1" x14ac:dyDescent="0.2">
      <c r="A12" s="189">
        <v>10</v>
      </c>
      <c r="B12" s="192" t="s">
        <v>26</v>
      </c>
      <c r="C12" s="193" t="s">
        <v>231</v>
      </c>
    </row>
    <row r="13" spans="1:3" ht="20.100000000000001" customHeight="1" x14ac:dyDescent="0.2">
      <c r="A13" s="418">
        <v>11</v>
      </c>
      <c r="B13" s="415" t="s">
        <v>28</v>
      </c>
      <c r="C13" s="194" t="s">
        <v>218</v>
      </c>
    </row>
    <row r="14" spans="1:3" ht="20.100000000000001" customHeight="1" x14ac:dyDescent="0.2">
      <c r="A14" s="419"/>
      <c r="B14" s="416"/>
      <c r="C14" s="194" t="s">
        <v>219</v>
      </c>
    </row>
    <row r="15" spans="1:3" ht="20.100000000000001" customHeight="1" x14ac:dyDescent="0.2">
      <c r="A15" s="419"/>
      <c r="B15" s="416"/>
      <c r="C15" s="194" t="s">
        <v>354</v>
      </c>
    </row>
    <row r="16" spans="1:3" ht="20.100000000000001" customHeight="1" x14ac:dyDescent="0.2">
      <c r="A16" s="419"/>
      <c r="B16" s="416"/>
      <c r="C16" s="194" t="s">
        <v>220</v>
      </c>
    </row>
    <row r="17" spans="1:3" ht="20.100000000000001" customHeight="1" x14ac:dyDescent="0.2">
      <c r="A17" s="420"/>
      <c r="B17" s="417"/>
      <c r="C17" s="194" t="s">
        <v>355</v>
      </c>
    </row>
    <row r="18" spans="1:3" ht="20.100000000000001" customHeight="1" x14ac:dyDescent="0.2">
      <c r="A18" s="189">
        <v>12</v>
      </c>
      <c r="B18" s="192" t="s">
        <v>202</v>
      </c>
      <c r="C18" s="193" t="s">
        <v>231</v>
      </c>
    </row>
    <row r="19" spans="1:3" ht="20.100000000000001" customHeight="1" x14ac:dyDescent="0.2">
      <c r="A19" s="189">
        <v>13</v>
      </c>
      <c r="B19" s="192" t="s">
        <v>203</v>
      </c>
      <c r="C19" s="193" t="s">
        <v>231</v>
      </c>
    </row>
    <row r="20" spans="1:3" ht="20.100000000000001" customHeight="1" x14ac:dyDescent="0.2">
      <c r="A20" s="418">
        <v>14</v>
      </c>
      <c r="B20" s="415" t="s">
        <v>204</v>
      </c>
      <c r="C20" s="194" t="s">
        <v>215</v>
      </c>
    </row>
    <row r="21" spans="1:3" ht="20.100000000000001" customHeight="1" x14ac:dyDescent="0.2">
      <c r="A21" s="419"/>
      <c r="B21" s="416"/>
      <c r="C21" s="194" t="s">
        <v>393</v>
      </c>
    </row>
    <row r="22" spans="1:3" ht="20.100000000000001" customHeight="1" x14ac:dyDescent="0.2">
      <c r="A22" s="419"/>
      <c r="B22" s="416"/>
      <c r="C22" s="194" t="s">
        <v>216</v>
      </c>
    </row>
    <row r="23" spans="1:3" ht="20.100000000000001" customHeight="1" x14ac:dyDescent="0.2">
      <c r="A23" s="419"/>
      <c r="B23" s="416"/>
      <c r="C23" s="194" t="s">
        <v>217</v>
      </c>
    </row>
    <row r="24" spans="1:3" ht="20.100000000000001" customHeight="1" x14ac:dyDescent="0.2">
      <c r="A24" s="420"/>
      <c r="B24" s="417"/>
      <c r="C24" s="194" t="s">
        <v>233</v>
      </c>
    </row>
    <row r="25" spans="1:3" ht="20.100000000000001" customHeight="1" x14ac:dyDescent="0.2">
      <c r="A25" s="189">
        <v>15</v>
      </c>
      <c r="B25" s="192" t="s">
        <v>205</v>
      </c>
      <c r="C25" s="193" t="s">
        <v>231</v>
      </c>
    </row>
    <row r="26" spans="1:3" ht="20.100000000000001" customHeight="1" x14ac:dyDescent="0.2">
      <c r="A26" s="189">
        <v>16</v>
      </c>
      <c r="B26" s="192" t="s">
        <v>206</v>
      </c>
      <c r="C26" s="193" t="s">
        <v>231</v>
      </c>
    </row>
    <row r="27" spans="1:3" ht="20.100000000000001" customHeight="1" x14ac:dyDescent="0.2">
      <c r="A27" s="189">
        <v>17</v>
      </c>
      <c r="B27" s="192" t="s">
        <v>207</v>
      </c>
      <c r="C27" s="193" t="s">
        <v>231</v>
      </c>
    </row>
    <row r="28" spans="1:3" ht="20.100000000000001" customHeight="1" x14ac:dyDescent="0.2">
      <c r="A28" s="189">
        <v>18</v>
      </c>
      <c r="B28" s="192" t="s">
        <v>208</v>
      </c>
      <c r="C28" s="193" t="s">
        <v>231</v>
      </c>
    </row>
    <row r="29" spans="1:3" ht="20.100000000000001" customHeight="1" x14ac:dyDescent="0.2">
      <c r="A29" s="189">
        <v>19</v>
      </c>
      <c r="B29" s="192" t="s">
        <v>209</v>
      </c>
      <c r="C29" s="193" t="s">
        <v>231</v>
      </c>
    </row>
    <row r="30" spans="1:3" ht="20.100000000000001" customHeight="1" x14ac:dyDescent="0.2">
      <c r="A30" s="418">
        <v>20</v>
      </c>
      <c r="B30" s="415" t="s">
        <v>210</v>
      </c>
      <c r="C30" s="194" t="s">
        <v>221</v>
      </c>
    </row>
    <row r="31" spans="1:3" ht="20.100000000000001" customHeight="1" x14ac:dyDescent="0.2">
      <c r="A31" s="419"/>
      <c r="B31" s="416"/>
      <c r="C31" s="194" t="s">
        <v>222</v>
      </c>
    </row>
    <row r="32" spans="1:3" ht="20.100000000000001" customHeight="1" x14ac:dyDescent="0.2">
      <c r="A32" s="419"/>
      <c r="B32" s="416"/>
      <c r="C32" s="194" t="s">
        <v>223</v>
      </c>
    </row>
    <row r="33" spans="1:3" ht="20.100000000000001" customHeight="1" x14ac:dyDescent="0.2">
      <c r="A33" s="419"/>
      <c r="B33" s="416"/>
      <c r="C33" s="194" t="s">
        <v>224</v>
      </c>
    </row>
    <row r="34" spans="1:3" ht="20.100000000000001" customHeight="1" x14ac:dyDescent="0.2">
      <c r="A34" s="419"/>
      <c r="B34" s="416"/>
      <c r="C34" s="194" t="s">
        <v>225</v>
      </c>
    </row>
    <row r="35" spans="1:3" ht="20.100000000000001" customHeight="1" x14ac:dyDescent="0.2">
      <c r="A35" s="419"/>
      <c r="B35" s="416"/>
      <c r="C35" s="194" t="s">
        <v>226</v>
      </c>
    </row>
    <row r="36" spans="1:3" ht="20.100000000000001" customHeight="1" x14ac:dyDescent="0.2">
      <c r="A36" s="419"/>
      <c r="B36" s="416"/>
      <c r="C36" s="194" t="s">
        <v>227</v>
      </c>
    </row>
    <row r="37" spans="1:3" ht="20.100000000000001" customHeight="1" x14ac:dyDescent="0.2">
      <c r="A37" s="419"/>
      <c r="B37" s="416"/>
      <c r="C37" s="194" t="s">
        <v>228</v>
      </c>
    </row>
    <row r="38" spans="1:3" ht="20.100000000000001" customHeight="1" x14ac:dyDescent="0.2">
      <c r="A38" s="419"/>
      <c r="B38" s="416"/>
      <c r="C38" s="194" t="s">
        <v>229</v>
      </c>
    </row>
    <row r="39" spans="1:3" ht="20.100000000000001" customHeight="1" x14ac:dyDescent="0.2">
      <c r="A39" s="420"/>
      <c r="B39" s="417"/>
      <c r="C39" s="194" t="s">
        <v>230</v>
      </c>
    </row>
    <row r="40" spans="1:3" ht="20.100000000000001" customHeight="1" x14ac:dyDescent="0.2">
      <c r="A40" s="189">
        <v>21</v>
      </c>
      <c r="B40" s="192" t="s">
        <v>211</v>
      </c>
      <c r="C40" s="193" t="s">
        <v>231</v>
      </c>
    </row>
    <row r="41" spans="1:3" ht="20.100000000000001" customHeight="1" x14ac:dyDescent="0.2">
      <c r="A41" s="189">
        <v>22</v>
      </c>
      <c r="B41" s="192" t="s">
        <v>212</v>
      </c>
      <c r="C41" s="193" t="s">
        <v>231</v>
      </c>
    </row>
    <row r="42" spans="1:3" ht="20.100000000000001" customHeight="1" x14ac:dyDescent="0.2">
      <c r="A42" s="189">
        <v>23</v>
      </c>
      <c r="B42" s="192" t="s">
        <v>130</v>
      </c>
      <c r="C42" s="193" t="s">
        <v>231</v>
      </c>
    </row>
    <row r="43" spans="1:3" ht="20.100000000000001" customHeight="1" x14ac:dyDescent="0.2">
      <c r="A43" s="189">
        <v>24</v>
      </c>
      <c r="B43" s="192" t="s">
        <v>52</v>
      </c>
      <c r="C43" s="193" t="s">
        <v>231</v>
      </c>
    </row>
    <row r="44" spans="1:3" ht="20.100000000000001" customHeight="1" x14ac:dyDescent="0.2">
      <c r="A44" s="189">
        <v>26</v>
      </c>
      <c r="B44" s="192" t="s">
        <v>77</v>
      </c>
      <c r="C44" s="193" t="s">
        <v>231</v>
      </c>
    </row>
    <row r="45" spans="1:3" ht="20.100000000000001" customHeight="1" x14ac:dyDescent="0.2">
      <c r="A45" s="189">
        <v>27</v>
      </c>
      <c r="B45" s="192" t="s">
        <v>131</v>
      </c>
      <c r="C45" s="193" t="s">
        <v>231</v>
      </c>
    </row>
    <row r="46" spans="1:3" ht="20.100000000000001" customHeight="1" x14ac:dyDescent="0.2">
      <c r="A46" s="189">
        <v>28</v>
      </c>
      <c r="B46" s="192" t="s">
        <v>65</v>
      </c>
      <c r="C46" s="193" t="s">
        <v>231</v>
      </c>
    </row>
    <row r="47" spans="1:3" ht="15.75" x14ac:dyDescent="0.2">
      <c r="A47" s="190"/>
    </row>
  </sheetData>
  <mergeCells count="12">
    <mergeCell ref="A4:C4"/>
    <mergeCell ref="A5:C5"/>
    <mergeCell ref="A6:C6"/>
    <mergeCell ref="B30:B39"/>
    <mergeCell ref="A30:A39"/>
    <mergeCell ref="A8:C8"/>
    <mergeCell ref="A7:C7"/>
    <mergeCell ref="B13:B17"/>
    <mergeCell ref="A13:A17"/>
    <mergeCell ref="B20:B24"/>
    <mergeCell ref="A20:A24"/>
    <mergeCell ref="A9:C9"/>
  </mergeCells>
  <pageMargins left="0.55118110236220474" right="0.31496062992125984" top="0.31" bottom="0.28999999999999998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B1:R40"/>
  <sheetViews>
    <sheetView topLeftCell="G1" workbookViewId="0">
      <selection activeCell="H12" sqref="H12"/>
    </sheetView>
  </sheetViews>
  <sheetFormatPr defaultColWidth="9.140625" defaultRowHeight="12.75" x14ac:dyDescent="0.2"/>
  <cols>
    <col min="1" max="1" width="6.140625" style="17" customWidth="1"/>
    <col min="2" max="2" width="4.7109375" style="17" customWidth="1"/>
    <col min="3" max="3" width="5.140625" style="17" customWidth="1"/>
    <col min="4" max="5" width="5" style="17" customWidth="1"/>
    <col min="6" max="7" width="8.7109375" style="53" customWidth="1"/>
    <col min="8" max="8" width="50.7109375" style="17" customWidth="1"/>
    <col min="9" max="9" width="11.7109375" style="17" customWidth="1"/>
    <col min="10" max="10" width="11.85546875" style="17" customWidth="1"/>
    <col min="11" max="11" width="13.5703125" style="17" customWidth="1"/>
    <col min="12" max="13" width="14.7109375" style="17" customWidth="1"/>
    <col min="14" max="14" width="15.7109375" style="17" customWidth="1"/>
    <col min="15" max="15" width="9.140625" style="17"/>
    <col min="16" max="16" width="9.5703125" style="17" bestFit="1" customWidth="1"/>
    <col min="17" max="16384" width="9.140625" style="17"/>
  </cols>
  <sheetData>
    <row r="1" spans="2:18" ht="15.75" x14ac:dyDescent="0.25">
      <c r="B1" s="428" t="s">
        <v>374</v>
      </c>
      <c r="C1" s="429"/>
      <c r="D1" s="429"/>
      <c r="E1" s="429"/>
      <c r="F1" s="429"/>
      <c r="G1" s="429"/>
      <c r="H1" s="429"/>
      <c r="I1" s="430"/>
      <c r="J1" s="430"/>
      <c r="K1" s="430"/>
      <c r="L1" s="430"/>
      <c r="M1" s="430"/>
      <c r="N1" s="430"/>
    </row>
    <row r="2" spans="2:18" x14ac:dyDescent="0.2">
      <c r="M2" s="126" t="s">
        <v>232</v>
      </c>
      <c r="N2" s="196"/>
    </row>
    <row r="3" spans="2:18" ht="15.75" x14ac:dyDescent="0.25">
      <c r="B3" s="180" t="s">
        <v>173</v>
      </c>
      <c r="F3" s="431" t="s">
        <v>26</v>
      </c>
      <c r="G3" s="432"/>
      <c r="H3" s="432"/>
      <c r="I3" s="432"/>
      <c r="J3" s="432"/>
      <c r="K3" s="432"/>
    </row>
    <row r="4" spans="2:18" x14ac:dyDescent="0.2">
      <c r="B4" s="180"/>
      <c r="G4"/>
      <c r="H4"/>
      <c r="I4"/>
      <c r="J4"/>
      <c r="K4"/>
    </row>
    <row r="5" spans="2:18" ht="15.75" x14ac:dyDescent="0.25">
      <c r="B5" s="180" t="s">
        <v>172</v>
      </c>
      <c r="D5" s="433">
        <v>10</v>
      </c>
      <c r="E5" s="434"/>
      <c r="F5" s="181"/>
      <c r="G5" s="181"/>
      <c r="I5" s="180"/>
      <c r="L5" s="411"/>
    </row>
    <row r="6" spans="2:18" s="22" customFormat="1" ht="16.5" thickBot="1" x14ac:dyDescent="0.3">
      <c r="F6" s="48"/>
      <c r="G6" s="48"/>
      <c r="H6" s="435"/>
      <c r="I6" s="435"/>
      <c r="J6" s="26"/>
      <c r="K6" s="26"/>
      <c r="L6" s="26"/>
      <c r="M6" s="26"/>
      <c r="N6" s="26"/>
    </row>
    <row r="7" spans="2:18" s="22" customFormat="1" ht="31.5" customHeight="1" x14ac:dyDescent="0.2">
      <c r="B7" s="436" t="s">
        <v>0</v>
      </c>
      <c r="C7" s="438" t="s">
        <v>1</v>
      </c>
      <c r="D7" s="438" t="s">
        <v>21</v>
      </c>
      <c r="E7" s="438" t="s">
        <v>135</v>
      </c>
      <c r="F7" s="421" t="s">
        <v>85</v>
      </c>
      <c r="G7" s="440" t="s">
        <v>88</v>
      </c>
      <c r="H7" s="421" t="s">
        <v>2</v>
      </c>
      <c r="I7" s="423" t="s">
        <v>372</v>
      </c>
      <c r="J7" s="424"/>
      <c r="K7" s="425"/>
      <c r="L7" s="423" t="s">
        <v>373</v>
      </c>
      <c r="M7" s="424"/>
      <c r="N7" s="424"/>
      <c r="O7" s="426" t="s">
        <v>258</v>
      </c>
    </row>
    <row r="8" spans="2:18" s="22" customFormat="1" ht="25.5" x14ac:dyDescent="0.2">
      <c r="B8" s="437"/>
      <c r="C8" s="439"/>
      <c r="D8" s="439"/>
      <c r="E8" s="439"/>
      <c r="F8" s="422"/>
      <c r="G8" s="439"/>
      <c r="H8" s="422"/>
      <c r="I8" s="105" t="s">
        <v>117</v>
      </c>
      <c r="J8" s="85" t="s">
        <v>118</v>
      </c>
      <c r="K8" s="159" t="s">
        <v>81</v>
      </c>
      <c r="L8" s="105" t="s">
        <v>117</v>
      </c>
      <c r="M8" s="85" t="s">
        <v>118</v>
      </c>
      <c r="N8" s="200" t="s">
        <v>81</v>
      </c>
      <c r="O8" s="427"/>
    </row>
    <row r="9" spans="2:18" s="48" customFormat="1" x14ac:dyDescent="0.2">
      <c r="B9" s="97">
        <v>1</v>
      </c>
      <c r="C9" s="68">
        <v>2</v>
      </c>
      <c r="D9" s="68">
        <v>3</v>
      </c>
      <c r="E9" s="68">
        <v>4</v>
      </c>
      <c r="F9" s="68">
        <v>5</v>
      </c>
      <c r="G9" s="68">
        <v>6</v>
      </c>
      <c r="H9" s="68">
        <v>7</v>
      </c>
      <c r="I9" s="97">
        <v>8</v>
      </c>
      <c r="J9" s="68">
        <v>9</v>
      </c>
      <c r="K9" s="160" t="s">
        <v>171</v>
      </c>
      <c r="L9" s="97">
        <v>11</v>
      </c>
      <c r="M9" s="68">
        <v>12</v>
      </c>
      <c r="N9" s="68" t="s">
        <v>394</v>
      </c>
      <c r="O9" s="232" t="s">
        <v>395</v>
      </c>
    </row>
    <row r="10" spans="2:18" s="48" customFormat="1" ht="15" x14ac:dyDescent="0.25">
      <c r="B10" s="2">
        <v>10</v>
      </c>
      <c r="C10" s="3" t="s">
        <v>3</v>
      </c>
      <c r="D10" s="3" t="s">
        <v>4</v>
      </c>
      <c r="E10" s="136" t="s">
        <v>136</v>
      </c>
      <c r="F10" s="49"/>
      <c r="G10" s="49"/>
      <c r="H10" s="182" t="s">
        <v>26</v>
      </c>
      <c r="I10" s="1"/>
      <c r="J10" s="49"/>
      <c r="K10" s="161"/>
      <c r="L10" s="1"/>
      <c r="M10" s="49"/>
      <c r="N10" s="201"/>
      <c r="O10" s="208"/>
    </row>
    <row r="11" spans="2:18" s="22" customFormat="1" ht="15" x14ac:dyDescent="0.25">
      <c r="B11" s="51"/>
      <c r="C11" s="4"/>
      <c r="D11" s="4"/>
      <c r="E11" s="4"/>
      <c r="F11" s="57">
        <v>611000</v>
      </c>
      <c r="G11" s="68"/>
      <c r="H11" s="4" t="s">
        <v>57</v>
      </c>
      <c r="I11" s="106">
        <f>SUM(I12:I13)</f>
        <v>1093250</v>
      </c>
      <c r="J11" s="32">
        <f t="shared" ref="J11:N11" si="0">SUM(J12:J13)</f>
        <v>0</v>
      </c>
      <c r="K11" s="162">
        <f t="shared" si="0"/>
        <v>1093250</v>
      </c>
      <c r="L11" s="106">
        <f t="shared" si="0"/>
        <v>0</v>
      </c>
      <c r="M11" s="32">
        <f t="shared" si="0"/>
        <v>0</v>
      </c>
      <c r="N11" s="202">
        <f t="shared" si="0"/>
        <v>0</v>
      </c>
      <c r="O11" s="223">
        <f>IF(K11=0,"",N11/K11*100)</f>
        <v>0</v>
      </c>
      <c r="P11" s="19"/>
    </row>
    <row r="12" spans="2:18" ht="14.25" x14ac:dyDescent="0.2">
      <c r="B12" s="50"/>
      <c r="C12" s="8"/>
      <c r="D12" s="8"/>
      <c r="E12" s="8"/>
      <c r="F12" s="58">
        <v>611100</v>
      </c>
      <c r="G12" s="69"/>
      <c r="H12" s="8" t="s">
        <v>68</v>
      </c>
      <c r="I12" s="107">
        <f>843000+730+5000+48060</f>
        <v>896790</v>
      </c>
      <c r="J12" s="31">
        <v>0</v>
      </c>
      <c r="K12" s="163">
        <f>SUM(I12:J12)</f>
        <v>896790</v>
      </c>
      <c r="L12" s="107"/>
      <c r="M12" s="31"/>
      <c r="N12" s="203">
        <f>SUM(L12:M12)</f>
        <v>0</v>
      </c>
      <c r="O12" s="224">
        <f t="shared" ref="O12:O39" si="1">IF(K12=0,"",N12/K12*100)</f>
        <v>0</v>
      </c>
      <c r="P12" s="19"/>
      <c r="Q12" s="20"/>
      <c r="R12" s="20"/>
    </row>
    <row r="13" spans="2:18" ht="14.25" x14ac:dyDescent="0.2">
      <c r="B13" s="50"/>
      <c r="C13" s="8"/>
      <c r="D13" s="8"/>
      <c r="E13" s="8"/>
      <c r="F13" s="58">
        <v>611200</v>
      </c>
      <c r="G13" s="69"/>
      <c r="H13" s="8" t="s">
        <v>69</v>
      </c>
      <c r="I13" s="107">
        <f>160670+1620+21420+12750</f>
        <v>196460</v>
      </c>
      <c r="J13" s="31">
        <v>0</v>
      </c>
      <c r="K13" s="163">
        <f t="shared" ref="K13" si="2">SUM(I13:J13)</f>
        <v>196460</v>
      </c>
      <c r="L13" s="107"/>
      <c r="M13" s="31"/>
      <c r="N13" s="203">
        <f t="shared" ref="N13" si="3">SUM(L13:M13)</f>
        <v>0</v>
      </c>
      <c r="O13" s="224">
        <f t="shared" si="1"/>
        <v>0</v>
      </c>
      <c r="P13" s="19"/>
    </row>
    <row r="14" spans="2:18" ht="14.25" x14ac:dyDescent="0.2">
      <c r="B14" s="50"/>
      <c r="C14" s="8"/>
      <c r="D14" s="8"/>
      <c r="E14" s="8"/>
      <c r="F14" s="58"/>
      <c r="G14" s="69"/>
      <c r="H14" s="30"/>
      <c r="I14" s="107"/>
      <c r="J14" s="31"/>
      <c r="K14" s="163"/>
      <c r="L14" s="107"/>
      <c r="M14" s="31"/>
      <c r="N14" s="203"/>
      <c r="O14" s="224" t="str">
        <f t="shared" si="1"/>
        <v/>
      </c>
      <c r="P14" s="19"/>
    </row>
    <row r="15" spans="2:18" ht="15" x14ac:dyDescent="0.25">
      <c r="B15" s="51"/>
      <c r="C15" s="4"/>
      <c r="D15" s="4"/>
      <c r="E15" s="4"/>
      <c r="F15" s="57">
        <v>612000</v>
      </c>
      <c r="G15" s="68"/>
      <c r="H15" s="4" t="s">
        <v>56</v>
      </c>
      <c r="I15" s="106">
        <f t="shared" ref="I15" si="4">I16+I17</f>
        <v>46990</v>
      </c>
      <c r="J15" s="32">
        <f t="shared" ref="J15:N15" si="5">J16+J17</f>
        <v>0</v>
      </c>
      <c r="K15" s="162">
        <f t="shared" si="5"/>
        <v>46990</v>
      </c>
      <c r="L15" s="106">
        <f t="shared" si="5"/>
        <v>0</v>
      </c>
      <c r="M15" s="32">
        <f t="shared" si="5"/>
        <v>0</v>
      </c>
      <c r="N15" s="202">
        <f t="shared" si="5"/>
        <v>0</v>
      </c>
      <c r="O15" s="228">
        <f t="shared" si="1"/>
        <v>0</v>
      </c>
      <c r="P15" s="19"/>
    </row>
    <row r="16" spans="2:18" s="22" customFormat="1" ht="14.25" x14ac:dyDescent="0.2">
      <c r="B16" s="50"/>
      <c r="C16" s="8"/>
      <c r="D16" s="8"/>
      <c r="E16" s="8"/>
      <c r="F16" s="58">
        <v>612100</v>
      </c>
      <c r="G16" s="69"/>
      <c r="H16" s="5" t="s">
        <v>5</v>
      </c>
      <c r="I16" s="107">
        <f>44100+120+250+2520</f>
        <v>46990</v>
      </c>
      <c r="J16" s="31">
        <v>0</v>
      </c>
      <c r="K16" s="163">
        <f>SUM(I16:J16)</f>
        <v>46990</v>
      </c>
      <c r="L16" s="107"/>
      <c r="M16" s="31"/>
      <c r="N16" s="203">
        <f>SUM(L16:M16)</f>
        <v>0</v>
      </c>
      <c r="O16" s="231">
        <f t="shared" si="1"/>
        <v>0</v>
      </c>
      <c r="P16" s="19"/>
    </row>
    <row r="17" spans="2:16" ht="14.25" x14ac:dyDescent="0.2">
      <c r="B17" s="50"/>
      <c r="C17" s="8"/>
      <c r="D17" s="8"/>
      <c r="E17" s="8"/>
      <c r="F17" s="58"/>
      <c r="G17" s="69"/>
      <c r="H17" s="8"/>
      <c r="I17" s="108"/>
      <c r="J17" s="46"/>
      <c r="K17" s="164"/>
      <c r="L17" s="108"/>
      <c r="M17" s="46"/>
      <c r="N17" s="204"/>
      <c r="O17" s="224" t="str">
        <f t="shared" si="1"/>
        <v/>
      </c>
      <c r="P17" s="19"/>
    </row>
    <row r="18" spans="2:16" ht="15" x14ac:dyDescent="0.25">
      <c r="B18" s="51"/>
      <c r="C18" s="4"/>
      <c r="D18" s="4"/>
      <c r="E18" s="4"/>
      <c r="F18" s="57">
        <v>613000</v>
      </c>
      <c r="G18" s="68"/>
      <c r="H18" s="4" t="s">
        <v>58</v>
      </c>
      <c r="I18" s="109">
        <f>SUM(I19:I27)</f>
        <v>479820</v>
      </c>
      <c r="J18" s="55">
        <f t="shared" ref="J18:N18" si="6">SUM(J19:J27)</f>
        <v>0</v>
      </c>
      <c r="K18" s="165">
        <f t="shared" si="6"/>
        <v>479820</v>
      </c>
      <c r="L18" s="109">
        <f t="shared" si="6"/>
        <v>0</v>
      </c>
      <c r="M18" s="55">
        <f t="shared" si="6"/>
        <v>0</v>
      </c>
      <c r="N18" s="205">
        <f t="shared" si="6"/>
        <v>0</v>
      </c>
      <c r="O18" s="228">
        <f t="shared" si="1"/>
        <v>0</v>
      </c>
      <c r="P18" s="19"/>
    </row>
    <row r="19" spans="2:16" s="22" customFormat="1" ht="14.25" x14ac:dyDescent="0.2">
      <c r="B19" s="50"/>
      <c r="C19" s="8"/>
      <c r="D19" s="8"/>
      <c r="E19" s="8"/>
      <c r="F19" s="58">
        <v>613100</v>
      </c>
      <c r="G19" s="69"/>
      <c r="H19" s="8" t="s">
        <v>6</v>
      </c>
      <c r="I19" s="99">
        <v>7000</v>
      </c>
      <c r="J19" s="82">
        <v>0</v>
      </c>
      <c r="K19" s="163">
        <f t="shared" ref="K19:K27" si="7">SUM(I19:J19)</f>
        <v>7000</v>
      </c>
      <c r="L19" s="99"/>
      <c r="M19" s="82"/>
      <c r="N19" s="203">
        <f t="shared" ref="N19:N27" si="8">SUM(L19:M19)</f>
        <v>0</v>
      </c>
      <c r="O19" s="231">
        <f t="shared" si="1"/>
        <v>0</v>
      </c>
      <c r="P19" s="19"/>
    </row>
    <row r="20" spans="2:16" ht="14.25" x14ac:dyDescent="0.2">
      <c r="B20" s="50"/>
      <c r="C20" s="8"/>
      <c r="D20" s="8"/>
      <c r="E20" s="8"/>
      <c r="F20" s="58">
        <v>613200</v>
      </c>
      <c r="G20" s="69"/>
      <c r="H20" s="8" t="s">
        <v>7</v>
      </c>
      <c r="I20" s="99">
        <v>8500</v>
      </c>
      <c r="J20" s="82">
        <v>0</v>
      </c>
      <c r="K20" s="163">
        <f t="shared" si="7"/>
        <v>8500</v>
      </c>
      <c r="L20" s="99"/>
      <c r="M20" s="82"/>
      <c r="N20" s="203">
        <f t="shared" si="8"/>
        <v>0</v>
      </c>
      <c r="O20" s="224">
        <f t="shared" si="1"/>
        <v>0</v>
      </c>
      <c r="P20" s="19"/>
    </row>
    <row r="21" spans="2:16" ht="14.25" x14ac:dyDescent="0.2">
      <c r="B21" s="50"/>
      <c r="C21" s="8"/>
      <c r="D21" s="8"/>
      <c r="E21" s="8"/>
      <c r="F21" s="58">
        <v>613300</v>
      </c>
      <c r="G21" s="69"/>
      <c r="H21" s="8" t="s">
        <v>70</v>
      </c>
      <c r="I21" s="99">
        <v>9000</v>
      </c>
      <c r="J21" s="82">
        <v>0</v>
      </c>
      <c r="K21" s="163">
        <f t="shared" si="7"/>
        <v>9000</v>
      </c>
      <c r="L21" s="99"/>
      <c r="M21" s="82"/>
      <c r="N21" s="203">
        <f t="shared" si="8"/>
        <v>0</v>
      </c>
      <c r="O21" s="224">
        <f t="shared" si="1"/>
        <v>0</v>
      </c>
      <c r="P21" s="19"/>
    </row>
    <row r="22" spans="2:16" ht="14.25" x14ac:dyDescent="0.2">
      <c r="B22" s="50"/>
      <c r="C22" s="8"/>
      <c r="D22" s="8"/>
      <c r="E22" s="8"/>
      <c r="F22" s="58">
        <v>613400</v>
      </c>
      <c r="G22" s="69"/>
      <c r="H22" s="8" t="s">
        <v>59</v>
      </c>
      <c r="I22" s="99">
        <v>6500</v>
      </c>
      <c r="J22" s="82">
        <v>0</v>
      </c>
      <c r="K22" s="163">
        <f t="shared" si="7"/>
        <v>6500</v>
      </c>
      <c r="L22" s="99"/>
      <c r="M22" s="82"/>
      <c r="N22" s="203">
        <f t="shared" si="8"/>
        <v>0</v>
      </c>
      <c r="O22" s="224">
        <f t="shared" si="1"/>
        <v>0</v>
      </c>
      <c r="P22" s="19"/>
    </row>
    <row r="23" spans="2:16" ht="14.25" x14ac:dyDescent="0.2">
      <c r="B23" s="50"/>
      <c r="C23" s="8"/>
      <c r="D23" s="8"/>
      <c r="E23" s="8"/>
      <c r="F23" s="58">
        <v>613500</v>
      </c>
      <c r="G23" s="69"/>
      <c r="H23" s="8" t="s">
        <v>8</v>
      </c>
      <c r="I23" s="99">
        <v>12000</v>
      </c>
      <c r="J23" s="82">
        <v>0</v>
      </c>
      <c r="K23" s="163">
        <f t="shared" si="7"/>
        <v>12000</v>
      </c>
      <c r="L23" s="99"/>
      <c r="M23" s="82"/>
      <c r="N23" s="203">
        <f t="shared" si="8"/>
        <v>0</v>
      </c>
      <c r="O23" s="224">
        <f t="shared" si="1"/>
        <v>0</v>
      </c>
      <c r="P23" s="19"/>
    </row>
    <row r="24" spans="2:16" ht="14.25" x14ac:dyDescent="0.2">
      <c r="B24" s="50"/>
      <c r="C24" s="8"/>
      <c r="D24" s="8"/>
      <c r="E24" s="8"/>
      <c r="F24" s="58">
        <v>613600</v>
      </c>
      <c r="G24" s="69"/>
      <c r="H24" s="8" t="s">
        <v>71</v>
      </c>
      <c r="I24" s="99">
        <v>0</v>
      </c>
      <c r="J24" s="82">
        <v>0</v>
      </c>
      <c r="K24" s="163">
        <f t="shared" si="7"/>
        <v>0</v>
      </c>
      <c r="L24" s="99"/>
      <c r="M24" s="82"/>
      <c r="N24" s="203">
        <f t="shared" si="8"/>
        <v>0</v>
      </c>
      <c r="O24" s="224" t="str">
        <f t="shared" si="1"/>
        <v/>
      </c>
      <c r="P24" s="19"/>
    </row>
    <row r="25" spans="2:16" ht="14.25" x14ac:dyDescent="0.2">
      <c r="B25" s="50"/>
      <c r="C25" s="8"/>
      <c r="D25" s="8"/>
      <c r="E25" s="8"/>
      <c r="F25" s="58">
        <v>613700</v>
      </c>
      <c r="G25" s="69"/>
      <c r="H25" s="8" t="s">
        <v>9</v>
      </c>
      <c r="I25" s="99">
        <v>8000</v>
      </c>
      <c r="J25" s="82">
        <v>0</v>
      </c>
      <c r="K25" s="163">
        <f t="shared" si="7"/>
        <v>8000</v>
      </c>
      <c r="L25" s="99"/>
      <c r="M25" s="82"/>
      <c r="N25" s="203">
        <f t="shared" si="8"/>
        <v>0</v>
      </c>
      <c r="O25" s="224">
        <f t="shared" si="1"/>
        <v>0</v>
      </c>
      <c r="P25" s="19"/>
    </row>
    <row r="26" spans="2:16" ht="14.25" x14ac:dyDescent="0.2">
      <c r="B26" s="50"/>
      <c r="C26" s="8"/>
      <c r="D26" s="8"/>
      <c r="E26" s="8"/>
      <c r="F26" s="58">
        <v>613800</v>
      </c>
      <c r="G26" s="69"/>
      <c r="H26" s="8" t="s">
        <v>60</v>
      </c>
      <c r="I26" s="99">
        <v>3820</v>
      </c>
      <c r="J26" s="82">
        <v>0</v>
      </c>
      <c r="K26" s="163">
        <f t="shared" si="7"/>
        <v>3820</v>
      </c>
      <c r="L26" s="99"/>
      <c r="M26" s="82"/>
      <c r="N26" s="203">
        <f t="shared" si="8"/>
        <v>0</v>
      </c>
      <c r="O26" s="224">
        <f t="shared" si="1"/>
        <v>0</v>
      </c>
      <c r="P26" s="19"/>
    </row>
    <row r="27" spans="2:16" ht="14.25" x14ac:dyDescent="0.2">
      <c r="B27" s="50"/>
      <c r="C27" s="8"/>
      <c r="D27" s="8"/>
      <c r="E27" s="8"/>
      <c r="F27" s="58">
        <v>613900</v>
      </c>
      <c r="G27" s="69"/>
      <c r="H27" s="8" t="s">
        <v>61</v>
      </c>
      <c r="I27" s="99">
        <v>425000</v>
      </c>
      <c r="J27" s="82">
        <v>0</v>
      </c>
      <c r="K27" s="163">
        <f t="shared" si="7"/>
        <v>425000</v>
      </c>
      <c r="L27" s="99"/>
      <c r="M27" s="82"/>
      <c r="N27" s="203">
        <f t="shared" si="8"/>
        <v>0</v>
      </c>
      <c r="O27" s="225">
        <f t="shared" si="1"/>
        <v>0</v>
      </c>
      <c r="P27" s="19"/>
    </row>
    <row r="28" spans="2:16" ht="14.25" x14ac:dyDescent="0.2">
      <c r="B28" s="50"/>
      <c r="C28" s="8"/>
      <c r="D28" s="8"/>
      <c r="E28" s="8"/>
      <c r="F28" s="58"/>
      <c r="G28" s="69"/>
      <c r="H28" s="8"/>
      <c r="I28" s="108"/>
      <c r="J28" s="46"/>
      <c r="K28" s="164"/>
      <c r="L28" s="108"/>
      <c r="M28" s="46"/>
      <c r="N28" s="204"/>
      <c r="O28" s="224" t="str">
        <f t="shared" si="1"/>
        <v/>
      </c>
      <c r="P28" s="19"/>
    </row>
    <row r="29" spans="2:16" ht="15" x14ac:dyDescent="0.25">
      <c r="B29" s="51"/>
      <c r="C29" s="4"/>
      <c r="D29" s="4"/>
      <c r="E29" s="4"/>
      <c r="F29" s="57">
        <v>821000</v>
      </c>
      <c r="G29" s="68"/>
      <c r="H29" s="4" t="s">
        <v>12</v>
      </c>
      <c r="I29" s="110">
        <f t="shared" ref="I29" si="9">SUM(I30:I32)</f>
        <v>50000</v>
      </c>
      <c r="J29" s="52">
        <f t="shared" ref="J29:N29" si="10">SUM(J30:J32)</f>
        <v>0</v>
      </c>
      <c r="K29" s="165">
        <f t="shared" si="10"/>
        <v>50000</v>
      </c>
      <c r="L29" s="110">
        <f t="shared" si="10"/>
        <v>0</v>
      </c>
      <c r="M29" s="52">
        <f t="shared" si="10"/>
        <v>0</v>
      </c>
      <c r="N29" s="205">
        <f t="shared" si="10"/>
        <v>0</v>
      </c>
      <c r="O29" s="228">
        <f t="shared" si="1"/>
        <v>0</v>
      </c>
      <c r="P29" s="19"/>
    </row>
    <row r="30" spans="2:16" s="22" customFormat="1" ht="14.25" x14ac:dyDescent="0.2">
      <c r="B30" s="50"/>
      <c r="C30" s="8"/>
      <c r="D30" s="8"/>
      <c r="E30" s="8"/>
      <c r="F30" s="58">
        <v>821200</v>
      </c>
      <c r="G30" s="69"/>
      <c r="H30" s="8" t="s">
        <v>13</v>
      </c>
      <c r="I30" s="108">
        <v>0</v>
      </c>
      <c r="J30" s="46">
        <v>0</v>
      </c>
      <c r="K30" s="163">
        <f t="shared" ref="K30:K32" si="11">SUM(I30:J30)</f>
        <v>0</v>
      </c>
      <c r="L30" s="108"/>
      <c r="M30" s="46"/>
      <c r="N30" s="203">
        <f t="shared" ref="N30:N32" si="12">SUM(L30:M30)</f>
        <v>0</v>
      </c>
      <c r="O30" s="223" t="str">
        <f t="shared" si="1"/>
        <v/>
      </c>
      <c r="P30" s="19"/>
    </row>
    <row r="31" spans="2:16" ht="14.25" x14ac:dyDescent="0.2">
      <c r="B31" s="50"/>
      <c r="C31" s="8"/>
      <c r="D31" s="8"/>
      <c r="E31" s="8"/>
      <c r="F31" s="58">
        <v>821300</v>
      </c>
      <c r="G31" s="69"/>
      <c r="H31" s="8" t="s">
        <v>14</v>
      </c>
      <c r="I31" s="108">
        <v>45000</v>
      </c>
      <c r="J31" s="46">
        <v>0</v>
      </c>
      <c r="K31" s="163">
        <f t="shared" si="11"/>
        <v>45000</v>
      </c>
      <c r="L31" s="108"/>
      <c r="M31" s="46"/>
      <c r="N31" s="203">
        <f t="shared" si="12"/>
        <v>0</v>
      </c>
      <c r="O31" s="224">
        <f t="shared" si="1"/>
        <v>0</v>
      </c>
      <c r="P31" s="19"/>
    </row>
    <row r="32" spans="2:16" ht="14.25" x14ac:dyDescent="0.2">
      <c r="B32" s="50"/>
      <c r="C32" s="8"/>
      <c r="D32" s="8"/>
      <c r="E32" s="8"/>
      <c r="F32" s="58">
        <v>821500</v>
      </c>
      <c r="G32" s="69"/>
      <c r="H32" s="197" t="s">
        <v>82</v>
      </c>
      <c r="I32" s="108">
        <v>5000</v>
      </c>
      <c r="J32" s="46">
        <v>0</v>
      </c>
      <c r="K32" s="163">
        <f t="shared" si="11"/>
        <v>5000</v>
      </c>
      <c r="L32" s="108"/>
      <c r="M32" s="46"/>
      <c r="N32" s="203">
        <f t="shared" si="12"/>
        <v>0</v>
      </c>
      <c r="O32" s="224">
        <f t="shared" si="1"/>
        <v>0</v>
      </c>
      <c r="P32" s="19"/>
    </row>
    <row r="33" spans="2:16" ht="14.25" x14ac:dyDescent="0.2">
      <c r="B33" s="50"/>
      <c r="C33" s="8"/>
      <c r="D33" s="8"/>
      <c r="E33" s="8"/>
      <c r="F33" s="58"/>
      <c r="G33" s="69"/>
      <c r="H33" s="8"/>
      <c r="I33" s="108"/>
      <c r="J33" s="46"/>
      <c r="K33" s="164"/>
      <c r="L33" s="108"/>
      <c r="M33" s="46"/>
      <c r="N33" s="204"/>
      <c r="O33" s="224" t="str">
        <f t="shared" si="1"/>
        <v/>
      </c>
      <c r="P33" s="19"/>
    </row>
    <row r="34" spans="2:16" ht="15" x14ac:dyDescent="0.25">
      <c r="B34" s="51"/>
      <c r="C34" s="4"/>
      <c r="D34" s="4"/>
      <c r="E34" s="4"/>
      <c r="F34" s="57"/>
      <c r="G34" s="68"/>
      <c r="H34" s="4" t="s">
        <v>15</v>
      </c>
      <c r="I34" s="111">
        <v>23</v>
      </c>
      <c r="J34" s="47"/>
      <c r="K34" s="166">
        <v>23</v>
      </c>
      <c r="L34" s="111"/>
      <c r="M34" s="47"/>
      <c r="N34" s="206"/>
      <c r="O34" s="224"/>
      <c r="P34" s="19"/>
    </row>
    <row r="35" spans="2:16" s="22" customFormat="1" ht="15" x14ac:dyDescent="0.25">
      <c r="B35" s="51"/>
      <c r="C35" s="4"/>
      <c r="D35" s="4"/>
      <c r="E35" s="4"/>
      <c r="F35" s="57"/>
      <c r="G35" s="68"/>
      <c r="H35" s="4" t="s">
        <v>24</v>
      </c>
      <c r="I35" s="110">
        <f t="shared" ref="I35:N35" si="13">I11+I15+I18+I29</f>
        <v>1670060</v>
      </c>
      <c r="J35" s="52">
        <f t="shared" si="13"/>
        <v>0</v>
      </c>
      <c r="K35" s="165">
        <f t="shared" si="13"/>
        <v>1670060</v>
      </c>
      <c r="L35" s="110">
        <f t="shared" si="13"/>
        <v>0</v>
      </c>
      <c r="M35" s="52">
        <f t="shared" si="13"/>
        <v>0</v>
      </c>
      <c r="N35" s="205">
        <f t="shared" si="13"/>
        <v>0</v>
      </c>
      <c r="O35" s="223">
        <f t="shared" si="1"/>
        <v>0</v>
      </c>
      <c r="P35" s="19"/>
    </row>
    <row r="36" spans="2:16" s="22" customFormat="1" ht="15" x14ac:dyDescent="0.25">
      <c r="B36" s="51"/>
      <c r="C36" s="4"/>
      <c r="D36" s="4"/>
      <c r="E36" s="4"/>
      <c r="F36" s="57"/>
      <c r="G36" s="68"/>
      <c r="H36" s="4" t="s">
        <v>16</v>
      </c>
      <c r="I36" s="110">
        <f t="shared" ref="I36:I37" si="14">I35</f>
        <v>1670060</v>
      </c>
      <c r="J36" s="52">
        <f>J35</f>
        <v>0</v>
      </c>
      <c r="K36" s="165">
        <f>K35</f>
        <v>1670060</v>
      </c>
      <c r="L36" s="110">
        <f t="shared" ref="L36:L37" si="15">L35</f>
        <v>0</v>
      </c>
      <c r="M36" s="52">
        <f>M35</f>
        <v>0</v>
      </c>
      <c r="N36" s="205">
        <f>N35</f>
        <v>0</v>
      </c>
      <c r="O36" s="223">
        <f t="shared" si="1"/>
        <v>0</v>
      </c>
    </row>
    <row r="37" spans="2:16" s="22" customFormat="1" ht="15" x14ac:dyDescent="0.25">
      <c r="B37" s="51"/>
      <c r="C37" s="4"/>
      <c r="D37" s="4"/>
      <c r="E37" s="4"/>
      <c r="F37" s="57"/>
      <c r="G37" s="68"/>
      <c r="H37" s="4" t="s">
        <v>17</v>
      </c>
      <c r="I37" s="110">
        <f t="shared" si="14"/>
        <v>1670060</v>
      </c>
      <c r="J37" s="52">
        <f>J36</f>
        <v>0</v>
      </c>
      <c r="K37" s="165">
        <f>K36</f>
        <v>1670060</v>
      </c>
      <c r="L37" s="110">
        <f t="shared" si="15"/>
        <v>0</v>
      </c>
      <c r="M37" s="52">
        <f>M36</f>
        <v>0</v>
      </c>
      <c r="N37" s="205">
        <f>N36</f>
        <v>0</v>
      </c>
      <c r="O37" s="223">
        <f t="shared" si="1"/>
        <v>0</v>
      </c>
    </row>
    <row r="38" spans="2:16" s="22" customFormat="1" ht="15" thickBot="1" x14ac:dyDescent="0.25">
      <c r="B38" s="6"/>
      <c r="C38" s="7"/>
      <c r="D38" s="7"/>
      <c r="E38" s="7"/>
      <c r="F38" s="59"/>
      <c r="G38" s="70"/>
      <c r="H38" s="7"/>
      <c r="I38" s="112"/>
      <c r="J38" s="13"/>
      <c r="K38" s="167"/>
      <c r="L38" s="183"/>
      <c r="M38" s="13"/>
      <c r="N38" s="207"/>
      <c r="O38" s="226" t="str">
        <f t="shared" si="1"/>
        <v/>
      </c>
    </row>
    <row r="39" spans="2:16" ht="14.25" x14ac:dyDescent="0.2">
      <c r="F39" s="60"/>
      <c r="G39" s="71"/>
      <c r="K39" s="91"/>
      <c r="N39" s="91"/>
      <c r="O39" s="233" t="str">
        <f t="shared" si="1"/>
        <v/>
      </c>
    </row>
    <row r="40" spans="2:16" ht="14.25" x14ac:dyDescent="0.2">
      <c r="F40" s="60"/>
      <c r="G40" s="71"/>
      <c r="I40" s="20"/>
      <c r="J40" s="20"/>
      <c r="K40" s="92"/>
      <c r="L40" s="20"/>
      <c r="M40" s="20"/>
      <c r="N40" s="92"/>
    </row>
  </sheetData>
  <mergeCells count="14">
    <mergeCell ref="H7:H8"/>
    <mergeCell ref="I7:K7"/>
    <mergeCell ref="L7:N7"/>
    <mergeCell ref="O7:O8"/>
    <mergeCell ref="B1:N1"/>
    <mergeCell ref="F3:K3"/>
    <mergeCell ref="D5:E5"/>
    <mergeCell ref="H6:I6"/>
    <mergeCell ref="B7:B8"/>
    <mergeCell ref="C7:C8"/>
    <mergeCell ref="D7:D8"/>
    <mergeCell ref="E7:E8"/>
    <mergeCell ref="F7:F8"/>
    <mergeCell ref="G7:G8"/>
  </mergeCells>
  <pageMargins left="0.43307086614173229" right="0.35433070866141736" top="0.35433070866141736" bottom="0.3937007874015748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/>
  <dimension ref="B1:O206"/>
  <sheetViews>
    <sheetView topLeftCell="H184" zoomScaleNormal="100" workbookViewId="0">
      <selection activeCell="J190" sqref="J190"/>
    </sheetView>
  </sheetViews>
  <sheetFormatPr defaultColWidth="9.140625" defaultRowHeight="12.75" x14ac:dyDescent="0.2"/>
  <cols>
    <col min="1" max="1" width="6.140625" style="17" customWidth="1"/>
    <col min="2" max="2" width="4.7109375" style="17" customWidth="1"/>
    <col min="3" max="3" width="5.140625" style="17" customWidth="1"/>
    <col min="4" max="5" width="5" style="17" customWidth="1"/>
    <col min="6" max="7" width="8.7109375" style="53" customWidth="1"/>
    <col min="8" max="8" width="50.7109375" style="17" customWidth="1"/>
    <col min="9" max="9" width="11.7109375" style="17" customWidth="1"/>
    <col min="10" max="10" width="11.85546875" style="17" customWidth="1"/>
    <col min="11" max="11" width="13.5703125" style="17" customWidth="1"/>
    <col min="12" max="13" width="14.7109375" style="17" customWidth="1"/>
    <col min="14" max="14" width="15.7109375" style="17" customWidth="1"/>
    <col min="15" max="15" width="9.140625" style="17"/>
    <col min="16" max="16" width="9.5703125" style="17" bestFit="1" customWidth="1"/>
    <col min="17" max="16384" width="9.140625" style="17"/>
  </cols>
  <sheetData>
    <row r="1" spans="2:15" ht="15.75" x14ac:dyDescent="0.25">
      <c r="B1" s="428" t="s">
        <v>374</v>
      </c>
      <c r="C1" s="429"/>
      <c r="D1" s="429"/>
      <c r="E1" s="429"/>
      <c r="F1" s="429"/>
      <c r="G1" s="429"/>
      <c r="H1" s="429"/>
      <c r="I1" s="430"/>
      <c r="J1" s="430"/>
      <c r="K1" s="430"/>
      <c r="L1" s="430"/>
      <c r="M1" s="430"/>
      <c r="N1" s="430"/>
    </row>
    <row r="2" spans="2:15" x14ac:dyDescent="0.2">
      <c r="M2" s="126" t="s">
        <v>232</v>
      </c>
      <c r="N2" s="196"/>
    </row>
    <row r="3" spans="2:15" ht="15.75" x14ac:dyDescent="0.25">
      <c r="B3" s="180" t="s">
        <v>173</v>
      </c>
      <c r="F3" s="431" t="s">
        <v>28</v>
      </c>
      <c r="G3" s="432"/>
      <c r="H3" s="432"/>
      <c r="I3" s="432"/>
      <c r="J3" s="432"/>
      <c r="K3" s="432"/>
    </row>
    <row r="4" spans="2:15" x14ac:dyDescent="0.2">
      <c r="B4" s="180"/>
      <c r="G4"/>
      <c r="H4"/>
      <c r="I4"/>
      <c r="J4"/>
      <c r="K4"/>
    </row>
    <row r="5" spans="2:15" ht="15.75" x14ac:dyDescent="0.25">
      <c r="B5" s="180" t="s">
        <v>172</v>
      </c>
      <c r="D5" s="433">
        <v>11</v>
      </c>
      <c r="E5" s="434"/>
      <c r="F5" s="181"/>
      <c r="G5" s="181"/>
      <c r="I5" s="180"/>
      <c r="L5" s="411"/>
    </row>
    <row r="6" spans="2:15" s="22" customFormat="1" ht="16.5" thickBot="1" x14ac:dyDescent="0.3">
      <c r="F6" s="48"/>
      <c r="G6" s="48"/>
      <c r="H6" s="435"/>
      <c r="I6" s="435"/>
      <c r="J6" s="26"/>
      <c r="K6" s="26"/>
      <c r="L6" s="26"/>
      <c r="M6" s="26"/>
      <c r="N6" s="26"/>
    </row>
    <row r="7" spans="2:15" s="22" customFormat="1" ht="32.25" customHeight="1" x14ac:dyDescent="0.2">
      <c r="B7" s="436" t="s">
        <v>0</v>
      </c>
      <c r="C7" s="438" t="s">
        <v>1</v>
      </c>
      <c r="D7" s="438" t="s">
        <v>21</v>
      </c>
      <c r="E7" s="438" t="s">
        <v>135</v>
      </c>
      <c r="F7" s="421" t="s">
        <v>85</v>
      </c>
      <c r="G7" s="440" t="s">
        <v>88</v>
      </c>
      <c r="H7" s="421" t="s">
        <v>2</v>
      </c>
      <c r="I7" s="423" t="s">
        <v>375</v>
      </c>
      <c r="J7" s="424"/>
      <c r="K7" s="425"/>
      <c r="L7" s="423" t="s">
        <v>373</v>
      </c>
      <c r="M7" s="424"/>
      <c r="N7" s="424"/>
      <c r="O7" s="426" t="s">
        <v>258</v>
      </c>
    </row>
    <row r="8" spans="2:15" s="22" customFormat="1" ht="25.5" x14ac:dyDescent="0.2">
      <c r="B8" s="437"/>
      <c r="C8" s="439"/>
      <c r="D8" s="439"/>
      <c r="E8" s="439"/>
      <c r="F8" s="422"/>
      <c r="G8" s="439"/>
      <c r="H8" s="422"/>
      <c r="I8" s="105" t="s">
        <v>117</v>
      </c>
      <c r="J8" s="85" t="s">
        <v>118</v>
      </c>
      <c r="K8" s="159" t="s">
        <v>81</v>
      </c>
      <c r="L8" s="105" t="s">
        <v>117</v>
      </c>
      <c r="M8" s="85" t="s">
        <v>118</v>
      </c>
      <c r="N8" s="200" t="s">
        <v>81</v>
      </c>
      <c r="O8" s="427"/>
    </row>
    <row r="9" spans="2:15" s="48" customFormat="1" x14ac:dyDescent="0.2">
      <c r="B9" s="97">
        <v>1</v>
      </c>
      <c r="C9" s="68">
        <v>2</v>
      </c>
      <c r="D9" s="68">
        <v>3</v>
      </c>
      <c r="E9" s="68">
        <v>4</v>
      </c>
      <c r="F9" s="68">
        <v>5</v>
      </c>
      <c r="G9" s="68">
        <v>6</v>
      </c>
      <c r="H9" s="68">
        <v>7</v>
      </c>
      <c r="I9" s="97">
        <v>8</v>
      </c>
      <c r="J9" s="68">
        <v>9</v>
      </c>
      <c r="K9" s="160" t="s">
        <v>171</v>
      </c>
      <c r="L9" s="97">
        <v>11</v>
      </c>
      <c r="M9" s="68">
        <v>12</v>
      </c>
      <c r="N9" s="68" t="s">
        <v>394</v>
      </c>
      <c r="O9" s="232" t="s">
        <v>395</v>
      </c>
    </row>
    <row r="10" spans="2:15" ht="15" x14ac:dyDescent="0.25">
      <c r="B10" s="2" t="s">
        <v>29</v>
      </c>
      <c r="C10" s="3" t="s">
        <v>3</v>
      </c>
      <c r="D10" s="3" t="s">
        <v>4</v>
      </c>
      <c r="E10" s="136" t="s">
        <v>136</v>
      </c>
      <c r="F10" s="49"/>
      <c r="G10" s="49"/>
      <c r="H10" s="142" t="s">
        <v>28</v>
      </c>
      <c r="I10" s="1"/>
      <c r="J10" s="56"/>
      <c r="K10" s="171"/>
      <c r="L10" s="1"/>
      <c r="M10" s="56"/>
      <c r="N10" s="209"/>
      <c r="O10" s="224" t="str">
        <f t="shared" ref="O10:O41" si="0">IF(K10=0,"",N10/K10*100)</f>
        <v/>
      </c>
    </row>
    <row r="11" spans="2:15" ht="15" x14ac:dyDescent="0.25">
      <c r="B11" s="2"/>
      <c r="C11" s="3"/>
      <c r="D11" s="3"/>
      <c r="E11" s="3"/>
      <c r="F11" s="57">
        <v>600000</v>
      </c>
      <c r="G11" s="68"/>
      <c r="H11" s="142" t="s">
        <v>30</v>
      </c>
      <c r="I11" s="111">
        <f t="shared" ref="I11" si="1">I12+I13+I14</f>
        <v>710000</v>
      </c>
      <c r="J11" s="42">
        <f>J12+J13+J14</f>
        <v>0</v>
      </c>
      <c r="K11" s="172">
        <f>K12+K13+K14</f>
        <v>710000</v>
      </c>
      <c r="L11" s="111">
        <f t="shared" ref="L11" si="2">L12+L13+L14</f>
        <v>0</v>
      </c>
      <c r="M11" s="42">
        <f>M12+M13+M14</f>
        <v>0</v>
      </c>
      <c r="N11" s="210">
        <f>N12+N13+N14</f>
        <v>0</v>
      </c>
      <c r="O11" s="228">
        <f t="shared" si="0"/>
        <v>0</v>
      </c>
    </row>
    <row r="12" spans="2:15" ht="14.25" x14ac:dyDescent="0.2">
      <c r="B12" s="2"/>
      <c r="C12" s="3"/>
      <c r="D12" s="3"/>
      <c r="E12" s="3"/>
      <c r="F12" s="58">
        <v>600000</v>
      </c>
      <c r="G12" s="69"/>
      <c r="H12" s="143" t="s">
        <v>18</v>
      </c>
      <c r="I12" s="108">
        <f>500000+250000-100000</f>
        <v>650000</v>
      </c>
      <c r="J12" s="39">
        <v>0</v>
      </c>
      <c r="K12" s="173">
        <f t="shared" ref="K12:K14" si="3">SUM(I12:J12)</f>
        <v>650000</v>
      </c>
      <c r="L12" s="108"/>
      <c r="M12" s="39"/>
      <c r="N12" s="211">
        <f t="shared" ref="N12:N14" si="4">SUM(L12:M12)</f>
        <v>0</v>
      </c>
      <c r="O12" s="224">
        <f t="shared" si="0"/>
        <v>0</v>
      </c>
    </row>
    <row r="13" spans="2:15" ht="14.25" x14ac:dyDescent="0.2">
      <c r="B13" s="2"/>
      <c r="C13" s="3"/>
      <c r="D13" s="3"/>
      <c r="E13" s="3"/>
      <c r="F13" s="58">
        <v>600000</v>
      </c>
      <c r="G13" s="69"/>
      <c r="H13" s="143" t="s">
        <v>19</v>
      </c>
      <c r="I13" s="108">
        <v>40000</v>
      </c>
      <c r="J13" s="39">
        <v>0</v>
      </c>
      <c r="K13" s="173">
        <f t="shared" si="3"/>
        <v>40000</v>
      </c>
      <c r="L13" s="108"/>
      <c r="M13" s="39"/>
      <c r="N13" s="211">
        <f t="shared" si="4"/>
        <v>0</v>
      </c>
      <c r="O13" s="224">
        <f t="shared" si="0"/>
        <v>0</v>
      </c>
    </row>
    <row r="14" spans="2:15" ht="14.25" x14ac:dyDescent="0.2">
      <c r="B14" s="2"/>
      <c r="C14" s="3"/>
      <c r="D14" s="3"/>
      <c r="E14" s="3"/>
      <c r="F14" s="58">
        <v>600000</v>
      </c>
      <c r="G14" s="69"/>
      <c r="H14" s="143" t="s">
        <v>31</v>
      </c>
      <c r="I14" s="108">
        <v>20000</v>
      </c>
      <c r="J14" s="39">
        <v>0</v>
      </c>
      <c r="K14" s="173">
        <f t="shared" si="3"/>
        <v>20000</v>
      </c>
      <c r="L14" s="108"/>
      <c r="M14" s="39"/>
      <c r="N14" s="211">
        <f t="shared" si="4"/>
        <v>0</v>
      </c>
      <c r="O14" s="224">
        <f t="shared" si="0"/>
        <v>0</v>
      </c>
    </row>
    <row r="15" spans="2:15" ht="15" x14ac:dyDescent="0.25">
      <c r="B15" s="2"/>
      <c r="C15" s="3"/>
      <c r="D15" s="3"/>
      <c r="E15" s="3"/>
      <c r="F15" s="57"/>
      <c r="G15" s="69"/>
      <c r="H15" s="104"/>
      <c r="I15" s="110"/>
      <c r="J15" s="43"/>
      <c r="K15" s="174"/>
      <c r="L15" s="110"/>
      <c r="M15" s="43"/>
      <c r="N15" s="212"/>
      <c r="O15" s="224" t="str">
        <f t="shared" si="0"/>
        <v/>
      </c>
    </row>
    <row r="16" spans="2:15" ht="15" x14ac:dyDescent="0.25">
      <c r="B16" s="51"/>
      <c r="C16" s="4"/>
      <c r="D16" s="4"/>
      <c r="E16" s="4"/>
      <c r="F16" s="57">
        <v>611000</v>
      </c>
      <c r="G16" s="68"/>
      <c r="H16" s="10" t="s">
        <v>57</v>
      </c>
      <c r="I16" s="106">
        <f t="shared" ref="I16" si="5">SUM(I17:I20)</f>
        <v>328210</v>
      </c>
      <c r="J16" s="35">
        <f>SUM(J17:J20)</f>
        <v>0</v>
      </c>
      <c r="K16" s="175">
        <f>SUM(K17:K20)</f>
        <v>328210</v>
      </c>
      <c r="L16" s="106">
        <f t="shared" ref="L16" si="6">SUM(L17:L20)</f>
        <v>0</v>
      </c>
      <c r="M16" s="35">
        <f>SUM(M17:M20)</f>
        <v>0</v>
      </c>
      <c r="N16" s="213">
        <f>SUM(N17:N20)</f>
        <v>0</v>
      </c>
      <c r="O16" s="228">
        <f t="shared" si="0"/>
        <v>0</v>
      </c>
    </row>
    <row r="17" spans="2:15" ht="14.25" x14ac:dyDescent="0.2">
      <c r="B17" s="50"/>
      <c r="C17" s="8"/>
      <c r="D17" s="8"/>
      <c r="E17" s="8"/>
      <c r="F17" s="58">
        <v>611100</v>
      </c>
      <c r="G17" s="69"/>
      <c r="H17" s="9" t="s">
        <v>68</v>
      </c>
      <c r="I17" s="99">
        <f>248470+16200+1000+9*270+14500</f>
        <v>282600</v>
      </c>
      <c r="J17" s="33">
        <v>0</v>
      </c>
      <c r="K17" s="173">
        <f t="shared" ref="K17:K19" si="7">SUM(I17:J17)</f>
        <v>282600</v>
      </c>
      <c r="L17" s="107"/>
      <c r="M17" s="33"/>
      <c r="N17" s="211">
        <f t="shared" ref="N17:N19" si="8">SUM(L17:M17)</f>
        <v>0</v>
      </c>
      <c r="O17" s="224">
        <f t="shared" si="0"/>
        <v>0</v>
      </c>
    </row>
    <row r="18" spans="2:15" ht="14.25" x14ac:dyDescent="0.2">
      <c r="B18" s="50"/>
      <c r="C18" s="8"/>
      <c r="D18" s="8"/>
      <c r="E18" s="8"/>
      <c r="F18" s="58">
        <v>611200</v>
      </c>
      <c r="G18" s="69"/>
      <c r="H18" s="9" t="s">
        <v>69</v>
      </c>
      <c r="I18" s="99">
        <f>40530+850+4230</f>
        <v>45610</v>
      </c>
      <c r="J18" s="33">
        <v>0</v>
      </c>
      <c r="K18" s="173">
        <f t="shared" si="7"/>
        <v>45610</v>
      </c>
      <c r="L18" s="107"/>
      <c r="M18" s="33"/>
      <c r="N18" s="211">
        <f t="shared" si="8"/>
        <v>0</v>
      </c>
      <c r="O18" s="224">
        <f t="shared" si="0"/>
        <v>0</v>
      </c>
    </row>
    <row r="19" spans="2:15" ht="14.25" x14ac:dyDescent="0.2">
      <c r="B19" s="50"/>
      <c r="C19" s="8"/>
      <c r="D19" s="8"/>
      <c r="E19" s="8"/>
      <c r="F19" s="58">
        <v>611200</v>
      </c>
      <c r="G19" s="69" t="s">
        <v>89</v>
      </c>
      <c r="H19" s="144" t="s">
        <v>356</v>
      </c>
      <c r="I19" s="99">
        <v>0</v>
      </c>
      <c r="J19" s="33">
        <v>0</v>
      </c>
      <c r="K19" s="173">
        <f t="shared" si="7"/>
        <v>0</v>
      </c>
      <c r="L19" s="107"/>
      <c r="M19" s="33"/>
      <c r="N19" s="211">
        <f t="shared" si="8"/>
        <v>0</v>
      </c>
      <c r="O19" s="224" t="str">
        <f t="shared" si="0"/>
        <v/>
      </c>
    </row>
    <row r="20" spans="2:15" ht="15" x14ac:dyDescent="0.25">
      <c r="B20" s="50"/>
      <c r="C20" s="8"/>
      <c r="D20" s="8"/>
      <c r="E20" s="8"/>
      <c r="F20" s="58"/>
      <c r="G20" s="69"/>
      <c r="H20" s="9"/>
      <c r="I20" s="106"/>
      <c r="J20" s="35"/>
      <c r="K20" s="175"/>
      <c r="L20" s="106"/>
      <c r="M20" s="35"/>
      <c r="N20" s="213"/>
      <c r="O20" s="224" t="str">
        <f t="shared" si="0"/>
        <v/>
      </c>
    </row>
    <row r="21" spans="2:15" ht="15" x14ac:dyDescent="0.25">
      <c r="B21" s="51"/>
      <c r="C21" s="4"/>
      <c r="D21" s="4"/>
      <c r="E21" s="4"/>
      <c r="F21" s="57">
        <v>612000</v>
      </c>
      <c r="G21" s="69"/>
      <c r="H21" s="10" t="s">
        <v>56</v>
      </c>
      <c r="I21" s="106">
        <f t="shared" ref="I21" si="9">I22+I23</f>
        <v>14140</v>
      </c>
      <c r="J21" s="35">
        <f>J22+J23</f>
        <v>0</v>
      </c>
      <c r="K21" s="175">
        <f>K22+K23</f>
        <v>14140</v>
      </c>
      <c r="L21" s="106">
        <f t="shared" ref="L21" si="10">L22+L23</f>
        <v>0</v>
      </c>
      <c r="M21" s="35">
        <f>M22+M23</f>
        <v>0</v>
      </c>
      <c r="N21" s="213">
        <f>N22+N23</f>
        <v>0</v>
      </c>
      <c r="O21" s="228">
        <f t="shared" si="0"/>
        <v>0</v>
      </c>
    </row>
    <row r="22" spans="2:15" ht="14.25" x14ac:dyDescent="0.2">
      <c r="B22" s="50"/>
      <c r="C22" s="8"/>
      <c r="D22" s="8"/>
      <c r="E22" s="8"/>
      <c r="F22" s="58">
        <v>612100</v>
      </c>
      <c r="G22" s="69"/>
      <c r="H22" s="145" t="s">
        <v>5</v>
      </c>
      <c r="I22" s="107">
        <f>12360+820+50+9*20+730</f>
        <v>14140</v>
      </c>
      <c r="J22" s="33">
        <v>0</v>
      </c>
      <c r="K22" s="173">
        <f>SUM(I22:J22)</f>
        <v>14140</v>
      </c>
      <c r="L22" s="107"/>
      <c r="M22" s="33"/>
      <c r="N22" s="211">
        <f>SUM(L22:M22)</f>
        <v>0</v>
      </c>
      <c r="O22" s="224">
        <f t="shared" si="0"/>
        <v>0</v>
      </c>
    </row>
    <row r="23" spans="2:15" ht="14.25" x14ac:dyDescent="0.2">
      <c r="B23" s="50"/>
      <c r="C23" s="8"/>
      <c r="D23" s="8"/>
      <c r="E23" s="8"/>
      <c r="F23" s="58"/>
      <c r="G23" s="69"/>
      <c r="H23" s="9"/>
      <c r="I23" s="108"/>
      <c r="J23" s="39"/>
      <c r="K23" s="173"/>
      <c r="L23" s="108"/>
      <c r="M23" s="39"/>
      <c r="N23" s="211"/>
      <c r="O23" s="224" t="str">
        <f t="shared" si="0"/>
        <v/>
      </c>
    </row>
    <row r="24" spans="2:15" ht="15" x14ac:dyDescent="0.25">
      <c r="B24" s="51"/>
      <c r="C24" s="4"/>
      <c r="D24" s="4"/>
      <c r="E24" s="4"/>
      <c r="F24" s="57">
        <v>613000</v>
      </c>
      <c r="G24" s="69"/>
      <c r="H24" s="10" t="s">
        <v>58</v>
      </c>
      <c r="I24" s="109">
        <f>SUM(I25:I35)</f>
        <v>380470</v>
      </c>
      <c r="J24" s="40">
        <f t="shared" ref="J24:N24" si="11">SUM(J25:J35)</f>
        <v>50000</v>
      </c>
      <c r="K24" s="174">
        <f t="shared" si="11"/>
        <v>430470</v>
      </c>
      <c r="L24" s="109">
        <f t="shared" si="11"/>
        <v>0</v>
      </c>
      <c r="M24" s="40">
        <f t="shared" si="11"/>
        <v>0</v>
      </c>
      <c r="N24" s="212">
        <f t="shared" si="11"/>
        <v>0</v>
      </c>
      <c r="O24" s="228">
        <f t="shared" si="0"/>
        <v>0</v>
      </c>
    </row>
    <row r="25" spans="2:15" ht="14.25" x14ac:dyDescent="0.2">
      <c r="B25" s="50"/>
      <c r="C25" s="8"/>
      <c r="D25" s="8"/>
      <c r="E25" s="8"/>
      <c r="F25" s="58">
        <v>613100</v>
      </c>
      <c r="G25" s="69"/>
      <c r="H25" s="9" t="s">
        <v>6</v>
      </c>
      <c r="I25" s="99">
        <v>11000</v>
      </c>
      <c r="J25" s="39">
        <v>0</v>
      </c>
      <c r="K25" s="173">
        <f t="shared" ref="K25:K35" si="12">SUM(I25:J25)</f>
        <v>11000</v>
      </c>
      <c r="L25" s="108"/>
      <c r="M25" s="39"/>
      <c r="N25" s="211">
        <f t="shared" ref="N25:N35" si="13">SUM(L25:M25)</f>
        <v>0</v>
      </c>
      <c r="O25" s="224">
        <f t="shared" si="0"/>
        <v>0</v>
      </c>
    </row>
    <row r="26" spans="2:15" ht="14.25" x14ac:dyDescent="0.2">
      <c r="B26" s="50"/>
      <c r="C26" s="8"/>
      <c r="D26" s="8"/>
      <c r="E26" s="8"/>
      <c r="F26" s="58">
        <v>613200</v>
      </c>
      <c r="G26" s="69"/>
      <c r="H26" s="9" t="s">
        <v>7</v>
      </c>
      <c r="I26" s="99">
        <v>1500</v>
      </c>
      <c r="J26" s="39">
        <v>0</v>
      </c>
      <c r="K26" s="173">
        <f t="shared" si="12"/>
        <v>1500</v>
      </c>
      <c r="L26" s="108"/>
      <c r="M26" s="39"/>
      <c r="N26" s="211">
        <f t="shared" si="13"/>
        <v>0</v>
      </c>
      <c r="O26" s="224">
        <f t="shared" si="0"/>
        <v>0</v>
      </c>
    </row>
    <row r="27" spans="2:15" ht="14.25" x14ac:dyDescent="0.2">
      <c r="B27" s="50"/>
      <c r="C27" s="8"/>
      <c r="D27" s="8"/>
      <c r="E27" s="8"/>
      <c r="F27" s="58">
        <v>613300</v>
      </c>
      <c r="G27" s="69"/>
      <c r="H27" s="9" t="s">
        <v>70</v>
      </c>
      <c r="I27" s="99">
        <v>7500</v>
      </c>
      <c r="J27" s="39">
        <v>0</v>
      </c>
      <c r="K27" s="173">
        <f t="shared" si="12"/>
        <v>7500</v>
      </c>
      <c r="L27" s="108"/>
      <c r="M27" s="39"/>
      <c r="N27" s="211">
        <f t="shared" si="13"/>
        <v>0</v>
      </c>
      <c r="O27" s="224">
        <f t="shared" si="0"/>
        <v>0</v>
      </c>
    </row>
    <row r="28" spans="2:15" ht="14.25" x14ac:dyDescent="0.2">
      <c r="B28" s="50"/>
      <c r="C28" s="8"/>
      <c r="D28" s="8"/>
      <c r="E28" s="8"/>
      <c r="F28" s="58">
        <v>613400</v>
      </c>
      <c r="G28" s="69"/>
      <c r="H28" s="9" t="s">
        <v>59</v>
      </c>
      <c r="I28" s="99">
        <v>1000</v>
      </c>
      <c r="J28" s="39">
        <v>0</v>
      </c>
      <c r="K28" s="173">
        <f t="shared" si="12"/>
        <v>1000</v>
      </c>
      <c r="L28" s="108"/>
      <c r="M28" s="39"/>
      <c r="N28" s="211">
        <f t="shared" si="13"/>
        <v>0</v>
      </c>
      <c r="O28" s="224">
        <f t="shared" si="0"/>
        <v>0</v>
      </c>
    </row>
    <row r="29" spans="2:15" ht="14.25" x14ac:dyDescent="0.2">
      <c r="B29" s="50"/>
      <c r="C29" s="8"/>
      <c r="D29" s="8"/>
      <c r="E29" s="8"/>
      <c r="F29" s="58">
        <v>613500</v>
      </c>
      <c r="G29" s="69"/>
      <c r="H29" s="9" t="s">
        <v>8</v>
      </c>
      <c r="I29" s="100">
        <v>1000</v>
      </c>
      <c r="J29" s="41">
        <v>0</v>
      </c>
      <c r="K29" s="173">
        <f t="shared" si="12"/>
        <v>1000</v>
      </c>
      <c r="L29" s="116"/>
      <c r="M29" s="41"/>
      <c r="N29" s="211">
        <f t="shared" si="13"/>
        <v>0</v>
      </c>
      <c r="O29" s="224">
        <f t="shared" si="0"/>
        <v>0</v>
      </c>
    </row>
    <row r="30" spans="2:15" ht="14.25" x14ac:dyDescent="0.2">
      <c r="B30" s="50"/>
      <c r="C30" s="8"/>
      <c r="D30" s="8"/>
      <c r="E30" s="8"/>
      <c r="F30" s="58">
        <v>613600</v>
      </c>
      <c r="G30" s="69"/>
      <c r="H30" s="9" t="s">
        <v>71</v>
      </c>
      <c r="I30" s="99">
        <f>1000+13000</f>
        <v>14000</v>
      </c>
      <c r="J30" s="39">
        <v>0</v>
      </c>
      <c r="K30" s="173">
        <f t="shared" si="12"/>
        <v>14000</v>
      </c>
      <c r="L30" s="108"/>
      <c r="M30" s="39"/>
      <c r="N30" s="211">
        <f t="shared" si="13"/>
        <v>0</v>
      </c>
      <c r="O30" s="224">
        <f t="shared" si="0"/>
        <v>0</v>
      </c>
    </row>
    <row r="31" spans="2:15" ht="14.25" x14ac:dyDescent="0.2">
      <c r="B31" s="50"/>
      <c r="C31" s="8"/>
      <c r="D31" s="8"/>
      <c r="E31" s="8"/>
      <c r="F31" s="58">
        <v>613700</v>
      </c>
      <c r="G31" s="69"/>
      <c r="H31" s="9" t="s">
        <v>9</v>
      </c>
      <c r="I31" s="99">
        <v>4000</v>
      </c>
      <c r="J31" s="39">
        <v>0</v>
      </c>
      <c r="K31" s="173">
        <f t="shared" si="12"/>
        <v>4000</v>
      </c>
      <c r="L31" s="108"/>
      <c r="M31" s="39"/>
      <c r="N31" s="211">
        <f t="shared" si="13"/>
        <v>0</v>
      </c>
      <c r="O31" s="224">
        <f t="shared" si="0"/>
        <v>0</v>
      </c>
    </row>
    <row r="32" spans="2:15" ht="14.25" x14ac:dyDescent="0.2">
      <c r="B32" s="50"/>
      <c r="C32" s="8"/>
      <c r="D32" s="8"/>
      <c r="E32" s="8"/>
      <c r="F32" s="58">
        <v>613800</v>
      </c>
      <c r="G32" s="69"/>
      <c r="H32" s="9" t="s">
        <v>60</v>
      </c>
      <c r="I32" s="99">
        <v>400</v>
      </c>
      <c r="J32" s="39">
        <v>0</v>
      </c>
      <c r="K32" s="173">
        <f t="shared" si="12"/>
        <v>400</v>
      </c>
      <c r="L32" s="108"/>
      <c r="M32" s="39"/>
      <c r="N32" s="211">
        <f t="shared" si="13"/>
        <v>0</v>
      </c>
      <c r="O32" s="224">
        <f t="shared" si="0"/>
        <v>0</v>
      </c>
    </row>
    <row r="33" spans="2:15" ht="14.25" x14ac:dyDescent="0.2">
      <c r="B33" s="50"/>
      <c r="C33" s="8"/>
      <c r="D33" s="8"/>
      <c r="E33" s="8"/>
      <c r="F33" s="58">
        <v>613900</v>
      </c>
      <c r="G33" s="69"/>
      <c r="H33" s="9" t="s">
        <v>61</v>
      </c>
      <c r="I33" s="99">
        <v>240070</v>
      </c>
      <c r="J33" s="39">
        <v>50000</v>
      </c>
      <c r="K33" s="173">
        <f t="shared" si="12"/>
        <v>290070</v>
      </c>
      <c r="L33" s="108"/>
      <c r="M33" s="39"/>
      <c r="N33" s="211">
        <f t="shared" si="13"/>
        <v>0</v>
      </c>
      <c r="O33" s="224">
        <f t="shared" si="0"/>
        <v>0</v>
      </c>
    </row>
    <row r="34" spans="2:15" ht="14.25" x14ac:dyDescent="0.2">
      <c r="B34" s="50"/>
      <c r="C34" s="8"/>
      <c r="D34" s="8"/>
      <c r="E34" s="8"/>
      <c r="F34" s="58">
        <v>613900</v>
      </c>
      <c r="G34" s="69" t="s">
        <v>89</v>
      </c>
      <c r="H34" s="144" t="s">
        <v>357</v>
      </c>
      <c r="I34" s="99">
        <v>10000</v>
      </c>
      <c r="J34" s="39">
        <v>0</v>
      </c>
      <c r="K34" s="173">
        <f t="shared" si="12"/>
        <v>10000</v>
      </c>
      <c r="L34" s="108"/>
      <c r="M34" s="39"/>
      <c r="N34" s="211">
        <f t="shared" si="13"/>
        <v>0</v>
      </c>
      <c r="O34" s="224">
        <f t="shared" si="0"/>
        <v>0</v>
      </c>
    </row>
    <row r="35" spans="2:15" ht="14.25" x14ac:dyDescent="0.2">
      <c r="B35" s="50"/>
      <c r="C35" s="8"/>
      <c r="D35" s="8"/>
      <c r="E35" s="8"/>
      <c r="F35" s="58">
        <v>613900</v>
      </c>
      <c r="G35" s="69" t="s">
        <v>167</v>
      </c>
      <c r="H35" s="144" t="s">
        <v>166</v>
      </c>
      <c r="I35" s="99">
        <v>90000</v>
      </c>
      <c r="J35" s="39">
        <v>0</v>
      </c>
      <c r="K35" s="173">
        <f t="shared" si="12"/>
        <v>90000</v>
      </c>
      <c r="L35" s="108"/>
      <c r="M35" s="39"/>
      <c r="N35" s="211">
        <f t="shared" si="13"/>
        <v>0</v>
      </c>
      <c r="O35" s="224">
        <f t="shared" si="0"/>
        <v>0</v>
      </c>
    </row>
    <row r="36" spans="2:15" ht="14.25" x14ac:dyDescent="0.2">
      <c r="B36" s="50"/>
      <c r="C36" s="8"/>
      <c r="D36" s="8"/>
      <c r="E36" s="8"/>
      <c r="F36" s="58"/>
      <c r="G36" s="69"/>
      <c r="H36" s="9"/>
      <c r="I36" s="108"/>
      <c r="J36" s="39"/>
      <c r="K36" s="173"/>
      <c r="L36" s="108"/>
      <c r="M36" s="39"/>
      <c r="N36" s="211"/>
      <c r="O36" s="224" t="str">
        <f t="shared" si="0"/>
        <v/>
      </c>
    </row>
    <row r="37" spans="2:15" ht="15" x14ac:dyDescent="0.25">
      <c r="B37" s="51"/>
      <c r="C37" s="4"/>
      <c r="D37" s="4"/>
      <c r="E37" s="4"/>
      <c r="F37" s="57">
        <v>614000</v>
      </c>
      <c r="G37" s="69"/>
      <c r="H37" s="10" t="s">
        <v>72</v>
      </c>
      <c r="I37" s="110">
        <f>SUM(I38:I43)</f>
        <v>1412050</v>
      </c>
      <c r="J37" s="43">
        <f t="shared" ref="J37:N37" si="14">SUM(J38:J43)</f>
        <v>0</v>
      </c>
      <c r="K37" s="174">
        <f t="shared" si="14"/>
        <v>1412050</v>
      </c>
      <c r="L37" s="110">
        <f t="shared" si="14"/>
        <v>0</v>
      </c>
      <c r="M37" s="43">
        <f t="shared" si="14"/>
        <v>0</v>
      </c>
      <c r="N37" s="212">
        <f t="shared" si="14"/>
        <v>0</v>
      </c>
      <c r="O37" s="228">
        <f t="shared" si="0"/>
        <v>0</v>
      </c>
    </row>
    <row r="38" spans="2:15" ht="14.25" x14ac:dyDescent="0.2">
      <c r="B38" s="21"/>
      <c r="C38" s="5"/>
      <c r="D38" s="5"/>
      <c r="E38" s="5"/>
      <c r="F38" s="58">
        <v>614100</v>
      </c>
      <c r="G38" s="69" t="s">
        <v>90</v>
      </c>
      <c r="H38" s="145" t="s">
        <v>79</v>
      </c>
      <c r="I38" s="100">
        <v>942050</v>
      </c>
      <c r="J38" s="81">
        <v>0</v>
      </c>
      <c r="K38" s="173">
        <f t="shared" ref="K38:K42" si="15">SUM(I38:J38)</f>
        <v>942050</v>
      </c>
      <c r="L38" s="100"/>
      <c r="M38" s="81"/>
      <c r="N38" s="211">
        <f t="shared" ref="N38:N42" si="16">SUM(L38:M38)</f>
        <v>0</v>
      </c>
      <c r="O38" s="224">
        <f t="shared" si="0"/>
        <v>0</v>
      </c>
    </row>
    <row r="39" spans="2:15" ht="14.25" x14ac:dyDescent="0.2">
      <c r="B39" s="50"/>
      <c r="C39" s="8"/>
      <c r="D39" s="8"/>
      <c r="E39" s="8"/>
      <c r="F39" s="58">
        <v>614300</v>
      </c>
      <c r="G39" s="69" t="s">
        <v>92</v>
      </c>
      <c r="H39" s="146" t="s">
        <v>241</v>
      </c>
      <c r="I39" s="100">
        <v>100000</v>
      </c>
      <c r="J39" s="81">
        <v>0</v>
      </c>
      <c r="K39" s="173">
        <f t="shared" si="15"/>
        <v>100000</v>
      </c>
      <c r="L39" s="100"/>
      <c r="M39" s="81"/>
      <c r="N39" s="211">
        <f t="shared" si="16"/>
        <v>0</v>
      </c>
      <c r="O39" s="224">
        <f t="shared" si="0"/>
        <v>0</v>
      </c>
    </row>
    <row r="40" spans="2:15" ht="14.25" x14ac:dyDescent="0.2">
      <c r="B40" s="50"/>
      <c r="C40" s="8"/>
      <c r="D40" s="8"/>
      <c r="E40" s="8"/>
      <c r="F40" s="58">
        <v>614300</v>
      </c>
      <c r="G40" s="69" t="s">
        <v>93</v>
      </c>
      <c r="H40" s="9" t="s">
        <v>76</v>
      </c>
      <c r="I40" s="100">
        <v>40000</v>
      </c>
      <c r="J40" s="81">
        <v>0</v>
      </c>
      <c r="K40" s="173">
        <f t="shared" si="15"/>
        <v>40000</v>
      </c>
      <c r="L40" s="100"/>
      <c r="M40" s="81"/>
      <c r="N40" s="211">
        <f t="shared" si="16"/>
        <v>0</v>
      </c>
      <c r="O40" s="224">
        <f t="shared" si="0"/>
        <v>0</v>
      </c>
    </row>
    <row r="41" spans="2:15" ht="14.25" x14ac:dyDescent="0.2">
      <c r="B41" s="50"/>
      <c r="C41" s="8"/>
      <c r="D41" s="8"/>
      <c r="E41" s="8"/>
      <c r="F41" s="58">
        <v>614300</v>
      </c>
      <c r="G41" s="69" t="s">
        <v>94</v>
      </c>
      <c r="H41" s="9" t="s">
        <v>78</v>
      </c>
      <c r="I41" s="100">
        <v>40000</v>
      </c>
      <c r="J41" s="81">
        <v>0</v>
      </c>
      <c r="K41" s="173">
        <f t="shared" si="15"/>
        <v>40000</v>
      </c>
      <c r="L41" s="100"/>
      <c r="M41" s="81"/>
      <c r="N41" s="211">
        <f t="shared" si="16"/>
        <v>0</v>
      </c>
      <c r="O41" s="224">
        <f t="shared" si="0"/>
        <v>0</v>
      </c>
    </row>
    <row r="42" spans="2:15" ht="14.25" x14ac:dyDescent="0.2">
      <c r="B42" s="50"/>
      <c r="C42" s="8"/>
      <c r="D42" s="8"/>
      <c r="E42" s="8"/>
      <c r="F42" s="58">
        <v>614300</v>
      </c>
      <c r="G42" s="69" t="s">
        <v>170</v>
      </c>
      <c r="H42" s="144" t="s">
        <v>242</v>
      </c>
      <c r="I42" s="100">
        <v>150000</v>
      </c>
      <c r="J42" s="81">
        <v>0</v>
      </c>
      <c r="K42" s="173">
        <f t="shared" si="15"/>
        <v>150000</v>
      </c>
      <c r="L42" s="100"/>
      <c r="M42" s="81"/>
      <c r="N42" s="211">
        <f t="shared" si="16"/>
        <v>0</v>
      </c>
      <c r="O42" s="224">
        <f t="shared" ref="O42:O104" si="17">IF(K42=0,"",N42/K42*100)</f>
        <v>0</v>
      </c>
    </row>
    <row r="43" spans="2:15" ht="14.25" x14ac:dyDescent="0.2">
      <c r="B43" s="50"/>
      <c r="C43" s="8"/>
      <c r="D43" s="8"/>
      <c r="E43" s="8"/>
      <c r="F43" s="58">
        <v>614300</v>
      </c>
      <c r="G43" s="69" t="s">
        <v>329</v>
      </c>
      <c r="H43" s="144" t="s">
        <v>330</v>
      </c>
      <c r="I43" s="100">
        <f>120000+20000</f>
        <v>140000</v>
      </c>
      <c r="J43" s="81">
        <v>0</v>
      </c>
      <c r="K43" s="173">
        <f t="shared" ref="K43" si="18">SUM(I43:J43)</f>
        <v>140000</v>
      </c>
      <c r="L43" s="100"/>
      <c r="M43" s="81"/>
      <c r="N43" s="211">
        <f t="shared" ref="N43" si="19">SUM(L43:M43)</f>
        <v>0</v>
      </c>
      <c r="O43" s="224">
        <f t="shared" ref="O43" si="20">IF(K43=0,"",N43/K43*100)</f>
        <v>0</v>
      </c>
    </row>
    <row r="44" spans="2:15" ht="14.25" x14ac:dyDescent="0.2">
      <c r="B44" s="50"/>
      <c r="C44" s="8"/>
      <c r="D44" s="8"/>
      <c r="E44" s="8"/>
      <c r="F44" s="58"/>
      <c r="G44" s="69"/>
      <c r="H44" s="9"/>
      <c r="I44" s="116"/>
      <c r="J44" s="41"/>
      <c r="K44" s="173"/>
      <c r="L44" s="116"/>
      <c r="M44" s="41"/>
      <c r="N44" s="211"/>
      <c r="O44" s="224" t="str">
        <f t="shared" si="17"/>
        <v/>
      </c>
    </row>
    <row r="45" spans="2:15" ht="15" x14ac:dyDescent="0.25">
      <c r="B45" s="50"/>
      <c r="C45" s="8"/>
      <c r="D45" s="8"/>
      <c r="E45" s="8"/>
      <c r="F45" s="57">
        <v>615000</v>
      </c>
      <c r="G45" s="69"/>
      <c r="H45" s="10" t="s">
        <v>11</v>
      </c>
      <c r="I45" s="110">
        <f t="shared" ref="I45" si="21">I46</f>
        <v>310000</v>
      </c>
      <c r="J45" s="43">
        <f>J46</f>
        <v>0</v>
      </c>
      <c r="K45" s="174">
        <f>K46</f>
        <v>310000</v>
      </c>
      <c r="L45" s="110">
        <f t="shared" ref="L45" si="22">L46</f>
        <v>0</v>
      </c>
      <c r="M45" s="43">
        <f>M46</f>
        <v>0</v>
      </c>
      <c r="N45" s="212">
        <f>N46</f>
        <v>0</v>
      </c>
      <c r="O45" s="228">
        <f t="shared" si="17"/>
        <v>0</v>
      </c>
    </row>
    <row r="46" spans="2:15" ht="14.25" x14ac:dyDescent="0.2">
      <c r="B46" s="50"/>
      <c r="C46" s="8"/>
      <c r="D46" s="8"/>
      <c r="E46" s="8"/>
      <c r="F46" s="58">
        <v>615100</v>
      </c>
      <c r="G46" s="69"/>
      <c r="H46" s="145" t="s">
        <v>234</v>
      </c>
      <c r="I46" s="116">
        <v>310000</v>
      </c>
      <c r="J46" s="41">
        <v>0</v>
      </c>
      <c r="K46" s="173">
        <f>SUM(I46:J46)</f>
        <v>310000</v>
      </c>
      <c r="L46" s="116"/>
      <c r="M46" s="41"/>
      <c r="N46" s="211">
        <f>SUM(L46:M46)</f>
        <v>0</v>
      </c>
      <c r="O46" s="224">
        <f t="shared" si="17"/>
        <v>0</v>
      </c>
    </row>
    <row r="47" spans="2:15" ht="14.25" x14ac:dyDescent="0.2">
      <c r="B47" s="50"/>
      <c r="C47" s="8"/>
      <c r="D47" s="8"/>
      <c r="E47" s="8"/>
      <c r="F47" s="58"/>
      <c r="G47" s="69"/>
      <c r="H47" s="9"/>
      <c r="I47" s="108"/>
      <c r="J47" s="39"/>
      <c r="K47" s="173"/>
      <c r="L47" s="108"/>
      <c r="M47" s="39"/>
      <c r="N47" s="211"/>
      <c r="O47" s="224" t="str">
        <f t="shared" si="17"/>
        <v/>
      </c>
    </row>
    <row r="48" spans="2:15" ht="15" x14ac:dyDescent="0.25">
      <c r="B48" s="51"/>
      <c r="C48" s="4"/>
      <c r="D48" s="4"/>
      <c r="E48" s="4"/>
      <c r="F48" s="57">
        <v>821000</v>
      </c>
      <c r="G48" s="69"/>
      <c r="H48" s="10" t="s">
        <v>12</v>
      </c>
      <c r="I48" s="110">
        <f t="shared" ref="I48" si="23">SUM(I49:I52)</f>
        <v>728173</v>
      </c>
      <c r="J48" s="52">
        <f t="shared" ref="J48:N48" si="24">SUM(J49:J52)</f>
        <v>391167</v>
      </c>
      <c r="K48" s="165">
        <f t="shared" si="24"/>
        <v>1119340</v>
      </c>
      <c r="L48" s="110">
        <f t="shared" si="24"/>
        <v>0</v>
      </c>
      <c r="M48" s="52">
        <f t="shared" si="24"/>
        <v>0</v>
      </c>
      <c r="N48" s="205">
        <f t="shared" si="24"/>
        <v>0</v>
      </c>
      <c r="O48" s="228">
        <f t="shared" si="17"/>
        <v>0</v>
      </c>
    </row>
    <row r="49" spans="2:15" ht="14.25" x14ac:dyDescent="0.2">
      <c r="B49" s="50"/>
      <c r="C49" s="8"/>
      <c r="D49" s="8"/>
      <c r="E49" s="8"/>
      <c r="F49" s="58">
        <v>821100</v>
      </c>
      <c r="G49" s="69"/>
      <c r="H49" s="144" t="s">
        <v>331</v>
      </c>
      <c r="I49" s="108">
        <v>0</v>
      </c>
      <c r="J49" s="46">
        <v>0</v>
      </c>
      <c r="K49" s="173">
        <f t="shared" ref="K49" si="25">SUM(I49:J49)</f>
        <v>0</v>
      </c>
      <c r="L49" s="108"/>
      <c r="M49" s="46"/>
      <c r="N49" s="211">
        <f t="shared" ref="N49" si="26">SUM(L49:M49)</f>
        <v>0</v>
      </c>
      <c r="O49" s="224" t="str">
        <f t="shared" ref="O49" si="27">IF(K49=0,"",N49/K49*100)</f>
        <v/>
      </c>
    </row>
    <row r="50" spans="2:15" ht="14.25" x14ac:dyDescent="0.2">
      <c r="B50" s="50"/>
      <c r="C50" s="8"/>
      <c r="D50" s="8"/>
      <c r="E50" s="8"/>
      <c r="F50" s="58">
        <v>821200</v>
      </c>
      <c r="G50" s="69"/>
      <c r="H50" s="9" t="s">
        <v>13</v>
      </c>
      <c r="I50" s="108">
        <f>600000-391167+300000+4300+30000</f>
        <v>543133</v>
      </c>
      <c r="J50" s="46">
        <v>391167</v>
      </c>
      <c r="K50" s="173">
        <f t="shared" ref="K50:K52" si="28">SUM(I50:J50)</f>
        <v>934300</v>
      </c>
      <c r="L50" s="108"/>
      <c r="M50" s="46"/>
      <c r="N50" s="211">
        <f t="shared" ref="N50:N52" si="29">SUM(L50:M50)</f>
        <v>0</v>
      </c>
      <c r="O50" s="224">
        <f t="shared" si="17"/>
        <v>0</v>
      </c>
    </row>
    <row r="51" spans="2:15" ht="14.25" x14ac:dyDescent="0.2">
      <c r="B51" s="50"/>
      <c r="C51" s="8"/>
      <c r="D51" s="8"/>
      <c r="E51" s="8"/>
      <c r="F51" s="58">
        <v>821300</v>
      </c>
      <c r="G51" s="69"/>
      <c r="H51" s="9" t="s">
        <v>14</v>
      </c>
      <c r="I51" s="116">
        <f>10006+145034</f>
        <v>155040</v>
      </c>
      <c r="J51" s="54">
        <v>0</v>
      </c>
      <c r="K51" s="173">
        <f t="shared" si="28"/>
        <v>155040</v>
      </c>
      <c r="L51" s="116"/>
      <c r="M51" s="54"/>
      <c r="N51" s="211">
        <f t="shared" si="29"/>
        <v>0</v>
      </c>
      <c r="O51" s="224">
        <f t="shared" si="17"/>
        <v>0</v>
      </c>
    </row>
    <row r="52" spans="2:15" ht="14.25" x14ac:dyDescent="0.2">
      <c r="B52" s="50"/>
      <c r="C52" s="8"/>
      <c r="D52" s="8"/>
      <c r="E52" s="8"/>
      <c r="F52" s="58">
        <v>821500</v>
      </c>
      <c r="G52" s="69"/>
      <c r="H52" s="9" t="s">
        <v>82</v>
      </c>
      <c r="I52" s="117">
        <v>30000</v>
      </c>
      <c r="J52" s="24">
        <v>0</v>
      </c>
      <c r="K52" s="173">
        <f t="shared" si="28"/>
        <v>30000</v>
      </c>
      <c r="L52" s="117"/>
      <c r="M52" s="24"/>
      <c r="N52" s="211">
        <f t="shared" si="29"/>
        <v>0</v>
      </c>
      <c r="O52" s="224">
        <f t="shared" si="17"/>
        <v>0</v>
      </c>
    </row>
    <row r="53" spans="2:15" ht="15" x14ac:dyDescent="0.25">
      <c r="B53" s="50"/>
      <c r="C53" s="8"/>
      <c r="D53" s="8"/>
      <c r="E53" s="8"/>
      <c r="F53" s="58"/>
      <c r="G53" s="69"/>
      <c r="H53" s="9"/>
      <c r="I53" s="110"/>
      <c r="J53" s="52"/>
      <c r="K53" s="165"/>
      <c r="L53" s="110"/>
      <c r="M53" s="52"/>
      <c r="N53" s="205"/>
      <c r="O53" s="224" t="str">
        <f t="shared" si="17"/>
        <v/>
      </c>
    </row>
    <row r="54" spans="2:15" ht="15" x14ac:dyDescent="0.25">
      <c r="B54" s="51"/>
      <c r="C54" s="4"/>
      <c r="D54" s="4"/>
      <c r="E54" s="4"/>
      <c r="F54" s="57"/>
      <c r="G54" s="69"/>
      <c r="H54" s="10" t="s">
        <v>15</v>
      </c>
      <c r="I54" s="110">
        <v>8</v>
      </c>
      <c r="J54" s="52"/>
      <c r="K54" s="165">
        <v>8</v>
      </c>
      <c r="L54" s="110"/>
      <c r="M54" s="52"/>
      <c r="N54" s="205"/>
      <c r="O54" s="224"/>
    </row>
    <row r="55" spans="2:15" ht="15" x14ac:dyDescent="0.25">
      <c r="B55" s="51"/>
      <c r="C55" s="4"/>
      <c r="D55" s="4"/>
      <c r="E55" s="4"/>
      <c r="F55" s="57"/>
      <c r="G55" s="69"/>
      <c r="H55" s="10" t="s">
        <v>24</v>
      </c>
      <c r="I55" s="110">
        <f t="shared" ref="I55:N55" si="30">I11+I16+I21+I24+I37+I45+I48</f>
        <v>3883043</v>
      </c>
      <c r="J55" s="52">
        <f t="shared" si="30"/>
        <v>441167</v>
      </c>
      <c r="K55" s="165">
        <f t="shared" si="30"/>
        <v>4324210</v>
      </c>
      <c r="L55" s="110">
        <f t="shared" si="30"/>
        <v>0</v>
      </c>
      <c r="M55" s="52">
        <f t="shared" si="30"/>
        <v>0</v>
      </c>
      <c r="N55" s="205">
        <f t="shared" si="30"/>
        <v>0</v>
      </c>
      <c r="O55" s="228">
        <f t="shared" si="17"/>
        <v>0</v>
      </c>
    </row>
    <row r="56" spans="2:15" ht="15" x14ac:dyDescent="0.25">
      <c r="B56" s="51"/>
      <c r="C56" s="4"/>
      <c r="D56" s="4"/>
      <c r="E56" s="4"/>
      <c r="F56" s="57"/>
      <c r="G56" s="69"/>
      <c r="H56" s="10" t="s">
        <v>16</v>
      </c>
      <c r="I56" s="121">
        <f>I57</f>
        <v>5320193</v>
      </c>
      <c r="J56" s="44">
        <f t="shared" ref="J56:N56" si="31">J57</f>
        <v>441167</v>
      </c>
      <c r="K56" s="179">
        <f t="shared" si="31"/>
        <v>5761360</v>
      </c>
      <c r="L56" s="121">
        <f t="shared" si="31"/>
        <v>0</v>
      </c>
      <c r="M56" s="44">
        <f t="shared" si="31"/>
        <v>0</v>
      </c>
      <c r="N56" s="214">
        <f t="shared" si="31"/>
        <v>0</v>
      </c>
      <c r="O56" s="228">
        <f t="shared" si="17"/>
        <v>0</v>
      </c>
    </row>
    <row r="57" spans="2:15" ht="15" x14ac:dyDescent="0.25">
      <c r="B57" s="51"/>
      <c r="C57" s="4"/>
      <c r="D57" s="4"/>
      <c r="E57" s="4"/>
      <c r="F57" s="57"/>
      <c r="G57" s="69"/>
      <c r="H57" s="10" t="s">
        <v>17</v>
      </c>
      <c r="I57" s="121">
        <f>I55+I84+I113+I142+I174+I203</f>
        <v>5320193</v>
      </c>
      <c r="J57" s="44">
        <f t="shared" ref="J57:N57" si="32">J55+J84+J113+J142+J174+J203</f>
        <v>441167</v>
      </c>
      <c r="K57" s="179">
        <f t="shared" si="32"/>
        <v>5761360</v>
      </c>
      <c r="L57" s="121">
        <f t="shared" si="32"/>
        <v>0</v>
      </c>
      <c r="M57" s="44">
        <f t="shared" si="32"/>
        <v>0</v>
      </c>
      <c r="N57" s="214">
        <f t="shared" si="32"/>
        <v>0</v>
      </c>
      <c r="O57" s="228">
        <f t="shared" si="17"/>
        <v>0</v>
      </c>
    </row>
    <row r="58" spans="2:15" ht="15" thickBot="1" x14ac:dyDescent="0.25">
      <c r="B58" s="6"/>
      <c r="C58" s="7"/>
      <c r="D58" s="7"/>
      <c r="E58" s="7"/>
      <c r="F58" s="59"/>
      <c r="G58" s="70"/>
      <c r="H58" s="12"/>
      <c r="I58" s="6"/>
      <c r="J58" s="7"/>
      <c r="K58" s="169"/>
      <c r="L58" s="184"/>
      <c r="M58" s="7"/>
      <c r="N58" s="215"/>
      <c r="O58" s="227"/>
    </row>
    <row r="59" spans="2:15" ht="14.25" x14ac:dyDescent="0.2">
      <c r="F59" s="60"/>
      <c r="G59" s="71"/>
      <c r="K59" s="91"/>
      <c r="N59" s="91"/>
      <c r="O59" s="230" t="str">
        <f t="shared" si="17"/>
        <v/>
      </c>
    </row>
    <row r="60" spans="2:15" ht="15" x14ac:dyDescent="0.25">
      <c r="B60" s="2" t="s">
        <v>29</v>
      </c>
      <c r="C60" s="3" t="s">
        <v>3</v>
      </c>
      <c r="D60" s="3" t="s">
        <v>32</v>
      </c>
      <c r="E60" s="136" t="s">
        <v>136</v>
      </c>
      <c r="F60" s="49"/>
      <c r="G60" s="49"/>
      <c r="H60" s="182" t="s">
        <v>188</v>
      </c>
      <c r="I60" s="1"/>
      <c r="J60" s="49"/>
      <c r="K60" s="161"/>
      <c r="L60" s="1"/>
      <c r="M60" s="49"/>
      <c r="N60" s="201"/>
      <c r="O60" s="224" t="str">
        <f t="shared" si="17"/>
        <v/>
      </c>
    </row>
    <row r="61" spans="2:15" ht="15" x14ac:dyDescent="0.25">
      <c r="B61" s="51"/>
      <c r="C61" s="4"/>
      <c r="D61" s="4"/>
      <c r="E61" s="4"/>
      <c r="F61" s="57">
        <v>611000</v>
      </c>
      <c r="G61" s="68"/>
      <c r="H61" s="10" t="s">
        <v>57</v>
      </c>
      <c r="I61" s="106">
        <f>SUM(I62:I64)</f>
        <v>75190</v>
      </c>
      <c r="J61" s="32">
        <f t="shared" ref="J61:N61" si="33">SUM(J62:J64)</f>
        <v>0</v>
      </c>
      <c r="K61" s="162">
        <f t="shared" si="33"/>
        <v>75190</v>
      </c>
      <c r="L61" s="106">
        <f t="shared" si="33"/>
        <v>0</v>
      </c>
      <c r="M61" s="32">
        <f t="shared" si="33"/>
        <v>0</v>
      </c>
      <c r="N61" s="202">
        <f t="shared" si="33"/>
        <v>0</v>
      </c>
      <c r="O61" s="228">
        <f t="shared" si="17"/>
        <v>0</v>
      </c>
    </row>
    <row r="62" spans="2:15" ht="14.25" x14ac:dyDescent="0.2">
      <c r="B62" s="50"/>
      <c r="C62" s="8"/>
      <c r="D62" s="8"/>
      <c r="E62" s="8"/>
      <c r="F62" s="58">
        <v>611100</v>
      </c>
      <c r="G62" s="69"/>
      <c r="H62" s="9" t="s">
        <v>68</v>
      </c>
      <c r="I62" s="107">
        <f>41510+200+9*2250+2450</f>
        <v>64410</v>
      </c>
      <c r="J62" s="31">
        <v>0</v>
      </c>
      <c r="K62" s="163">
        <f>SUM(I62:J62)</f>
        <v>64410</v>
      </c>
      <c r="L62" s="107"/>
      <c r="M62" s="31"/>
      <c r="N62" s="203">
        <f>SUM(L62:M62)</f>
        <v>0</v>
      </c>
      <c r="O62" s="224">
        <f t="shared" si="17"/>
        <v>0</v>
      </c>
    </row>
    <row r="63" spans="2:15" ht="14.25" x14ac:dyDescent="0.2">
      <c r="B63" s="50"/>
      <c r="C63" s="8"/>
      <c r="D63" s="8"/>
      <c r="E63" s="8"/>
      <c r="F63" s="58">
        <v>611200</v>
      </c>
      <c r="G63" s="69"/>
      <c r="H63" s="9" t="s">
        <v>69</v>
      </c>
      <c r="I63" s="107">
        <f>5380+850+4550</f>
        <v>10780</v>
      </c>
      <c r="J63" s="31">
        <v>0</v>
      </c>
      <c r="K63" s="163">
        <f t="shared" ref="K63" si="34">SUM(I63:J63)</f>
        <v>10780</v>
      </c>
      <c r="L63" s="107"/>
      <c r="M63" s="31"/>
      <c r="N63" s="203">
        <f t="shared" ref="N63" si="35">SUM(L63:M63)</f>
        <v>0</v>
      </c>
      <c r="O63" s="224">
        <f t="shared" si="17"/>
        <v>0</v>
      </c>
    </row>
    <row r="64" spans="2:15" ht="14.25" x14ac:dyDescent="0.2">
      <c r="B64" s="50"/>
      <c r="C64" s="8"/>
      <c r="D64" s="8"/>
      <c r="E64" s="8"/>
      <c r="F64" s="58"/>
      <c r="G64" s="69"/>
      <c r="H64" s="9"/>
      <c r="I64" s="107"/>
      <c r="J64" s="31"/>
      <c r="K64" s="163"/>
      <c r="L64" s="107"/>
      <c r="M64" s="31"/>
      <c r="N64" s="203"/>
      <c r="O64" s="224" t="str">
        <f t="shared" si="17"/>
        <v/>
      </c>
    </row>
    <row r="65" spans="2:15" ht="15" x14ac:dyDescent="0.25">
      <c r="B65" s="51"/>
      <c r="C65" s="4"/>
      <c r="D65" s="4"/>
      <c r="E65" s="4"/>
      <c r="F65" s="57">
        <v>612000</v>
      </c>
      <c r="G65" s="68"/>
      <c r="H65" s="10" t="s">
        <v>56</v>
      </c>
      <c r="I65" s="106">
        <f t="shared" ref="I65" si="36">I66</f>
        <v>3350</v>
      </c>
      <c r="J65" s="32">
        <f t="shared" ref="J65:N65" si="37">J66</f>
        <v>0</v>
      </c>
      <c r="K65" s="162">
        <f t="shared" si="37"/>
        <v>3350</v>
      </c>
      <c r="L65" s="106">
        <f t="shared" si="37"/>
        <v>0</v>
      </c>
      <c r="M65" s="32">
        <f t="shared" si="37"/>
        <v>0</v>
      </c>
      <c r="N65" s="202">
        <f t="shared" si="37"/>
        <v>0</v>
      </c>
      <c r="O65" s="228">
        <f t="shared" si="17"/>
        <v>0</v>
      </c>
    </row>
    <row r="66" spans="2:15" ht="14.25" x14ac:dyDescent="0.2">
      <c r="B66" s="50"/>
      <c r="C66" s="8"/>
      <c r="D66" s="8"/>
      <c r="E66" s="8"/>
      <c r="F66" s="58">
        <v>612100</v>
      </c>
      <c r="G66" s="69"/>
      <c r="H66" s="145" t="s">
        <v>5</v>
      </c>
      <c r="I66" s="107">
        <f>2070+30+9*120+30+140</f>
        <v>3350</v>
      </c>
      <c r="J66" s="31">
        <v>0</v>
      </c>
      <c r="K66" s="163">
        <f>SUM(I66:J66)</f>
        <v>3350</v>
      </c>
      <c r="L66" s="107"/>
      <c r="M66" s="31"/>
      <c r="N66" s="203">
        <f>SUM(L66:M66)</f>
        <v>0</v>
      </c>
      <c r="O66" s="224">
        <f t="shared" si="17"/>
        <v>0</v>
      </c>
    </row>
    <row r="67" spans="2:15" ht="14.25" x14ac:dyDescent="0.2">
      <c r="B67" s="50"/>
      <c r="C67" s="8"/>
      <c r="D67" s="8"/>
      <c r="E67" s="8"/>
      <c r="F67" s="58"/>
      <c r="G67" s="69"/>
      <c r="H67" s="9"/>
      <c r="I67" s="108"/>
      <c r="J67" s="46"/>
      <c r="K67" s="164"/>
      <c r="L67" s="108"/>
      <c r="M67" s="46"/>
      <c r="N67" s="204"/>
      <c r="O67" s="224" t="str">
        <f t="shared" si="17"/>
        <v/>
      </c>
    </row>
    <row r="68" spans="2:15" ht="15" x14ac:dyDescent="0.25">
      <c r="B68" s="51"/>
      <c r="C68" s="4"/>
      <c r="D68" s="4"/>
      <c r="E68" s="4"/>
      <c r="F68" s="57">
        <v>613000</v>
      </c>
      <c r="G68" s="68"/>
      <c r="H68" s="10" t="s">
        <v>58</v>
      </c>
      <c r="I68" s="109">
        <f>SUM(I69:I77)</f>
        <v>2000</v>
      </c>
      <c r="J68" s="55">
        <f t="shared" ref="J68:N68" si="38">SUM(J69:J77)</f>
        <v>0</v>
      </c>
      <c r="K68" s="165">
        <f t="shared" si="38"/>
        <v>2000</v>
      </c>
      <c r="L68" s="109">
        <f t="shared" si="38"/>
        <v>0</v>
      </c>
      <c r="M68" s="55">
        <f t="shared" si="38"/>
        <v>0</v>
      </c>
      <c r="N68" s="205">
        <f t="shared" si="38"/>
        <v>0</v>
      </c>
      <c r="O68" s="228">
        <f t="shared" si="17"/>
        <v>0</v>
      </c>
    </row>
    <row r="69" spans="2:15" ht="14.25" x14ac:dyDescent="0.2">
      <c r="B69" s="50"/>
      <c r="C69" s="8"/>
      <c r="D69" s="8"/>
      <c r="E69" s="8"/>
      <c r="F69" s="58">
        <v>613100</v>
      </c>
      <c r="G69" s="69"/>
      <c r="H69" s="9" t="s">
        <v>6</v>
      </c>
      <c r="I69" s="99">
        <v>500</v>
      </c>
      <c r="J69" s="82">
        <v>0</v>
      </c>
      <c r="K69" s="163">
        <f t="shared" ref="K69:K77" si="39">SUM(I69:J69)</f>
        <v>500</v>
      </c>
      <c r="L69" s="99"/>
      <c r="M69" s="82"/>
      <c r="N69" s="203">
        <f t="shared" ref="N69:N77" si="40">SUM(L69:M69)</f>
        <v>0</v>
      </c>
      <c r="O69" s="224">
        <f t="shared" si="17"/>
        <v>0</v>
      </c>
    </row>
    <row r="70" spans="2:15" ht="14.25" x14ac:dyDescent="0.2">
      <c r="B70" s="50"/>
      <c r="C70" s="8"/>
      <c r="D70" s="8"/>
      <c r="E70" s="8"/>
      <c r="F70" s="58">
        <v>613200</v>
      </c>
      <c r="G70" s="69"/>
      <c r="H70" s="9" t="s">
        <v>7</v>
      </c>
      <c r="I70" s="99">
        <v>0</v>
      </c>
      <c r="J70" s="82">
        <v>0</v>
      </c>
      <c r="K70" s="163">
        <f t="shared" si="39"/>
        <v>0</v>
      </c>
      <c r="L70" s="99"/>
      <c r="M70" s="82"/>
      <c r="N70" s="203">
        <f t="shared" si="40"/>
        <v>0</v>
      </c>
      <c r="O70" s="224" t="str">
        <f t="shared" si="17"/>
        <v/>
      </c>
    </row>
    <row r="71" spans="2:15" ht="14.25" x14ac:dyDescent="0.2">
      <c r="B71" s="50"/>
      <c r="C71" s="8"/>
      <c r="D71" s="8"/>
      <c r="E71" s="8"/>
      <c r="F71" s="58">
        <v>613300</v>
      </c>
      <c r="G71" s="69"/>
      <c r="H71" s="9" t="s">
        <v>70</v>
      </c>
      <c r="I71" s="99">
        <v>200</v>
      </c>
      <c r="J71" s="82">
        <v>0</v>
      </c>
      <c r="K71" s="163">
        <f t="shared" si="39"/>
        <v>200</v>
      </c>
      <c r="L71" s="99"/>
      <c r="M71" s="82"/>
      <c r="N71" s="203">
        <f t="shared" si="40"/>
        <v>0</v>
      </c>
      <c r="O71" s="224">
        <f t="shared" si="17"/>
        <v>0</v>
      </c>
    </row>
    <row r="72" spans="2:15" ht="14.25" x14ac:dyDescent="0.2">
      <c r="B72" s="50"/>
      <c r="C72" s="8"/>
      <c r="D72" s="8"/>
      <c r="E72" s="8"/>
      <c r="F72" s="58">
        <v>613400</v>
      </c>
      <c r="G72" s="69"/>
      <c r="H72" s="9" t="s">
        <v>59</v>
      </c>
      <c r="I72" s="99">
        <v>0</v>
      </c>
      <c r="J72" s="82">
        <v>0</v>
      </c>
      <c r="K72" s="163">
        <f t="shared" si="39"/>
        <v>0</v>
      </c>
      <c r="L72" s="99"/>
      <c r="M72" s="82"/>
      <c r="N72" s="203">
        <f t="shared" si="40"/>
        <v>0</v>
      </c>
      <c r="O72" s="224" t="str">
        <f t="shared" si="17"/>
        <v/>
      </c>
    </row>
    <row r="73" spans="2:15" ht="14.25" x14ac:dyDescent="0.2">
      <c r="B73" s="50"/>
      <c r="C73" s="8"/>
      <c r="D73" s="8"/>
      <c r="E73" s="8"/>
      <c r="F73" s="58">
        <v>613500</v>
      </c>
      <c r="G73" s="69"/>
      <c r="H73" s="9" t="s">
        <v>8</v>
      </c>
      <c r="I73" s="99">
        <v>0</v>
      </c>
      <c r="J73" s="82">
        <v>0</v>
      </c>
      <c r="K73" s="163">
        <f t="shared" si="39"/>
        <v>0</v>
      </c>
      <c r="L73" s="99"/>
      <c r="M73" s="82"/>
      <c r="N73" s="203">
        <f t="shared" si="40"/>
        <v>0</v>
      </c>
      <c r="O73" s="224" t="str">
        <f t="shared" si="17"/>
        <v/>
      </c>
    </row>
    <row r="74" spans="2:15" ht="14.25" x14ac:dyDescent="0.2">
      <c r="B74" s="50"/>
      <c r="C74" s="8"/>
      <c r="D74" s="8"/>
      <c r="E74" s="8"/>
      <c r="F74" s="58">
        <v>613600</v>
      </c>
      <c r="G74" s="69"/>
      <c r="H74" s="9" t="s">
        <v>71</v>
      </c>
      <c r="I74" s="99">
        <v>0</v>
      </c>
      <c r="J74" s="82">
        <v>0</v>
      </c>
      <c r="K74" s="163">
        <f t="shared" si="39"/>
        <v>0</v>
      </c>
      <c r="L74" s="99"/>
      <c r="M74" s="82"/>
      <c r="N74" s="203">
        <f t="shared" si="40"/>
        <v>0</v>
      </c>
      <c r="O74" s="224" t="str">
        <f t="shared" si="17"/>
        <v/>
      </c>
    </row>
    <row r="75" spans="2:15" ht="14.25" x14ac:dyDescent="0.2">
      <c r="B75" s="50"/>
      <c r="C75" s="8"/>
      <c r="D75" s="8"/>
      <c r="E75" s="8"/>
      <c r="F75" s="58">
        <v>613700</v>
      </c>
      <c r="G75" s="69"/>
      <c r="H75" s="9" t="s">
        <v>9</v>
      </c>
      <c r="I75" s="99">
        <v>300</v>
      </c>
      <c r="J75" s="82">
        <v>0</v>
      </c>
      <c r="K75" s="163">
        <f t="shared" si="39"/>
        <v>300</v>
      </c>
      <c r="L75" s="99"/>
      <c r="M75" s="82"/>
      <c r="N75" s="203">
        <f t="shared" si="40"/>
        <v>0</v>
      </c>
      <c r="O75" s="224">
        <f t="shared" si="17"/>
        <v>0</v>
      </c>
    </row>
    <row r="76" spans="2:15" ht="14.25" x14ac:dyDescent="0.2">
      <c r="B76" s="50"/>
      <c r="C76" s="8"/>
      <c r="D76" s="8"/>
      <c r="E76" s="8"/>
      <c r="F76" s="58">
        <v>613800</v>
      </c>
      <c r="G76" s="69"/>
      <c r="H76" s="9" t="s">
        <v>60</v>
      </c>
      <c r="I76" s="99">
        <v>0</v>
      </c>
      <c r="J76" s="82">
        <v>0</v>
      </c>
      <c r="K76" s="163">
        <f t="shared" si="39"/>
        <v>0</v>
      </c>
      <c r="L76" s="99"/>
      <c r="M76" s="82"/>
      <c r="N76" s="203">
        <f t="shared" si="40"/>
        <v>0</v>
      </c>
      <c r="O76" s="224" t="str">
        <f t="shared" si="17"/>
        <v/>
      </c>
    </row>
    <row r="77" spans="2:15" ht="14.25" x14ac:dyDescent="0.2">
      <c r="B77" s="50"/>
      <c r="C77" s="8"/>
      <c r="D77" s="8"/>
      <c r="E77" s="8"/>
      <c r="F77" s="58">
        <v>613900</v>
      </c>
      <c r="G77" s="69"/>
      <c r="H77" s="9" t="s">
        <v>61</v>
      </c>
      <c r="I77" s="99">
        <v>1000</v>
      </c>
      <c r="J77" s="82">
        <v>0</v>
      </c>
      <c r="K77" s="163">
        <f t="shared" si="39"/>
        <v>1000</v>
      </c>
      <c r="L77" s="99"/>
      <c r="M77" s="82"/>
      <c r="N77" s="203">
        <f t="shared" si="40"/>
        <v>0</v>
      </c>
      <c r="O77" s="224">
        <f t="shared" si="17"/>
        <v>0</v>
      </c>
    </row>
    <row r="78" spans="2:15" ht="14.25" x14ac:dyDescent="0.2">
      <c r="B78" s="51"/>
      <c r="C78" s="4"/>
      <c r="D78" s="4"/>
      <c r="E78" s="135"/>
      <c r="F78" s="66"/>
      <c r="G78" s="78"/>
      <c r="H78" s="10"/>
      <c r="I78" s="108"/>
      <c r="J78" s="46"/>
      <c r="K78" s="164"/>
      <c r="L78" s="108"/>
      <c r="M78" s="46"/>
      <c r="N78" s="204"/>
      <c r="O78" s="224" t="str">
        <f t="shared" si="17"/>
        <v/>
      </c>
    </row>
    <row r="79" spans="2:15" ht="15" x14ac:dyDescent="0.25">
      <c r="B79" s="51"/>
      <c r="C79" s="4"/>
      <c r="D79" s="4"/>
      <c r="E79" s="4"/>
      <c r="F79" s="57">
        <v>821000</v>
      </c>
      <c r="G79" s="68"/>
      <c r="H79" s="10" t="s">
        <v>12</v>
      </c>
      <c r="I79" s="110">
        <f t="shared" ref="I79" si="41">SUM(I80:I81)</f>
        <v>1000</v>
      </c>
      <c r="J79" s="52">
        <f t="shared" ref="J79:N79" si="42">SUM(J80:J81)</f>
        <v>0</v>
      </c>
      <c r="K79" s="165">
        <f t="shared" si="42"/>
        <v>1000</v>
      </c>
      <c r="L79" s="110">
        <f t="shared" si="42"/>
        <v>0</v>
      </c>
      <c r="M79" s="52">
        <f t="shared" si="42"/>
        <v>0</v>
      </c>
      <c r="N79" s="205">
        <f t="shared" si="42"/>
        <v>0</v>
      </c>
      <c r="O79" s="228">
        <f t="shared" si="17"/>
        <v>0</v>
      </c>
    </row>
    <row r="80" spans="2:15" ht="14.25" x14ac:dyDescent="0.2">
      <c r="B80" s="50"/>
      <c r="C80" s="8"/>
      <c r="D80" s="8"/>
      <c r="E80" s="8"/>
      <c r="F80" s="58">
        <v>821200</v>
      </c>
      <c r="G80" s="69"/>
      <c r="H80" s="9" t="s">
        <v>13</v>
      </c>
      <c r="I80" s="108">
        <v>0</v>
      </c>
      <c r="J80" s="46">
        <v>0</v>
      </c>
      <c r="K80" s="163">
        <f t="shared" ref="K80:K81" si="43">SUM(I80:J80)</f>
        <v>0</v>
      </c>
      <c r="L80" s="108"/>
      <c r="M80" s="46"/>
      <c r="N80" s="203">
        <f t="shared" ref="N80:N81" si="44">SUM(L80:M80)</f>
        <v>0</v>
      </c>
      <c r="O80" s="224" t="str">
        <f t="shared" si="17"/>
        <v/>
      </c>
    </row>
    <row r="81" spans="2:15" ht="14.25" x14ac:dyDescent="0.2">
      <c r="B81" s="50"/>
      <c r="C81" s="8"/>
      <c r="D81" s="8"/>
      <c r="E81" s="8"/>
      <c r="F81" s="58">
        <v>821300</v>
      </c>
      <c r="G81" s="69"/>
      <c r="H81" s="9" t="s">
        <v>14</v>
      </c>
      <c r="I81" s="108">
        <v>1000</v>
      </c>
      <c r="J81" s="46">
        <v>0</v>
      </c>
      <c r="K81" s="163">
        <f t="shared" si="43"/>
        <v>1000</v>
      </c>
      <c r="L81" s="108"/>
      <c r="M81" s="46"/>
      <c r="N81" s="203">
        <f t="shared" si="44"/>
        <v>0</v>
      </c>
      <c r="O81" s="224">
        <f t="shared" si="17"/>
        <v>0</v>
      </c>
    </row>
    <row r="82" spans="2:15" ht="15" x14ac:dyDescent="0.25">
      <c r="B82" s="50"/>
      <c r="C82" s="8"/>
      <c r="D82" s="8"/>
      <c r="E82" s="8"/>
      <c r="F82" s="58"/>
      <c r="G82" s="69"/>
      <c r="H82" s="9"/>
      <c r="I82" s="110"/>
      <c r="J82" s="52"/>
      <c r="K82" s="165"/>
      <c r="L82" s="110"/>
      <c r="M82" s="52"/>
      <c r="N82" s="205"/>
      <c r="O82" s="224" t="str">
        <f t="shared" si="17"/>
        <v/>
      </c>
    </row>
    <row r="83" spans="2:15" ht="15" x14ac:dyDescent="0.25">
      <c r="B83" s="51"/>
      <c r="C83" s="4"/>
      <c r="D83" s="4"/>
      <c r="E83" s="4"/>
      <c r="F83" s="57"/>
      <c r="G83" s="68"/>
      <c r="H83" s="10" t="s">
        <v>15</v>
      </c>
      <c r="I83" s="110">
        <v>2</v>
      </c>
      <c r="J83" s="52"/>
      <c r="K83" s="165">
        <v>2</v>
      </c>
      <c r="L83" s="110"/>
      <c r="M83" s="52"/>
      <c r="N83" s="205"/>
      <c r="O83" s="224"/>
    </row>
    <row r="84" spans="2:15" ht="15" x14ac:dyDescent="0.25">
      <c r="B84" s="51"/>
      <c r="C84" s="4"/>
      <c r="D84" s="4"/>
      <c r="E84" s="4"/>
      <c r="F84" s="57"/>
      <c r="G84" s="68"/>
      <c r="H84" s="10" t="s">
        <v>24</v>
      </c>
      <c r="I84" s="110">
        <f t="shared" ref="I84:N84" si="45">I61+I65+I68+I79</f>
        <v>81540</v>
      </c>
      <c r="J84" s="52">
        <f t="shared" si="45"/>
        <v>0</v>
      </c>
      <c r="K84" s="165">
        <f t="shared" si="45"/>
        <v>81540</v>
      </c>
      <c r="L84" s="110">
        <f t="shared" si="45"/>
        <v>0</v>
      </c>
      <c r="M84" s="52">
        <f t="shared" si="45"/>
        <v>0</v>
      </c>
      <c r="N84" s="205">
        <f t="shared" si="45"/>
        <v>0</v>
      </c>
      <c r="O84" s="228">
        <f t="shared" si="17"/>
        <v>0</v>
      </c>
    </row>
    <row r="85" spans="2:15" ht="15" x14ac:dyDescent="0.25">
      <c r="B85" s="51"/>
      <c r="C85" s="4"/>
      <c r="D85" s="4"/>
      <c r="E85" s="4"/>
      <c r="F85" s="57"/>
      <c r="G85" s="68"/>
      <c r="H85" s="4" t="s">
        <v>16</v>
      </c>
      <c r="I85" s="110"/>
      <c r="J85" s="52"/>
      <c r="K85" s="165"/>
      <c r="L85" s="110"/>
      <c r="M85" s="52"/>
      <c r="N85" s="205"/>
      <c r="O85" s="224" t="str">
        <f t="shared" si="17"/>
        <v/>
      </c>
    </row>
    <row r="86" spans="2:15" ht="14.25" x14ac:dyDescent="0.2">
      <c r="B86" s="51"/>
      <c r="C86" s="4"/>
      <c r="D86" s="4"/>
      <c r="E86" s="4"/>
      <c r="F86" s="57"/>
      <c r="G86" s="68"/>
      <c r="H86" s="4" t="s">
        <v>17</v>
      </c>
      <c r="I86" s="108"/>
      <c r="J86" s="46"/>
      <c r="K86" s="164"/>
      <c r="L86" s="108"/>
      <c r="M86" s="46"/>
      <c r="N86" s="204"/>
      <c r="O86" s="224" t="str">
        <f t="shared" si="17"/>
        <v/>
      </c>
    </row>
    <row r="87" spans="2:15" ht="15" thickBot="1" x14ac:dyDescent="0.25">
      <c r="B87" s="6"/>
      <c r="C87" s="7"/>
      <c r="D87" s="7"/>
      <c r="E87" s="7"/>
      <c r="F87" s="59"/>
      <c r="G87" s="70"/>
      <c r="H87" s="7"/>
      <c r="I87" s="6"/>
      <c r="J87" s="7"/>
      <c r="K87" s="169"/>
      <c r="L87" s="6"/>
      <c r="M87" s="7"/>
      <c r="N87" s="215"/>
      <c r="O87" s="227" t="str">
        <f t="shared" si="17"/>
        <v/>
      </c>
    </row>
    <row r="88" spans="2:15" x14ac:dyDescent="0.2">
      <c r="O88" s="230" t="str">
        <f t="shared" si="17"/>
        <v/>
      </c>
    </row>
    <row r="89" spans="2:15" ht="15" x14ac:dyDescent="0.25">
      <c r="B89" s="2" t="s">
        <v>29</v>
      </c>
      <c r="C89" s="3" t="s">
        <v>3</v>
      </c>
      <c r="D89" s="3" t="s">
        <v>33</v>
      </c>
      <c r="E89" s="136" t="s">
        <v>136</v>
      </c>
      <c r="F89" s="49"/>
      <c r="G89" s="49"/>
      <c r="H89" s="182" t="s">
        <v>174</v>
      </c>
      <c r="I89" s="1"/>
      <c r="J89" s="49"/>
      <c r="K89" s="161"/>
      <c r="L89" s="1"/>
      <c r="M89" s="49"/>
      <c r="N89" s="201"/>
      <c r="O89" s="224" t="str">
        <f t="shared" si="17"/>
        <v/>
      </c>
    </row>
    <row r="90" spans="2:15" ht="15" x14ac:dyDescent="0.25">
      <c r="B90" s="51"/>
      <c r="C90" s="4"/>
      <c r="D90" s="4"/>
      <c r="E90" s="4"/>
      <c r="F90" s="57">
        <v>611000</v>
      </c>
      <c r="G90" s="68"/>
      <c r="H90" s="10" t="s">
        <v>57</v>
      </c>
      <c r="I90" s="177">
        <f>SUM(I91:I93)</f>
        <v>110660</v>
      </c>
      <c r="J90" s="32">
        <f t="shared" ref="J90:N90" si="46">SUM(J91:J93)</f>
        <v>0</v>
      </c>
      <c r="K90" s="162">
        <f t="shared" si="46"/>
        <v>110660</v>
      </c>
      <c r="L90" s="106">
        <f t="shared" si="46"/>
        <v>0</v>
      </c>
      <c r="M90" s="32">
        <f t="shared" si="46"/>
        <v>0</v>
      </c>
      <c r="N90" s="202">
        <f t="shared" si="46"/>
        <v>0</v>
      </c>
      <c r="O90" s="228">
        <f t="shared" si="17"/>
        <v>0</v>
      </c>
    </row>
    <row r="91" spans="2:15" ht="14.25" x14ac:dyDescent="0.2">
      <c r="B91" s="50"/>
      <c r="C91" s="8"/>
      <c r="D91" s="8"/>
      <c r="E91" s="8"/>
      <c r="F91" s="58">
        <v>611100</v>
      </c>
      <c r="G91" s="69"/>
      <c r="H91" s="9" t="s">
        <v>68</v>
      </c>
      <c r="I91" s="99">
        <f>88840+300+5070</f>
        <v>94210</v>
      </c>
      <c r="J91" s="31">
        <v>0</v>
      </c>
      <c r="K91" s="163">
        <f>SUM(I91:J91)</f>
        <v>94210</v>
      </c>
      <c r="L91" s="107"/>
      <c r="M91" s="31"/>
      <c r="N91" s="203">
        <f>SUM(L91:M91)</f>
        <v>0</v>
      </c>
      <c r="O91" s="224">
        <f t="shared" si="17"/>
        <v>0</v>
      </c>
    </row>
    <row r="92" spans="2:15" ht="14.25" x14ac:dyDescent="0.2">
      <c r="B92" s="50"/>
      <c r="C92" s="8"/>
      <c r="D92" s="8"/>
      <c r="E92" s="8"/>
      <c r="F92" s="58">
        <v>611200</v>
      </c>
      <c r="G92" s="69"/>
      <c r="H92" s="9" t="s">
        <v>69</v>
      </c>
      <c r="I92" s="99">
        <f>16450</f>
        <v>16450</v>
      </c>
      <c r="J92" s="31">
        <v>0</v>
      </c>
      <c r="K92" s="163">
        <f t="shared" ref="K92" si="47">SUM(I92:J92)</f>
        <v>16450</v>
      </c>
      <c r="L92" s="107"/>
      <c r="M92" s="31"/>
      <c r="N92" s="203">
        <f t="shared" ref="N92" si="48">SUM(L92:M92)</f>
        <v>0</v>
      </c>
      <c r="O92" s="224">
        <f t="shared" si="17"/>
        <v>0</v>
      </c>
    </row>
    <row r="93" spans="2:15" ht="14.25" x14ac:dyDescent="0.2">
      <c r="B93" s="50"/>
      <c r="C93" s="8"/>
      <c r="D93" s="8"/>
      <c r="E93" s="8"/>
      <c r="F93" s="58"/>
      <c r="G93" s="69"/>
      <c r="H93" s="9"/>
      <c r="I93" s="99"/>
      <c r="J93" s="31"/>
      <c r="K93" s="163"/>
      <c r="L93" s="107"/>
      <c r="M93" s="31"/>
      <c r="N93" s="203"/>
      <c r="O93" s="224" t="str">
        <f t="shared" si="17"/>
        <v/>
      </c>
    </row>
    <row r="94" spans="2:15" ht="15" x14ac:dyDescent="0.25">
      <c r="B94" s="51"/>
      <c r="C94" s="4"/>
      <c r="D94" s="4"/>
      <c r="E94" s="4"/>
      <c r="F94" s="57">
        <v>612000</v>
      </c>
      <c r="G94" s="68"/>
      <c r="H94" s="10" t="s">
        <v>56</v>
      </c>
      <c r="I94" s="177">
        <f t="shared" ref="I94" si="49">I95</f>
        <v>4650</v>
      </c>
      <c r="J94" s="32">
        <f t="shared" ref="J94:N94" si="50">J95</f>
        <v>0</v>
      </c>
      <c r="K94" s="162">
        <f t="shared" si="50"/>
        <v>4650</v>
      </c>
      <c r="L94" s="106">
        <f t="shared" si="50"/>
        <v>0</v>
      </c>
      <c r="M94" s="32">
        <f t="shared" si="50"/>
        <v>0</v>
      </c>
      <c r="N94" s="202">
        <f t="shared" si="50"/>
        <v>0</v>
      </c>
      <c r="O94" s="228">
        <f t="shared" si="17"/>
        <v>0</v>
      </c>
    </row>
    <row r="95" spans="2:15" ht="14.25" x14ac:dyDescent="0.2">
      <c r="B95" s="50"/>
      <c r="C95" s="8"/>
      <c r="D95" s="8"/>
      <c r="E95" s="8"/>
      <c r="F95" s="58">
        <v>612100</v>
      </c>
      <c r="G95" s="69"/>
      <c r="H95" s="145" t="s">
        <v>5</v>
      </c>
      <c r="I95" s="99">
        <f>4400+250</f>
        <v>4650</v>
      </c>
      <c r="J95" s="31">
        <v>0</v>
      </c>
      <c r="K95" s="163">
        <f>SUM(I95:J95)</f>
        <v>4650</v>
      </c>
      <c r="L95" s="107"/>
      <c r="M95" s="31"/>
      <c r="N95" s="203">
        <f>SUM(L95:M95)</f>
        <v>0</v>
      </c>
      <c r="O95" s="224">
        <f t="shared" si="17"/>
        <v>0</v>
      </c>
    </row>
    <row r="96" spans="2:15" ht="14.25" x14ac:dyDescent="0.2">
      <c r="B96" s="50"/>
      <c r="C96" s="8"/>
      <c r="D96" s="8"/>
      <c r="E96" s="8"/>
      <c r="F96" s="58"/>
      <c r="G96" s="69"/>
      <c r="H96" s="9"/>
      <c r="I96" s="99"/>
      <c r="J96" s="46"/>
      <c r="K96" s="164"/>
      <c r="L96" s="108"/>
      <c r="M96" s="46"/>
      <c r="N96" s="204"/>
      <c r="O96" s="224" t="str">
        <f t="shared" si="17"/>
        <v/>
      </c>
    </row>
    <row r="97" spans="2:15" ht="15" x14ac:dyDescent="0.25">
      <c r="B97" s="51"/>
      <c r="C97" s="4"/>
      <c r="D97" s="4"/>
      <c r="E97" s="4"/>
      <c r="F97" s="57">
        <v>613000</v>
      </c>
      <c r="G97" s="68"/>
      <c r="H97" s="10" t="s">
        <v>58</v>
      </c>
      <c r="I97" s="178">
        <f>SUM(I98:I106)</f>
        <v>7650</v>
      </c>
      <c r="J97" s="55">
        <f t="shared" ref="J97:N97" si="51">SUM(J98:J106)</f>
        <v>0</v>
      </c>
      <c r="K97" s="165">
        <f t="shared" si="51"/>
        <v>7650</v>
      </c>
      <c r="L97" s="109">
        <f t="shared" si="51"/>
        <v>0</v>
      </c>
      <c r="M97" s="55">
        <f t="shared" si="51"/>
        <v>0</v>
      </c>
      <c r="N97" s="205">
        <f t="shared" si="51"/>
        <v>0</v>
      </c>
      <c r="O97" s="228">
        <f t="shared" si="17"/>
        <v>0</v>
      </c>
    </row>
    <row r="98" spans="2:15" ht="14.25" x14ac:dyDescent="0.2">
      <c r="B98" s="50"/>
      <c r="C98" s="8"/>
      <c r="D98" s="8"/>
      <c r="E98" s="8"/>
      <c r="F98" s="58">
        <v>613100</v>
      </c>
      <c r="G98" s="69"/>
      <c r="H98" s="9" t="s">
        <v>6</v>
      </c>
      <c r="I98" s="99">
        <v>750</v>
      </c>
      <c r="J98" s="82">
        <v>0</v>
      </c>
      <c r="K98" s="163">
        <f t="shared" ref="K98:K106" si="52">SUM(I98:J98)</f>
        <v>750</v>
      </c>
      <c r="L98" s="99"/>
      <c r="M98" s="82"/>
      <c r="N98" s="203">
        <f t="shared" ref="N98:N106" si="53">SUM(L98:M98)</f>
        <v>0</v>
      </c>
      <c r="O98" s="224">
        <f t="shared" si="17"/>
        <v>0</v>
      </c>
    </row>
    <row r="99" spans="2:15" ht="14.25" x14ac:dyDescent="0.2">
      <c r="B99" s="50"/>
      <c r="C99" s="8"/>
      <c r="D99" s="8"/>
      <c r="E99" s="8"/>
      <c r="F99" s="58">
        <v>613200</v>
      </c>
      <c r="G99" s="69"/>
      <c r="H99" s="9" t="s">
        <v>7</v>
      </c>
      <c r="I99" s="99">
        <v>0</v>
      </c>
      <c r="J99" s="82">
        <v>0</v>
      </c>
      <c r="K99" s="163">
        <f t="shared" si="52"/>
        <v>0</v>
      </c>
      <c r="L99" s="99"/>
      <c r="M99" s="82"/>
      <c r="N99" s="203">
        <f t="shared" si="53"/>
        <v>0</v>
      </c>
      <c r="O99" s="224" t="str">
        <f t="shared" si="17"/>
        <v/>
      </c>
    </row>
    <row r="100" spans="2:15" ht="14.25" x14ac:dyDescent="0.2">
      <c r="B100" s="50"/>
      <c r="C100" s="8"/>
      <c r="D100" s="8"/>
      <c r="E100" s="8"/>
      <c r="F100" s="58">
        <v>613300</v>
      </c>
      <c r="G100" s="69"/>
      <c r="H100" s="9" t="s">
        <v>70</v>
      </c>
      <c r="I100" s="99">
        <v>3500</v>
      </c>
      <c r="J100" s="82">
        <v>0</v>
      </c>
      <c r="K100" s="163">
        <f t="shared" si="52"/>
        <v>3500</v>
      </c>
      <c r="L100" s="99"/>
      <c r="M100" s="82"/>
      <c r="N100" s="203">
        <f t="shared" si="53"/>
        <v>0</v>
      </c>
      <c r="O100" s="224">
        <f t="shared" si="17"/>
        <v>0</v>
      </c>
    </row>
    <row r="101" spans="2:15" ht="14.25" x14ac:dyDescent="0.2">
      <c r="B101" s="50"/>
      <c r="C101" s="8"/>
      <c r="D101" s="8"/>
      <c r="E101" s="8"/>
      <c r="F101" s="58">
        <v>613400</v>
      </c>
      <c r="G101" s="69"/>
      <c r="H101" s="9" t="s">
        <v>59</v>
      </c>
      <c r="I101" s="99">
        <v>550</v>
      </c>
      <c r="J101" s="82">
        <v>0</v>
      </c>
      <c r="K101" s="163">
        <f t="shared" si="52"/>
        <v>550</v>
      </c>
      <c r="L101" s="99"/>
      <c r="M101" s="82"/>
      <c r="N101" s="203">
        <f t="shared" si="53"/>
        <v>0</v>
      </c>
      <c r="O101" s="224">
        <f t="shared" si="17"/>
        <v>0</v>
      </c>
    </row>
    <row r="102" spans="2:15" ht="14.25" x14ac:dyDescent="0.2">
      <c r="B102" s="50"/>
      <c r="C102" s="8"/>
      <c r="D102" s="8"/>
      <c r="E102" s="8"/>
      <c r="F102" s="58">
        <v>613500</v>
      </c>
      <c r="G102" s="69"/>
      <c r="H102" s="9" t="s">
        <v>8</v>
      </c>
      <c r="I102" s="99">
        <v>0</v>
      </c>
      <c r="J102" s="82">
        <v>0</v>
      </c>
      <c r="K102" s="163">
        <f t="shared" si="52"/>
        <v>0</v>
      </c>
      <c r="L102" s="99"/>
      <c r="M102" s="82"/>
      <c r="N102" s="203">
        <f t="shared" si="53"/>
        <v>0</v>
      </c>
      <c r="O102" s="224" t="str">
        <f t="shared" si="17"/>
        <v/>
      </c>
    </row>
    <row r="103" spans="2:15" ht="14.25" x14ac:dyDescent="0.2">
      <c r="B103" s="50"/>
      <c r="C103" s="8"/>
      <c r="D103" s="8"/>
      <c r="E103" s="8"/>
      <c r="F103" s="58">
        <v>613600</v>
      </c>
      <c r="G103" s="69"/>
      <c r="H103" s="9" t="s">
        <v>71</v>
      </c>
      <c r="I103" s="99">
        <v>0</v>
      </c>
      <c r="J103" s="82">
        <v>0</v>
      </c>
      <c r="K103" s="163">
        <f t="shared" si="52"/>
        <v>0</v>
      </c>
      <c r="L103" s="99"/>
      <c r="M103" s="82"/>
      <c r="N103" s="203">
        <f t="shared" si="53"/>
        <v>0</v>
      </c>
      <c r="O103" s="224" t="str">
        <f t="shared" si="17"/>
        <v/>
      </c>
    </row>
    <row r="104" spans="2:15" ht="14.25" x14ac:dyDescent="0.2">
      <c r="B104" s="50"/>
      <c r="C104" s="8"/>
      <c r="D104" s="8"/>
      <c r="E104" s="8"/>
      <c r="F104" s="58">
        <v>613700</v>
      </c>
      <c r="G104" s="69"/>
      <c r="H104" s="9" t="s">
        <v>9</v>
      </c>
      <c r="I104" s="99">
        <v>850</v>
      </c>
      <c r="J104" s="82">
        <v>0</v>
      </c>
      <c r="K104" s="163">
        <f t="shared" si="52"/>
        <v>850</v>
      </c>
      <c r="L104" s="99"/>
      <c r="M104" s="82"/>
      <c r="N104" s="203">
        <f t="shared" si="53"/>
        <v>0</v>
      </c>
      <c r="O104" s="224">
        <f t="shared" si="17"/>
        <v>0</v>
      </c>
    </row>
    <row r="105" spans="2:15" ht="14.25" x14ac:dyDescent="0.2">
      <c r="B105" s="50"/>
      <c r="C105" s="8"/>
      <c r="D105" s="8"/>
      <c r="E105" s="8"/>
      <c r="F105" s="58">
        <v>613800</v>
      </c>
      <c r="G105" s="69"/>
      <c r="H105" s="9" t="s">
        <v>60</v>
      </c>
      <c r="I105" s="99">
        <v>0</v>
      </c>
      <c r="J105" s="82">
        <v>0</v>
      </c>
      <c r="K105" s="163">
        <f t="shared" si="52"/>
        <v>0</v>
      </c>
      <c r="L105" s="99"/>
      <c r="M105" s="82"/>
      <c r="N105" s="203">
        <f t="shared" si="53"/>
        <v>0</v>
      </c>
      <c r="O105" s="224" t="str">
        <f t="shared" ref="O105:O164" si="54">IF(K105=0,"",N105/K105*100)</f>
        <v/>
      </c>
    </row>
    <row r="106" spans="2:15" ht="14.25" x14ac:dyDescent="0.2">
      <c r="B106" s="50"/>
      <c r="C106" s="8"/>
      <c r="D106" s="8"/>
      <c r="E106" s="8"/>
      <c r="F106" s="58">
        <v>613900</v>
      </c>
      <c r="G106" s="69"/>
      <c r="H106" s="9" t="s">
        <v>61</v>
      </c>
      <c r="I106" s="99">
        <v>2000</v>
      </c>
      <c r="J106" s="82">
        <v>0</v>
      </c>
      <c r="K106" s="163">
        <f t="shared" si="52"/>
        <v>2000</v>
      </c>
      <c r="L106" s="99"/>
      <c r="M106" s="82"/>
      <c r="N106" s="203">
        <f t="shared" si="53"/>
        <v>0</v>
      </c>
      <c r="O106" s="224">
        <f t="shared" si="54"/>
        <v>0</v>
      </c>
    </row>
    <row r="107" spans="2:15" ht="14.25" x14ac:dyDescent="0.2">
      <c r="B107" s="51"/>
      <c r="C107" s="4"/>
      <c r="D107" s="4"/>
      <c r="E107" s="135"/>
      <c r="F107" s="66"/>
      <c r="G107" s="78"/>
      <c r="H107" s="10"/>
      <c r="I107" s="99"/>
      <c r="J107" s="46"/>
      <c r="K107" s="164"/>
      <c r="L107" s="108"/>
      <c r="M107" s="46"/>
      <c r="N107" s="204"/>
      <c r="O107" s="224" t="str">
        <f t="shared" si="54"/>
        <v/>
      </c>
    </row>
    <row r="108" spans="2:15" ht="15" x14ac:dyDescent="0.25">
      <c r="B108" s="51"/>
      <c r="C108" s="4"/>
      <c r="D108" s="4"/>
      <c r="E108" s="4"/>
      <c r="F108" s="57">
        <v>821000</v>
      </c>
      <c r="G108" s="68"/>
      <c r="H108" s="10" t="s">
        <v>12</v>
      </c>
      <c r="I108" s="177">
        <f t="shared" ref="I108" si="55">SUM(I109:I110)</f>
        <v>2000</v>
      </c>
      <c r="J108" s="52">
        <f t="shared" ref="J108:N108" si="56">SUM(J109:J110)</f>
        <v>0</v>
      </c>
      <c r="K108" s="165">
        <f t="shared" si="56"/>
        <v>2000</v>
      </c>
      <c r="L108" s="110">
        <f t="shared" si="56"/>
        <v>0</v>
      </c>
      <c r="M108" s="52">
        <f t="shared" si="56"/>
        <v>0</v>
      </c>
      <c r="N108" s="205">
        <f t="shared" si="56"/>
        <v>0</v>
      </c>
      <c r="O108" s="228">
        <f t="shared" si="54"/>
        <v>0</v>
      </c>
    </row>
    <row r="109" spans="2:15" ht="14.25" x14ac:dyDescent="0.2">
      <c r="B109" s="50"/>
      <c r="C109" s="8"/>
      <c r="D109" s="8"/>
      <c r="E109" s="8"/>
      <c r="F109" s="58">
        <v>821200</v>
      </c>
      <c r="G109" s="69"/>
      <c r="H109" s="9" t="s">
        <v>13</v>
      </c>
      <c r="I109" s="99">
        <v>0</v>
      </c>
      <c r="J109" s="46">
        <v>0</v>
      </c>
      <c r="K109" s="163">
        <f t="shared" ref="K109:K110" si="57">SUM(I109:J109)</f>
        <v>0</v>
      </c>
      <c r="L109" s="108"/>
      <c r="M109" s="46"/>
      <c r="N109" s="203">
        <f t="shared" ref="N109:N110" si="58">SUM(L109:M109)</f>
        <v>0</v>
      </c>
      <c r="O109" s="224" t="str">
        <f t="shared" si="54"/>
        <v/>
      </c>
    </row>
    <row r="110" spans="2:15" ht="14.25" x14ac:dyDescent="0.2">
      <c r="B110" s="50"/>
      <c r="C110" s="8"/>
      <c r="D110" s="8"/>
      <c r="E110" s="8"/>
      <c r="F110" s="58">
        <v>821300</v>
      </c>
      <c r="G110" s="69"/>
      <c r="H110" s="9" t="s">
        <v>14</v>
      </c>
      <c r="I110" s="99">
        <v>2000</v>
      </c>
      <c r="J110" s="46">
        <v>0</v>
      </c>
      <c r="K110" s="163">
        <f t="shared" si="57"/>
        <v>2000</v>
      </c>
      <c r="L110" s="108"/>
      <c r="M110" s="46"/>
      <c r="N110" s="203">
        <f t="shared" si="58"/>
        <v>0</v>
      </c>
      <c r="O110" s="224">
        <f t="shared" si="54"/>
        <v>0</v>
      </c>
    </row>
    <row r="111" spans="2:15" ht="14.25" x14ac:dyDescent="0.2">
      <c r="B111" s="50"/>
      <c r="C111" s="8"/>
      <c r="D111" s="8"/>
      <c r="E111" s="8"/>
      <c r="F111" s="58"/>
      <c r="G111" s="69"/>
      <c r="H111" s="9"/>
      <c r="I111" s="99"/>
      <c r="J111" s="46"/>
      <c r="K111" s="164"/>
      <c r="L111" s="108"/>
      <c r="M111" s="46"/>
      <c r="N111" s="204"/>
      <c r="O111" s="224" t="str">
        <f t="shared" si="54"/>
        <v/>
      </c>
    </row>
    <row r="112" spans="2:15" ht="15" x14ac:dyDescent="0.25">
      <c r="B112" s="51"/>
      <c r="C112" s="4"/>
      <c r="D112" s="4"/>
      <c r="E112" s="4"/>
      <c r="F112" s="57"/>
      <c r="G112" s="68"/>
      <c r="H112" s="10" t="s">
        <v>15</v>
      </c>
      <c r="I112" s="266" t="s">
        <v>345</v>
      </c>
      <c r="J112" s="47"/>
      <c r="K112" s="166" t="s">
        <v>345</v>
      </c>
      <c r="L112" s="110"/>
      <c r="M112" s="52"/>
      <c r="N112" s="205"/>
      <c r="O112" s="224"/>
    </row>
    <row r="113" spans="2:15" ht="15" x14ac:dyDescent="0.25">
      <c r="B113" s="51"/>
      <c r="C113" s="4"/>
      <c r="D113" s="4"/>
      <c r="E113" s="4"/>
      <c r="F113" s="57"/>
      <c r="G113" s="68"/>
      <c r="H113" s="4" t="s">
        <v>24</v>
      </c>
      <c r="I113" s="110">
        <f t="shared" ref="I113:N113" si="59">I90+I94+I97+I108</f>
        <v>124960</v>
      </c>
      <c r="J113" s="52">
        <f t="shared" si="59"/>
        <v>0</v>
      </c>
      <c r="K113" s="165">
        <f t="shared" si="59"/>
        <v>124960</v>
      </c>
      <c r="L113" s="110">
        <f t="shared" si="59"/>
        <v>0</v>
      </c>
      <c r="M113" s="52">
        <f t="shared" si="59"/>
        <v>0</v>
      </c>
      <c r="N113" s="205">
        <f t="shared" si="59"/>
        <v>0</v>
      </c>
      <c r="O113" s="228">
        <f t="shared" si="54"/>
        <v>0</v>
      </c>
    </row>
    <row r="114" spans="2:15" ht="15" x14ac:dyDescent="0.25">
      <c r="B114" s="51"/>
      <c r="C114" s="4"/>
      <c r="D114" s="4"/>
      <c r="E114" s="4"/>
      <c r="F114" s="57"/>
      <c r="G114" s="68"/>
      <c r="H114" s="4" t="s">
        <v>16</v>
      </c>
      <c r="I114" s="110"/>
      <c r="J114" s="52"/>
      <c r="K114" s="165"/>
      <c r="L114" s="110"/>
      <c r="M114" s="52"/>
      <c r="N114" s="205"/>
      <c r="O114" s="224" t="str">
        <f t="shared" si="54"/>
        <v/>
      </c>
    </row>
    <row r="115" spans="2:15" ht="15" x14ac:dyDescent="0.25">
      <c r="B115" s="51"/>
      <c r="C115" s="4"/>
      <c r="D115" s="4"/>
      <c r="E115" s="4"/>
      <c r="F115" s="57"/>
      <c r="G115" s="68"/>
      <c r="H115" s="4" t="s">
        <v>17</v>
      </c>
      <c r="I115" s="110"/>
      <c r="J115" s="52"/>
      <c r="K115" s="165"/>
      <c r="L115" s="110"/>
      <c r="M115" s="52"/>
      <c r="N115" s="205"/>
      <c r="O115" s="224" t="str">
        <f t="shared" si="54"/>
        <v/>
      </c>
    </row>
    <row r="116" spans="2:15" ht="15" thickBot="1" x14ac:dyDescent="0.25">
      <c r="B116" s="6"/>
      <c r="C116" s="7"/>
      <c r="D116" s="7"/>
      <c r="E116" s="7"/>
      <c r="F116" s="59"/>
      <c r="G116" s="70"/>
      <c r="H116" s="7"/>
      <c r="I116" s="6"/>
      <c r="J116" s="7"/>
      <c r="K116" s="169"/>
      <c r="L116" s="6"/>
      <c r="M116" s="7"/>
      <c r="N116" s="215"/>
      <c r="O116" s="227" t="str">
        <f t="shared" si="54"/>
        <v/>
      </c>
    </row>
    <row r="117" spans="2:15" x14ac:dyDescent="0.2">
      <c r="O117" s="230" t="str">
        <f t="shared" si="54"/>
        <v/>
      </c>
    </row>
    <row r="118" spans="2:15" ht="15" x14ac:dyDescent="0.25">
      <c r="B118" s="2" t="s">
        <v>29</v>
      </c>
      <c r="C118" s="3" t="s">
        <v>3</v>
      </c>
      <c r="D118" s="3" t="s">
        <v>46</v>
      </c>
      <c r="E118" s="136" t="s">
        <v>136</v>
      </c>
      <c r="F118" s="49"/>
      <c r="G118" s="49"/>
      <c r="H118" s="182" t="s">
        <v>358</v>
      </c>
      <c r="I118" s="1"/>
      <c r="J118" s="49"/>
      <c r="K118" s="161"/>
      <c r="L118" s="1"/>
      <c r="M118" s="49"/>
      <c r="N118" s="201"/>
      <c r="O118" s="224" t="str">
        <f t="shared" si="54"/>
        <v/>
      </c>
    </row>
    <row r="119" spans="2:15" ht="15" x14ac:dyDescent="0.25">
      <c r="B119" s="51"/>
      <c r="C119" s="4"/>
      <c r="D119" s="4"/>
      <c r="E119" s="4"/>
      <c r="F119" s="57">
        <v>611000</v>
      </c>
      <c r="G119" s="68"/>
      <c r="H119" s="10" t="s">
        <v>57</v>
      </c>
      <c r="I119" s="177">
        <f>I120+I121</f>
        <v>336790</v>
      </c>
      <c r="J119" s="36">
        <f t="shared" ref="J119:N119" si="60">SUM(J120:J122)</f>
        <v>0</v>
      </c>
      <c r="K119" s="162">
        <f t="shared" si="60"/>
        <v>336790</v>
      </c>
      <c r="L119" s="113">
        <f t="shared" si="60"/>
        <v>0</v>
      </c>
      <c r="M119" s="36">
        <f t="shared" si="60"/>
        <v>0</v>
      </c>
      <c r="N119" s="202">
        <f t="shared" si="60"/>
        <v>0</v>
      </c>
      <c r="O119" s="228">
        <f t="shared" si="54"/>
        <v>0</v>
      </c>
    </row>
    <row r="120" spans="2:15" ht="14.25" x14ac:dyDescent="0.2">
      <c r="B120" s="50"/>
      <c r="C120" s="8"/>
      <c r="D120" s="8"/>
      <c r="E120" s="8"/>
      <c r="F120" s="58">
        <v>611100</v>
      </c>
      <c r="G120" s="69"/>
      <c r="H120" s="9" t="s">
        <v>68</v>
      </c>
      <c r="I120" s="99">
        <f>236740+3*730+13500+2*6*2350</f>
        <v>280630</v>
      </c>
      <c r="J120" s="37">
        <v>0</v>
      </c>
      <c r="K120" s="163">
        <f>SUM(I120:J120)</f>
        <v>280630</v>
      </c>
      <c r="L120" s="114"/>
      <c r="M120" s="37"/>
      <c r="N120" s="203">
        <f>SUM(L120:M120)</f>
        <v>0</v>
      </c>
      <c r="O120" s="224">
        <f t="shared" si="54"/>
        <v>0</v>
      </c>
    </row>
    <row r="121" spans="2:15" ht="14.25" x14ac:dyDescent="0.2">
      <c r="B121" s="50"/>
      <c r="C121" s="8"/>
      <c r="D121" s="8"/>
      <c r="E121" s="8"/>
      <c r="F121" s="58">
        <v>611200</v>
      </c>
      <c r="G121" s="69"/>
      <c r="H121" s="9" t="s">
        <v>69</v>
      </c>
      <c r="I121" s="99">
        <f>43300+3*1620+2*850+2*3150</f>
        <v>56160</v>
      </c>
      <c r="J121" s="37">
        <v>0</v>
      </c>
      <c r="K121" s="163">
        <f t="shared" ref="K121" si="61">SUM(I121:J121)</f>
        <v>56160</v>
      </c>
      <c r="L121" s="114"/>
      <c r="M121" s="37"/>
      <c r="N121" s="203">
        <f t="shared" ref="N121" si="62">SUM(L121:M121)</f>
        <v>0</v>
      </c>
      <c r="O121" s="224">
        <f t="shared" si="54"/>
        <v>0</v>
      </c>
    </row>
    <row r="122" spans="2:15" ht="14.25" x14ac:dyDescent="0.2">
      <c r="B122" s="50"/>
      <c r="C122" s="8"/>
      <c r="D122" s="8"/>
      <c r="E122" s="8"/>
      <c r="F122" s="58"/>
      <c r="G122" s="69"/>
      <c r="H122" s="9"/>
      <c r="I122" s="99"/>
      <c r="J122" s="37"/>
      <c r="K122" s="163"/>
      <c r="L122" s="114"/>
      <c r="M122" s="37"/>
      <c r="N122" s="203"/>
      <c r="O122" s="224" t="str">
        <f t="shared" si="54"/>
        <v/>
      </c>
    </row>
    <row r="123" spans="2:15" ht="15" x14ac:dyDescent="0.25">
      <c r="B123" s="51"/>
      <c r="C123" s="4"/>
      <c r="D123" s="4"/>
      <c r="E123" s="4"/>
      <c r="F123" s="57">
        <v>612000</v>
      </c>
      <c r="G123" s="68"/>
      <c r="H123" s="10" t="s">
        <v>56</v>
      </c>
      <c r="I123" s="177">
        <f>I124</f>
        <v>14400</v>
      </c>
      <c r="J123" s="36">
        <f t="shared" ref="J123:N123" si="63">J124</f>
        <v>0</v>
      </c>
      <c r="K123" s="162">
        <f t="shared" si="63"/>
        <v>14400</v>
      </c>
      <c r="L123" s="113">
        <f t="shared" si="63"/>
        <v>0</v>
      </c>
      <c r="M123" s="36">
        <f t="shared" si="63"/>
        <v>0</v>
      </c>
      <c r="N123" s="202">
        <f t="shared" si="63"/>
        <v>0</v>
      </c>
      <c r="O123" s="228">
        <f t="shared" si="54"/>
        <v>0</v>
      </c>
    </row>
    <row r="124" spans="2:15" ht="14.25" x14ac:dyDescent="0.2">
      <c r="B124" s="50"/>
      <c r="C124" s="8"/>
      <c r="D124" s="8"/>
      <c r="E124" s="8"/>
      <c r="F124" s="58">
        <v>612100</v>
      </c>
      <c r="G124" s="69"/>
      <c r="H124" s="145" t="s">
        <v>5</v>
      </c>
      <c r="I124" s="99">
        <f>11910+3*120+690+2*6*120</f>
        <v>14400</v>
      </c>
      <c r="J124" s="37">
        <v>0</v>
      </c>
      <c r="K124" s="163">
        <f>SUM(I124:J124)</f>
        <v>14400</v>
      </c>
      <c r="L124" s="114"/>
      <c r="M124" s="37"/>
      <c r="N124" s="203">
        <f>SUM(L124:M124)</f>
        <v>0</v>
      </c>
      <c r="O124" s="224">
        <f t="shared" si="54"/>
        <v>0</v>
      </c>
    </row>
    <row r="125" spans="2:15" ht="14.25" x14ac:dyDescent="0.2">
      <c r="B125" s="50"/>
      <c r="C125" s="8"/>
      <c r="D125" s="8"/>
      <c r="E125" s="8"/>
      <c r="F125" s="58"/>
      <c r="G125" s="69"/>
      <c r="H125" s="9"/>
      <c r="I125" s="99"/>
      <c r="J125" s="46"/>
      <c r="K125" s="164"/>
      <c r="L125" s="108"/>
      <c r="M125" s="46"/>
      <c r="N125" s="204"/>
      <c r="O125" s="224" t="str">
        <f t="shared" si="54"/>
        <v/>
      </c>
    </row>
    <row r="126" spans="2:15" ht="15" x14ac:dyDescent="0.25">
      <c r="B126" s="51"/>
      <c r="C126" s="4"/>
      <c r="D126" s="4"/>
      <c r="E126" s="4"/>
      <c r="F126" s="57">
        <v>613000</v>
      </c>
      <c r="G126" s="68"/>
      <c r="H126" s="10" t="s">
        <v>58</v>
      </c>
      <c r="I126" s="178">
        <f>SUM(I127:I135)</f>
        <v>34500</v>
      </c>
      <c r="J126" s="55">
        <f t="shared" ref="J126:N126" si="64">SUM(J127:J135)</f>
        <v>0</v>
      </c>
      <c r="K126" s="165">
        <f t="shared" si="64"/>
        <v>34500</v>
      </c>
      <c r="L126" s="109">
        <f t="shared" si="64"/>
        <v>0</v>
      </c>
      <c r="M126" s="55">
        <f t="shared" si="64"/>
        <v>0</v>
      </c>
      <c r="N126" s="205">
        <f t="shared" si="64"/>
        <v>0</v>
      </c>
      <c r="O126" s="228">
        <f t="shared" si="54"/>
        <v>0</v>
      </c>
    </row>
    <row r="127" spans="2:15" ht="14.25" x14ac:dyDescent="0.2">
      <c r="B127" s="50"/>
      <c r="C127" s="8"/>
      <c r="D127" s="8"/>
      <c r="E127" s="8"/>
      <c r="F127" s="58">
        <v>613100</v>
      </c>
      <c r="G127" s="69"/>
      <c r="H127" s="9" t="s">
        <v>6</v>
      </c>
      <c r="I127" s="99">
        <v>10000</v>
      </c>
      <c r="J127" s="82">
        <v>0</v>
      </c>
      <c r="K127" s="163">
        <f t="shared" ref="K127:K135" si="65">SUM(I127:J127)</f>
        <v>10000</v>
      </c>
      <c r="L127" s="99"/>
      <c r="M127" s="82"/>
      <c r="N127" s="203">
        <f t="shared" ref="N127:N135" si="66">SUM(L127:M127)</f>
        <v>0</v>
      </c>
      <c r="O127" s="224">
        <f t="shared" si="54"/>
        <v>0</v>
      </c>
    </row>
    <row r="128" spans="2:15" ht="14.25" x14ac:dyDescent="0.2">
      <c r="B128" s="50"/>
      <c r="C128" s="8"/>
      <c r="D128" s="8"/>
      <c r="E128" s="8"/>
      <c r="F128" s="58">
        <v>613200</v>
      </c>
      <c r="G128" s="69"/>
      <c r="H128" s="9" t="s">
        <v>7</v>
      </c>
      <c r="I128" s="99">
        <v>0</v>
      </c>
      <c r="J128" s="82">
        <v>0</v>
      </c>
      <c r="K128" s="163">
        <f t="shared" si="65"/>
        <v>0</v>
      </c>
      <c r="L128" s="99"/>
      <c r="M128" s="82"/>
      <c r="N128" s="203">
        <f t="shared" si="66"/>
        <v>0</v>
      </c>
      <c r="O128" s="224" t="str">
        <f t="shared" si="54"/>
        <v/>
      </c>
    </row>
    <row r="129" spans="2:15" ht="14.25" x14ac:dyDescent="0.2">
      <c r="B129" s="50"/>
      <c r="C129" s="8"/>
      <c r="D129" s="8"/>
      <c r="E129" s="8"/>
      <c r="F129" s="58">
        <v>613300</v>
      </c>
      <c r="G129" s="69"/>
      <c r="H129" s="9" t="s">
        <v>70</v>
      </c>
      <c r="I129" s="99">
        <v>2500</v>
      </c>
      <c r="J129" s="82">
        <v>0</v>
      </c>
      <c r="K129" s="163">
        <f t="shared" si="65"/>
        <v>2500</v>
      </c>
      <c r="L129" s="99"/>
      <c r="M129" s="82"/>
      <c r="N129" s="203">
        <f t="shared" si="66"/>
        <v>0</v>
      </c>
      <c r="O129" s="224">
        <f t="shared" si="54"/>
        <v>0</v>
      </c>
    </row>
    <row r="130" spans="2:15" ht="14.25" x14ac:dyDescent="0.2">
      <c r="B130" s="50"/>
      <c r="C130" s="8"/>
      <c r="D130" s="8"/>
      <c r="E130" s="8"/>
      <c r="F130" s="58">
        <v>613400</v>
      </c>
      <c r="G130" s="69"/>
      <c r="H130" s="9" t="s">
        <v>59</v>
      </c>
      <c r="I130" s="99">
        <v>1000</v>
      </c>
      <c r="J130" s="82">
        <v>0</v>
      </c>
      <c r="K130" s="163">
        <f t="shared" si="65"/>
        <v>1000</v>
      </c>
      <c r="L130" s="99"/>
      <c r="M130" s="82"/>
      <c r="N130" s="203">
        <f t="shared" si="66"/>
        <v>0</v>
      </c>
      <c r="O130" s="224">
        <f t="shared" si="54"/>
        <v>0</v>
      </c>
    </row>
    <row r="131" spans="2:15" ht="14.25" x14ac:dyDescent="0.2">
      <c r="B131" s="50"/>
      <c r="C131" s="8"/>
      <c r="D131" s="8"/>
      <c r="E131" s="8"/>
      <c r="F131" s="58">
        <v>613500</v>
      </c>
      <c r="G131" s="69"/>
      <c r="H131" s="9" t="s">
        <v>8</v>
      </c>
      <c r="I131" s="99">
        <v>0</v>
      </c>
      <c r="J131" s="82">
        <v>0</v>
      </c>
      <c r="K131" s="163">
        <f t="shared" si="65"/>
        <v>0</v>
      </c>
      <c r="L131" s="99"/>
      <c r="M131" s="82"/>
      <c r="N131" s="203">
        <f t="shared" si="66"/>
        <v>0</v>
      </c>
      <c r="O131" s="224" t="str">
        <f t="shared" si="54"/>
        <v/>
      </c>
    </row>
    <row r="132" spans="2:15" ht="14.25" x14ac:dyDescent="0.2">
      <c r="B132" s="50"/>
      <c r="C132" s="8"/>
      <c r="D132" s="8"/>
      <c r="E132" s="8"/>
      <c r="F132" s="58">
        <v>613600</v>
      </c>
      <c r="G132" s="69"/>
      <c r="H132" s="9" t="s">
        <v>71</v>
      </c>
      <c r="I132" s="99">
        <v>0</v>
      </c>
      <c r="J132" s="82">
        <v>0</v>
      </c>
      <c r="K132" s="163">
        <f t="shared" si="65"/>
        <v>0</v>
      </c>
      <c r="L132" s="99"/>
      <c r="M132" s="82"/>
      <c r="N132" s="203">
        <f t="shared" si="66"/>
        <v>0</v>
      </c>
      <c r="O132" s="224" t="str">
        <f t="shared" si="54"/>
        <v/>
      </c>
    </row>
    <row r="133" spans="2:15" ht="14.25" x14ac:dyDescent="0.2">
      <c r="B133" s="50"/>
      <c r="C133" s="8"/>
      <c r="D133" s="8"/>
      <c r="E133" s="8"/>
      <c r="F133" s="58">
        <v>613700</v>
      </c>
      <c r="G133" s="69"/>
      <c r="H133" s="9" t="s">
        <v>9</v>
      </c>
      <c r="I133" s="99">
        <v>1000</v>
      </c>
      <c r="J133" s="82">
        <v>0</v>
      </c>
      <c r="K133" s="163">
        <f t="shared" si="65"/>
        <v>1000</v>
      </c>
      <c r="L133" s="99"/>
      <c r="M133" s="82"/>
      <c r="N133" s="203">
        <f t="shared" si="66"/>
        <v>0</v>
      </c>
      <c r="O133" s="224">
        <f t="shared" si="54"/>
        <v>0</v>
      </c>
    </row>
    <row r="134" spans="2:15" ht="14.25" x14ac:dyDescent="0.2">
      <c r="B134" s="50"/>
      <c r="C134" s="8"/>
      <c r="D134" s="8"/>
      <c r="E134" s="8"/>
      <c r="F134" s="58">
        <v>613800</v>
      </c>
      <c r="G134" s="69"/>
      <c r="H134" s="9" t="s">
        <v>60</v>
      </c>
      <c r="I134" s="99">
        <v>0</v>
      </c>
      <c r="J134" s="82">
        <v>0</v>
      </c>
      <c r="K134" s="163">
        <f t="shared" si="65"/>
        <v>0</v>
      </c>
      <c r="L134" s="99"/>
      <c r="M134" s="82"/>
      <c r="N134" s="203">
        <f t="shared" si="66"/>
        <v>0</v>
      </c>
      <c r="O134" s="224" t="str">
        <f t="shared" si="54"/>
        <v/>
      </c>
    </row>
    <row r="135" spans="2:15" ht="14.25" x14ac:dyDescent="0.2">
      <c r="B135" s="50"/>
      <c r="C135" s="8"/>
      <c r="D135" s="8"/>
      <c r="E135" s="8"/>
      <c r="F135" s="58">
        <v>613900</v>
      </c>
      <c r="G135" s="69"/>
      <c r="H135" s="9" t="s">
        <v>61</v>
      </c>
      <c r="I135" s="99">
        <v>20000</v>
      </c>
      <c r="J135" s="82">
        <v>0</v>
      </c>
      <c r="K135" s="163">
        <f t="shared" si="65"/>
        <v>20000</v>
      </c>
      <c r="L135" s="99"/>
      <c r="M135" s="82"/>
      <c r="N135" s="203">
        <f t="shared" si="66"/>
        <v>0</v>
      </c>
      <c r="O135" s="224">
        <f t="shared" si="54"/>
        <v>0</v>
      </c>
    </row>
    <row r="136" spans="2:15" ht="14.25" x14ac:dyDescent="0.2">
      <c r="B136" s="51"/>
      <c r="C136" s="4"/>
      <c r="D136" s="4"/>
      <c r="E136" s="135"/>
      <c r="F136" s="66"/>
      <c r="G136" s="78"/>
      <c r="H136" s="10"/>
      <c r="I136" s="99"/>
      <c r="J136" s="46"/>
      <c r="K136" s="164"/>
      <c r="L136" s="108"/>
      <c r="M136" s="46"/>
      <c r="N136" s="204"/>
      <c r="O136" s="224" t="str">
        <f t="shared" si="54"/>
        <v/>
      </c>
    </row>
    <row r="137" spans="2:15" ht="15" x14ac:dyDescent="0.25">
      <c r="B137" s="51"/>
      <c r="C137" s="4"/>
      <c r="D137" s="4"/>
      <c r="E137" s="4"/>
      <c r="F137" s="57">
        <v>821000</v>
      </c>
      <c r="G137" s="68"/>
      <c r="H137" s="10" t="s">
        <v>12</v>
      </c>
      <c r="I137" s="177">
        <f t="shared" ref="I137" si="67">SUM(I138:I139)</f>
        <v>5000</v>
      </c>
      <c r="J137" s="52">
        <f t="shared" ref="J137:N137" si="68">SUM(J138:J139)</f>
        <v>0</v>
      </c>
      <c r="K137" s="165">
        <f t="shared" si="68"/>
        <v>5000</v>
      </c>
      <c r="L137" s="110">
        <f t="shared" si="68"/>
        <v>0</v>
      </c>
      <c r="M137" s="52">
        <f t="shared" si="68"/>
        <v>0</v>
      </c>
      <c r="N137" s="205">
        <f t="shared" si="68"/>
        <v>0</v>
      </c>
      <c r="O137" s="228">
        <f t="shared" si="54"/>
        <v>0</v>
      </c>
    </row>
    <row r="138" spans="2:15" ht="14.25" x14ac:dyDescent="0.2">
      <c r="B138" s="50"/>
      <c r="C138" s="8"/>
      <c r="D138" s="8"/>
      <c r="E138" s="8"/>
      <c r="F138" s="58">
        <v>821200</v>
      </c>
      <c r="G138" s="69"/>
      <c r="H138" s="9" t="s">
        <v>13</v>
      </c>
      <c r="I138" s="99">
        <v>0</v>
      </c>
      <c r="J138" s="46">
        <v>0</v>
      </c>
      <c r="K138" s="163">
        <f t="shared" ref="K138:K139" si="69">SUM(I138:J138)</f>
        <v>0</v>
      </c>
      <c r="L138" s="108"/>
      <c r="M138" s="46"/>
      <c r="N138" s="203">
        <f t="shared" ref="N138:N139" si="70">SUM(L138:M138)</f>
        <v>0</v>
      </c>
      <c r="O138" s="224" t="str">
        <f t="shared" si="54"/>
        <v/>
      </c>
    </row>
    <row r="139" spans="2:15" ht="14.25" x14ac:dyDescent="0.2">
      <c r="B139" s="50"/>
      <c r="C139" s="8"/>
      <c r="D139" s="8"/>
      <c r="E139" s="8"/>
      <c r="F139" s="58">
        <v>821300</v>
      </c>
      <c r="G139" s="69"/>
      <c r="H139" s="9" t="s">
        <v>14</v>
      </c>
      <c r="I139" s="99">
        <v>5000</v>
      </c>
      <c r="J139" s="46">
        <v>0</v>
      </c>
      <c r="K139" s="163">
        <f t="shared" si="69"/>
        <v>5000</v>
      </c>
      <c r="L139" s="108"/>
      <c r="M139" s="46"/>
      <c r="N139" s="203">
        <f t="shared" si="70"/>
        <v>0</v>
      </c>
      <c r="O139" s="224">
        <f t="shared" si="54"/>
        <v>0</v>
      </c>
    </row>
    <row r="140" spans="2:15" ht="14.25" x14ac:dyDescent="0.2">
      <c r="B140" s="50"/>
      <c r="C140" s="8"/>
      <c r="D140" s="8"/>
      <c r="E140" s="8"/>
      <c r="F140" s="58"/>
      <c r="G140" s="69"/>
      <c r="H140" s="9"/>
      <c r="I140" s="99"/>
      <c r="J140" s="46"/>
      <c r="K140" s="164"/>
      <c r="L140" s="108"/>
      <c r="M140" s="46"/>
      <c r="N140" s="204"/>
      <c r="O140" s="224" t="str">
        <f t="shared" si="54"/>
        <v/>
      </c>
    </row>
    <row r="141" spans="2:15" ht="15" x14ac:dyDescent="0.25">
      <c r="B141" s="51"/>
      <c r="C141" s="4"/>
      <c r="D141" s="4"/>
      <c r="E141" s="4"/>
      <c r="F141" s="57"/>
      <c r="G141" s="68"/>
      <c r="H141" s="10" t="s">
        <v>15</v>
      </c>
      <c r="I141" s="266">
        <v>8</v>
      </c>
      <c r="J141" s="47"/>
      <c r="K141" s="166">
        <v>8</v>
      </c>
      <c r="L141" s="111"/>
      <c r="M141" s="47"/>
      <c r="N141" s="206"/>
      <c r="O141" s="224"/>
    </row>
    <row r="142" spans="2:15" ht="15" x14ac:dyDescent="0.25">
      <c r="B142" s="51"/>
      <c r="C142" s="4"/>
      <c r="D142" s="4"/>
      <c r="E142" s="4"/>
      <c r="F142" s="57"/>
      <c r="G142" s="68"/>
      <c r="H142" s="4" t="s">
        <v>24</v>
      </c>
      <c r="I142" s="110">
        <f t="shared" ref="I142:N142" si="71">I119+I123+I126+I137</f>
        <v>390690</v>
      </c>
      <c r="J142" s="52">
        <f t="shared" si="71"/>
        <v>0</v>
      </c>
      <c r="K142" s="165">
        <f t="shared" si="71"/>
        <v>390690</v>
      </c>
      <c r="L142" s="110">
        <f t="shared" si="71"/>
        <v>0</v>
      </c>
      <c r="M142" s="52">
        <f t="shared" si="71"/>
        <v>0</v>
      </c>
      <c r="N142" s="205">
        <f t="shared" si="71"/>
        <v>0</v>
      </c>
      <c r="O142" s="228">
        <f t="shared" si="54"/>
        <v>0</v>
      </c>
    </row>
    <row r="143" spans="2:15" ht="15" x14ac:dyDescent="0.25">
      <c r="B143" s="51"/>
      <c r="C143" s="4"/>
      <c r="D143" s="4"/>
      <c r="E143" s="4"/>
      <c r="F143" s="57"/>
      <c r="G143" s="68"/>
      <c r="H143" s="4" t="s">
        <v>16</v>
      </c>
      <c r="I143" s="110"/>
      <c r="J143" s="52"/>
      <c r="K143" s="165"/>
      <c r="L143" s="110"/>
      <c r="M143" s="52"/>
      <c r="N143" s="205"/>
      <c r="O143" s="224" t="str">
        <f t="shared" si="54"/>
        <v/>
      </c>
    </row>
    <row r="144" spans="2:15" ht="15" x14ac:dyDescent="0.25">
      <c r="B144" s="51"/>
      <c r="C144" s="4"/>
      <c r="D144" s="4"/>
      <c r="E144" s="4"/>
      <c r="F144" s="57"/>
      <c r="G144" s="68"/>
      <c r="H144" s="4" t="s">
        <v>17</v>
      </c>
      <c r="I144" s="110"/>
      <c r="J144" s="52"/>
      <c r="K144" s="165"/>
      <c r="L144" s="110"/>
      <c r="M144" s="52"/>
      <c r="N144" s="205"/>
      <c r="O144" s="224" t="str">
        <f t="shared" si="54"/>
        <v/>
      </c>
    </row>
    <row r="145" spans="2:15" ht="15" thickBot="1" x14ac:dyDescent="0.25">
      <c r="B145" s="6"/>
      <c r="C145" s="7"/>
      <c r="D145" s="7"/>
      <c r="E145" s="7"/>
      <c r="F145" s="59"/>
      <c r="G145" s="70"/>
      <c r="H145" s="7"/>
      <c r="I145" s="6"/>
      <c r="J145" s="7"/>
      <c r="K145" s="169"/>
      <c r="L145" s="6"/>
      <c r="M145" s="7"/>
      <c r="N145" s="215"/>
      <c r="O145" s="227" t="str">
        <f t="shared" si="54"/>
        <v/>
      </c>
    </row>
    <row r="146" spans="2:15" x14ac:dyDescent="0.2">
      <c r="O146" s="230" t="str">
        <f t="shared" si="54"/>
        <v/>
      </c>
    </row>
    <row r="147" spans="2:15" ht="15" x14ac:dyDescent="0.25">
      <c r="B147" s="2" t="s">
        <v>29</v>
      </c>
      <c r="C147" s="3" t="s">
        <v>3</v>
      </c>
      <c r="D147" s="3" t="s">
        <v>47</v>
      </c>
      <c r="E147" s="136" t="s">
        <v>136</v>
      </c>
      <c r="F147" s="49"/>
      <c r="G147" s="49"/>
      <c r="H147" s="182" t="s">
        <v>359</v>
      </c>
      <c r="I147" s="1"/>
      <c r="J147" s="49"/>
      <c r="K147" s="161"/>
      <c r="L147" s="1"/>
      <c r="M147" s="49"/>
      <c r="N147" s="201"/>
      <c r="O147" s="224" t="str">
        <f t="shared" si="54"/>
        <v/>
      </c>
    </row>
    <row r="148" spans="2:15" ht="15" x14ac:dyDescent="0.25">
      <c r="B148" s="51"/>
      <c r="C148" s="4"/>
      <c r="D148" s="4"/>
      <c r="E148" s="4"/>
      <c r="F148" s="57">
        <v>611000</v>
      </c>
      <c r="G148" s="68"/>
      <c r="H148" s="10" t="s">
        <v>57</v>
      </c>
      <c r="I148" s="177">
        <f>I149+I150</f>
        <v>185560</v>
      </c>
      <c r="J148" s="32">
        <f t="shared" ref="J148:N148" si="72">SUM(J149:J151)</f>
        <v>0</v>
      </c>
      <c r="K148" s="162">
        <f t="shared" si="72"/>
        <v>185560</v>
      </c>
      <c r="L148" s="177">
        <f t="shared" si="72"/>
        <v>0</v>
      </c>
      <c r="M148" s="32">
        <f t="shared" si="72"/>
        <v>0</v>
      </c>
      <c r="N148" s="202">
        <f t="shared" si="72"/>
        <v>0</v>
      </c>
      <c r="O148" s="228">
        <f t="shared" si="54"/>
        <v>0</v>
      </c>
    </row>
    <row r="149" spans="2:15" ht="14.25" x14ac:dyDescent="0.2">
      <c r="B149" s="50"/>
      <c r="C149" s="8"/>
      <c r="D149" s="8"/>
      <c r="E149" s="8"/>
      <c r="F149" s="58">
        <v>611100</v>
      </c>
      <c r="G149" s="69"/>
      <c r="H149" s="9" t="s">
        <v>68</v>
      </c>
      <c r="I149" s="99">
        <f>137750+730+7860</f>
        <v>146340</v>
      </c>
      <c r="J149" s="31">
        <v>0</v>
      </c>
      <c r="K149" s="163">
        <f>SUM(I149:J149)</f>
        <v>146340</v>
      </c>
      <c r="L149" s="99"/>
      <c r="M149" s="31"/>
      <c r="N149" s="203">
        <f>SUM(L149:M149)</f>
        <v>0</v>
      </c>
      <c r="O149" s="224">
        <f t="shared" si="54"/>
        <v>0</v>
      </c>
    </row>
    <row r="150" spans="2:15" ht="14.25" x14ac:dyDescent="0.2">
      <c r="B150" s="50"/>
      <c r="C150" s="8"/>
      <c r="D150" s="8"/>
      <c r="E150" s="8"/>
      <c r="F150" s="58">
        <v>611200</v>
      </c>
      <c r="G150" s="69"/>
      <c r="H150" s="9" t="s">
        <v>69</v>
      </c>
      <c r="I150" s="99">
        <f>29100+1620+8500</f>
        <v>39220</v>
      </c>
      <c r="J150" s="31">
        <v>0</v>
      </c>
      <c r="K150" s="163">
        <f t="shared" ref="K150" si="73">SUM(I150:J150)</f>
        <v>39220</v>
      </c>
      <c r="L150" s="99"/>
      <c r="M150" s="31"/>
      <c r="N150" s="203">
        <f t="shared" ref="N150" si="74">SUM(L150:M150)</f>
        <v>0</v>
      </c>
      <c r="O150" s="224">
        <f t="shared" si="54"/>
        <v>0</v>
      </c>
    </row>
    <row r="151" spans="2:15" ht="14.25" x14ac:dyDescent="0.2">
      <c r="B151" s="50"/>
      <c r="C151" s="8"/>
      <c r="D151" s="8"/>
      <c r="E151" s="8"/>
      <c r="F151" s="58"/>
      <c r="G151" s="69"/>
      <c r="H151" s="9"/>
      <c r="I151" s="99"/>
      <c r="J151" s="31"/>
      <c r="K151" s="163"/>
      <c r="L151" s="99"/>
      <c r="M151" s="31"/>
      <c r="N151" s="203"/>
      <c r="O151" s="224" t="str">
        <f t="shared" si="54"/>
        <v/>
      </c>
    </row>
    <row r="152" spans="2:15" ht="15" x14ac:dyDescent="0.25">
      <c r="B152" s="51"/>
      <c r="C152" s="4"/>
      <c r="D152" s="4"/>
      <c r="E152" s="4"/>
      <c r="F152" s="57">
        <v>612000</v>
      </c>
      <c r="G152" s="68"/>
      <c r="H152" s="10" t="s">
        <v>56</v>
      </c>
      <c r="I152" s="177">
        <f>I153</f>
        <v>7360</v>
      </c>
      <c r="J152" s="32">
        <f>J153</f>
        <v>0</v>
      </c>
      <c r="K152" s="162">
        <f>K153</f>
        <v>7360</v>
      </c>
      <c r="L152" s="177">
        <f t="shared" ref="L152" si="75">L153</f>
        <v>0</v>
      </c>
      <c r="M152" s="32">
        <f>M153</f>
        <v>0</v>
      </c>
      <c r="N152" s="202">
        <f>N153</f>
        <v>0</v>
      </c>
      <c r="O152" s="228">
        <f t="shared" si="54"/>
        <v>0</v>
      </c>
    </row>
    <row r="153" spans="2:15" ht="14.25" x14ac:dyDescent="0.2">
      <c r="B153" s="50"/>
      <c r="C153" s="8"/>
      <c r="D153" s="8"/>
      <c r="E153" s="8"/>
      <c r="F153" s="58">
        <v>612100</v>
      </c>
      <c r="G153" s="69"/>
      <c r="H153" s="145" t="s">
        <v>5</v>
      </c>
      <c r="I153" s="99">
        <f>6850+120+390</f>
        <v>7360</v>
      </c>
      <c r="J153" s="31">
        <v>0</v>
      </c>
      <c r="K153" s="163">
        <f>SUM(I153:J153)</f>
        <v>7360</v>
      </c>
      <c r="L153" s="99"/>
      <c r="M153" s="31"/>
      <c r="N153" s="203">
        <f>SUM(L153:M153)</f>
        <v>0</v>
      </c>
      <c r="O153" s="224">
        <f t="shared" si="54"/>
        <v>0</v>
      </c>
    </row>
    <row r="154" spans="2:15" ht="14.25" x14ac:dyDescent="0.2">
      <c r="B154" s="50"/>
      <c r="C154" s="8"/>
      <c r="D154" s="8"/>
      <c r="E154" s="8"/>
      <c r="F154" s="58"/>
      <c r="G154" s="69"/>
      <c r="H154" s="9"/>
      <c r="I154" s="99"/>
      <c r="J154" s="46"/>
      <c r="K154" s="164"/>
      <c r="L154" s="99"/>
      <c r="M154" s="46"/>
      <c r="N154" s="204"/>
      <c r="O154" s="224" t="str">
        <f t="shared" si="54"/>
        <v/>
      </c>
    </row>
    <row r="155" spans="2:15" ht="15" x14ac:dyDescent="0.25">
      <c r="B155" s="51"/>
      <c r="C155" s="4"/>
      <c r="D155" s="4"/>
      <c r="E155" s="4"/>
      <c r="F155" s="57">
        <v>613000</v>
      </c>
      <c r="G155" s="68"/>
      <c r="H155" s="10" t="s">
        <v>58</v>
      </c>
      <c r="I155" s="178">
        <f>SUM(I156:I164)</f>
        <v>7200</v>
      </c>
      <c r="J155" s="55">
        <f t="shared" ref="J155:N155" si="76">SUM(J156:J164)</f>
        <v>0</v>
      </c>
      <c r="K155" s="165">
        <f t="shared" si="76"/>
        <v>7200</v>
      </c>
      <c r="L155" s="178">
        <f t="shared" si="76"/>
        <v>0</v>
      </c>
      <c r="M155" s="55">
        <f t="shared" si="76"/>
        <v>0</v>
      </c>
      <c r="N155" s="205">
        <f t="shared" si="76"/>
        <v>0</v>
      </c>
      <c r="O155" s="228">
        <f t="shared" si="54"/>
        <v>0</v>
      </c>
    </row>
    <row r="156" spans="2:15" ht="14.25" x14ac:dyDescent="0.2">
      <c r="B156" s="50"/>
      <c r="C156" s="8"/>
      <c r="D156" s="8"/>
      <c r="E156" s="8"/>
      <c r="F156" s="58">
        <v>613100</v>
      </c>
      <c r="G156" s="69"/>
      <c r="H156" s="9" t="s">
        <v>6</v>
      </c>
      <c r="I156" s="99">
        <v>1000</v>
      </c>
      <c r="J156" s="82">
        <v>0</v>
      </c>
      <c r="K156" s="163">
        <f t="shared" ref="K156:K164" si="77">SUM(I156:J156)</f>
        <v>1000</v>
      </c>
      <c r="L156" s="99"/>
      <c r="M156" s="82"/>
      <c r="N156" s="203">
        <f t="shared" ref="N156:N164" si="78">SUM(L156:M156)</f>
        <v>0</v>
      </c>
      <c r="O156" s="224">
        <f t="shared" si="54"/>
        <v>0</v>
      </c>
    </row>
    <row r="157" spans="2:15" ht="14.25" x14ac:dyDescent="0.2">
      <c r="B157" s="50"/>
      <c r="C157" s="8"/>
      <c r="D157" s="8"/>
      <c r="E157" s="8"/>
      <c r="F157" s="58">
        <v>613200</v>
      </c>
      <c r="G157" s="69"/>
      <c r="H157" s="9" t="s">
        <v>7</v>
      </c>
      <c r="I157" s="99">
        <v>0</v>
      </c>
      <c r="J157" s="82">
        <v>0</v>
      </c>
      <c r="K157" s="163">
        <f t="shared" si="77"/>
        <v>0</v>
      </c>
      <c r="L157" s="99"/>
      <c r="M157" s="82"/>
      <c r="N157" s="203">
        <f t="shared" si="78"/>
        <v>0</v>
      </c>
      <c r="O157" s="224" t="str">
        <f t="shared" si="54"/>
        <v/>
      </c>
    </row>
    <row r="158" spans="2:15" ht="14.25" x14ac:dyDescent="0.2">
      <c r="B158" s="50"/>
      <c r="C158" s="8"/>
      <c r="D158" s="8"/>
      <c r="E158" s="8"/>
      <c r="F158" s="58">
        <v>613300</v>
      </c>
      <c r="G158" s="69"/>
      <c r="H158" s="9" t="s">
        <v>70</v>
      </c>
      <c r="I158" s="99">
        <v>1800</v>
      </c>
      <c r="J158" s="82">
        <v>0</v>
      </c>
      <c r="K158" s="163">
        <f t="shared" si="77"/>
        <v>1800</v>
      </c>
      <c r="L158" s="99"/>
      <c r="M158" s="82"/>
      <c r="N158" s="203">
        <f t="shared" si="78"/>
        <v>0</v>
      </c>
      <c r="O158" s="224">
        <f t="shared" si="54"/>
        <v>0</v>
      </c>
    </row>
    <row r="159" spans="2:15" ht="14.25" x14ac:dyDescent="0.2">
      <c r="B159" s="50"/>
      <c r="C159" s="8"/>
      <c r="D159" s="8"/>
      <c r="E159" s="8"/>
      <c r="F159" s="58">
        <v>613400</v>
      </c>
      <c r="G159" s="69"/>
      <c r="H159" s="9" t="s">
        <v>59</v>
      </c>
      <c r="I159" s="99">
        <v>2000</v>
      </c>
      <c r="J159" s="82">
        <v>0</v>
      </c>
      <c r="K159" s="163">
        <f t="shared" si="77"/>
        <v>2000</v>
      </c>
      <c r="L159" s="99"/>
      <c r="M159" s="82"/>
      <c r="N159" s="203">
        <f t="shared" si="78"/>
        <v>0</v>
      </c>
      <c r="O159" s="224">
        <f t="shared" si="54"/>
        <v>0</v>
      </c>
    </row>
    <row r="160" spans="2:15" ht="14.25" x14ac:dyDescent="0.2">
      <c r="B160" s="50"/>
      <c r="C160" s="8"/>
      <c r="D160" s="8"/>
      <c r="E160" s="8"/>
      <c r="F160" s="58">
        <v>613500</v>
      </c>
      <c r="G160" s="69"/>
      <c r="H160" s="9" t="s">
        <v>8</v>
      </c>
      <c r="I160" s="99">
        <v>0</v>
      </c>
      <c r="J160" s="82">
        <v>0</v>
      </c>
      <c r="K160" s="163">
        <f t="shared" si="77"/>
        <v>0</v>
      </c>
      <c r="L160" s="99"/>
      <c r="M160" s="82"/>
      <c r="N160" s="203">
        <f t="shared" si="78"/>
        <v>0</v>
      </c>
      <c r="O160" s="224" t="str">
        <f t="shared" si="54"/>
        <v/>
      </c>
    </row>
    <row r="161" spans="2:15" ht="14.25" x14ac:dyDescent="0.2">
      <c r="B161" s="50"/>
      <c r="C161" s="8"/>
      <c r="D161" s="8"/>
      <c r="E161" s="8"/>
      <c r="F161" s="58">
        <v>613600</v>
      </c>
      <c r="G161" s="69"/>
      <c r="H161" s="9" t="s">
        <v>71</v>
      </c>
      <c r="I161" s="99">
        <v>0</v>
      </c>
      <c r="J161" s="82">
        <v>0</v>
      </c>
      <c r="K161" s="163">
        <f t="shared" si="77"/>
        <v>0</v>
      </c>
      <c r="L161" s="99"/>
      <c r="M161" s="82"/>
      <c r="N161" s="203">
        <f t="shared" si="78"/>
        <v>0</v>
      </c>
      <c r="O161" s="224" t="str">
        <f t="shared" si="54"/>
        <v/>
      </c>
    </row>
    <row r="162" spans="2:15" ht="14.25" x14ac:dyDescent="0.2">
      <c r="B162" s="50"/>
      <c r="C162" s="8"/>
      <c r="D162" s="8"/>
      <c r="E162" s="8"/>
      <c r="F162" s="58">
        <v>613700</v>
      </c>
      <c r="G162" s="69"/>
      <c r="H162" s="9" t="s">
        <v>9</v>
      </c>
      <c r="I162" s="99">
        <v>1200</v>
      </c>
      <c r="J162" s="82">
        <v>0</v>
      </c>
      <c r="K162" s="163">
        <f t="shared" si="77"/>
        <v>1200</v>
      </c>
      <c r="L162" s="99"/>
      <c r="M162" s="82"/>
      <c r="N162" s="203">
        <f t="shared" si="78"/>
        <v>0</v>
      </c>
      <c r="O162" s="224">
        <f t="shared" si="54"/>
        <v>0</v>
      </c>
    </row>
    <row r="163" spans="2:15" ht="14.25" x14ac:dyDescent="0.2">
      <c r="B163" s="50"/>
      <c r="C163" s="8"/>
      <c r="D163" s="8"/>
      <c r="E163" s="8"/>
      <c r="F163" s="58">
        <v>613800</v>
      </c>
      <c r="G163" s="69"/>
      <c r="H163" s="9" t="s">
        <v>60</v>
      </c>
      <c r="I163" s="99">
        <v>0</v>
      </c>
      <c r="J163" s="82">
        <v>0</v>
      </c>
      <c r="K163" s="163">
        <f t="shared" si="77"/>
        <v>0</v>
      </c>
      <c r="L163" s="99"/>
      <c r="M163" s="82"/>
      <c r="N163" s="203">
        <f t="shared" si="78"/>
        <v>0</v>
      </c>
      <c r="O163" s="224" t="str">
        <f t="shared" si="54"/>
        <v/>
      </c>
    </row>
    <row r="164" spans="2:15" ht="14.25" x14ac:dyDescent="0.2">
      <c r="B164" s="50"/>
      <c r="C164" s="8"/>
      <c r="D164" s="8"/>
      <c r="E164" s="8"/>
      <c r="F164" s="58">
        <v>613900</v>
      </c>
      <c r="G164" s="69"/>
      <c r="H164" s="9" t="s">
        <v>61</v>
      </c>
      <c r="I164" s="99">
        <v>1200</v>
      </c>
      <c r="J164" s="82">
        <v>0</v>
      </c>
      <c r="K164" s="163">
        <f t="shared" si="77"/>
        <v>1200</v>
      </c>
      <c r="L164" s="99"/>
      <c r="M164" s="82"/>
      <c r="N164" s="203">
        <f t="shared" si="78"/>
        <v>0</v>
      </c>
      <c r="O164" s="224">
        <f t="shared" si="54"/>
        <v>0</v>
      </c>
    </row>
    <row r="165" spans="2:15" ht="15" x14ac:dyDescent="0.25">
      <c r="B165" s="50"/>
      <c r="C165" s="8"/>
      <c r="D165" s="8"/>
      <c r="E165" s="8"/>
      <c r="F165" s="58"/>
      <c r="G165" s="69"/>
      <c r="H165" s="9"/>
      <c r="I165" s="177"/>
      <c r="J165" s="52"/>
      <c r="K165" s="165"/>
      <c r="L165" s="177"/>
      <c r="M165" s="52"/>
      <c r="N165" s="205"/>
      <c r="O165" s="224" t="str">
        <f t="shared" ref="O165:O196" si="79">IF(K165=0,"",N165/K165*100)</f>
        <v/>
      </c>
    </row>
    <row r="166" spans="2:15" ht="15" x14ac:dyDescent="0.25">
      <c r="B166" s="51"/>
      <c r="C166" s="4"/>
      <c r="D166" s="4"/>
      <c r="E166" s="135"/>
      <c r="F166" s="66">
        <v>614000</v>
      </c>
      <c r="G166" s="78"/>
      <c r="H166" s="10" t="s">
        <v>72</v>
      </c>
      <c r="I166" s="177">
        <f t="shared" ref="I166" si="80">SUM(I167:I167)</f>
        <v>550000</v>
      </c>
      <c r="J166" s="52">
        <f t="shared" ref="J166:N166" si="81">SUM(J167:J167)</f>
        <v>0</v>
      </c>
      <c r="K166" s="165">
        <f t="shared" si="81"/>
        <v>550000</v>
      </c>
      <c r="L166" s="177">
        <f t="shared" si="81"/>
        <v>0</v>
      </c>
      <c r="M166" s="52">
        <f t="shared" si="81"/>
        <v>0</v>
      </c>
      <c r="N166" s="205">
        <f t="shared" si="81"/>
        <v>0</v>
      </c>
      <c r="O166" s="228">
        <f t="shared" si="79"/>
        <v>0</v>
      </c>
    </row>
    <row r="167" spans="2:15" ht="38.25" x14ac:dyDescent="0.2">
      <c r="B167" s="50"/>
      <c r="C167" s="8"/>
      <c r="D167" s="9"/>
      <c r="E167" s="9"/>
      <c r="F167" s="79">
        <v>614200</v>
      </c>
      <c r="G167" s="75" t="s">
        <v>129</v>
      </c>
      <c r="H167" s="147" t="s">
        <v>159</v>
      </c>
      <c r="I167" s="99">
        <v>550000</v>
      </c>
      <c r="J167" s="46">
        <v>0</v>
      </c>
      <c r="K167" s="163">
        <f>SUM(I167:J167)</f>
        <v>550000</v>
      </c>
      <c r="L167" s="99"/>
      <c r="M167" s="46"/>
      <c r="N167" s="203">
        <f>SUM(L167:M167)</f>
        <v>0</v>
      </c>
      <c r="O167" s="224">
        <f t="shared" si="79"/>
        <v>0</v>
      </c>
    </row>
    <row r="168" spans="2:15" ht="14.25" x14ac:dyDescent="0.2">
      <c r="B168" s="50"/>
      <c r="C168" s="8"/>
      <c r="D168" s="8"/>
      <c r="E168" s="131"/>
      <c r="F168" s="62"/>
      <c r="G168" s="73"/>
      <c r="H168" s="9"/>
      <c r="I168" s="99"/>
      <c r="J168" s="46"/>
      <c r="K168" s="164"/>
      <c r="L168" s="99"/>
      <c r="M168" s="46"/>
      <c r="N168" s="204"/>
      <c r="O168" s="224" t="str">
        <f t="shared" si="79"/>
        <v/>
      </c>
    </row>
    <row r="169" spans="2:15" ht="15" x14ac:dyDescent="0.25">
      <c r="B169" s="51"/>
      <c r="C169" s="4"/>
      <c r="D169" s="4"/>
      <c r="E169" s="4"/>
      <c r="F169" s="57">
        <v>821000</v>
      </c>
      <c r="G169" s="68"/>
      <c r="H169" s="10" t="s">
        <v>12</v>
      </c>
      <c r="I169" s="177">
        <f t="shared" ref="I169" si="82">SUM(I170:I171)</f>
        <v>3000</v>
      </c>
      <c r="J169" s="52">
        <f>SUM(J170:J171)</f>
        <v>0</v>
      </c>
      <c r="K169" s="165">
        <f>SUM(K170:K171)</f>
        <v>3000</v>
      </c>
      <c r="L169" s="177">
        <f t="shared" ref="L169" si="83">SUM(L170:L171)</f>
        <v>0</v>
      </c>
      <c r="M169" s="52">
        <f>SUM(M170:M171)</f>
        <v>0</v>
      </c>
      <c r="N169" s="205">
        <f>SUM(N170:N171)</f>
        <v>0</v>
      </c>
      <c r="O169" s="228">
        <f t="shared" si="79"/>
        <v>0</v>
      </c>
    </row>
    <row r="170" spans="2:15" ht="14.25" x14ac:dyDescent="0.2">
      <c r="B170" s="50"/>
      <c r="C170" s="8"/>
      <c r="D170" s="8"/>
      <c r="E170" s="8"/>
      <c r="F170" s="58">
        <v>821200</v>
      </c>
      <c r="G170" s="69"/>
      <c r="H170" s="9" t="s">
        <v>13</v>
      </c>
      <c r="I170" s="99">
        <v>0</v>
      </c>
      <c r="J170" s="46">
        <v>0</v>
      </c>
      <c r="K170" s="163">
        <f t="shared" ref="K170:K171" si="84">SUM(I170:J170)</f>
        <v>0</v>
      </c>
      <c r="L170" s="99"/>
      <c r="M170" s="46"/>
      <c r="N170" s="203">
        <f t="shared" ref="N170:N171" si="85">SUM(L170:M170)</f>
        <v>0</v>
      </c>
      <c r="O170" s="224" t="str">
        <f t="shared" si="79"/>
        <v/>
      </c>
    </row>
    <row r="171" spans="2:15" ht="14.25" x14ac:dyDescent="0.2">
      <c r="B171" s="50"/>
      <c r="C171" s="8"/>
      <c r="D171" s="8"/>
      <c r="E171" s="8"/>
      <c r="F171" s="58">
        <v>821300</v>
      </c>
      <c r="G171" s="69"/>
      <c r="H171" s="9" t="s">
        <v>14</v>
      </c>
      <c r="I171" s="99">
        <v>3000</v>
      </c>
      <c r="J171" s="46">
        <v>0</v>
      </c>
      <c r="K171" s="163">
        <f t="shared" si="84"/>
        <v>3000</v>
      </c>
      <c r="L171" s="99"/>
      <c r="M171" s="46"/>
      <c r="N171" s="203">
        <f t="shared" si="85"/>
        <v>0</v>
      </c>
      <c r="O171" s="224">
        <f t="shared" si="79"/>
        <v>0</v>
      </c>
    </row>
    <row r="172" spans="2:15" ht="14.25" x14ac:dyDescent="0.2">
      <c r="B172" s="50"/>
      <c r="C172" s="8"/>
      <c r="D172" s="8"/>
      <c r="E172" s="8"/>
      <c r="F172" s="58"/>
      <c r="G172" s="69"/>
      <c r="H172" s="9"/>
      <c r="I172" s="99"/>
      <c r="J172" s="46"/>
      <c r="K172" s="164"/>
      <c r="L172" s="99"/>
      <c r="M172" s="46"/>
      <c r="N172" s="204"/>
      <c r="O172" s="224" t="str">
        <f t="shared" si="79"/>
        <v/>
      </c>
    </row>
    <row r="173" spans="2:15" ht="15" x14ac:dyDescent="0.25">
      <c r="B173" s="51"/>
      <c r="C173" s="4"/>
      <c r="D173" s="4"/>
      <c r="E173" s="4"/>
      <c r="F173" s="57"/>
      <c r="G173" s="68"/>
      <c r="H173" s="10" t="s">
        <v>15</v>
      </c>
      <c r="I173" s="177">
        <v>4</v>
      </c>
      <c r="J173" s="52"/>
      <c r="K173" s="165">
        <v>4</v>
      </c>
      <c r="L173" s="177"/>
      <c r="M173" s="52"/>
      <c r="N173" s="205"/>
      <c r="O173" s="224"/>
    </row>
    <row r="174" spans="2:15" ht="15" x14ac:dyDescent="0.25">
      <c r="B174" s="51"/>
      <c r="C174" s="4"/>
      <c r="D174" s="4"/>
      <c r="E174" s="4"/>
      <c r="F174" s="57"/>
      <c r="G174" s="68"/>
      <c r="H174" s="10" t="s">
        <v>24</v>
      </c>
      <c r="I174" s="110">
        <f t="shared" ref="I174:N174" si="86">I169+I166+I155+I152+I148</f>
        <v>753120</v>
      </c>
      <c r="J174" s="52">
        <f t="shared" si="86"/>
        <v>0</v>
      </c>
      <c r="K174" s="165">
        <f t="shared" si="86"/>
        <v>753120</v>
      </c>
      <c r="L174" s="110">
        <f t="shared" si="86"/>
        <v>0</v>
      </c>
      <c r="M174" s="52">
        <f t="shared" si="86"/>
        <v>0</v>
      </c>
      <c r="N174" s="205">
        <f t="shared" si="86"/>
        <v>0</v>
      </c>
      <c r="O174" s="228">
        <f t="shared" si="79"/>
        <v>0</v>
      </c>
    </row>
    <row r="175" spans="2:15" ht="15" x14ac:dyDescent="0.25">
      <c r="B175" s="51"/>
      <c r="C175" s="4"/>
      <c r="D175" s="4"/>
      <c r="E175" s="4"/>
      <c r="F175" s="57"/>
      <c r="G175" s="68"/>
      <c r="H175" s="10" t="s">
        <v>16</v>
      </c>
      <c r="I175" s="110"/>
      <c r="J175" s="52"/>
      <c r="K175" s="165"/>
      <c r="L175" s="110"/>
      <c r="M175" s="52"/>
      <c r="N175" s="205"/>
      <c r="O175" s="228"/>
    </row>
    <row r="176" spans="2:15" ht="15" x14ac:dyDescent="0.25">
      <c r="B176" s="51"/>
      <c r="C176" s="4"/>
      <c r="D176" s="4"/>
      <c r="E176" s="4"/>
      <c r="F176" s="57"/>
      <c r="G176" s="68"/>
      <c r="H176" s="10" t="s">
        <v>17</v>
      </c>
      <c r="I176" s="121"/>
      <c r="J176" s="44"/>
      <c r="K176" s="179"/>
      <c r="L176" s="121"/>
      <c r="M176" s="44"/>
      <c r="N176" s="214"/>
      <c r="O176" s="228"/>
    </row>
    <row r="177" spans="2:15" ht="15" thickBot="1" x14ac:dyDescent="0.25">
      <c r="B177" s="6"/>
      <c r="C177" s="7"/>
      <c r="D177" s="7"/>
      <c r="E177" s="7"/>
      <c r="F177" s="59"/>
      <c r="G177" s="70"/>
      <c r="H177" s="12"/>
      <c r="I177" s="6"/>
      <c r="J177" s="7"/>
      <c r="K177" s="169"/>
      <c r="L177" s="6"/>
      <c r="M177" s="7"/>
      <c r="N177" s="215"/>
      <c r="O177" s="227" t="str">
        <f t="shared" si="79"/>
        <v/>
      </c>
    </row>
    <row r="178" spans="2:15" x14ac:dyDescent="0.2">
      <c r="O178" s="233" t="str">
        <f t="shared" si="79"/>
        <v/>
      </c>
    </row>
    <row r="179" spans="2:15" ht="15" x14ac:dyDescent="0.25">
      <c r="B179" s="2" t="s">
        <v>29</v>
      </c>
      <c r="C179" s="3" t="s">
        <v>3</v>
      </c>
      <c r="D179" s="3" t="s">
        <v>48</v>
      </c>
      <c r="E179" s="136" t="s">
        <v>136</v>
      </c>
      <c r="F179" s="49"/>
      <c r="G179" s="49"/>
      <c r="H179" s="182" t="s">
        <v>360</v>
      </c>
      <c r="I179" s="1"/>
      <c r="J179" s="49"/>
      <c r="K179" s="161"/>
      <c r="L179" s="1"/>
      <c r="M179" s="49"/>
      <c r="N179" s="201"/>
      <c r="O179" s="224" t="str">
        <f t="shared" si="79"/>
        <v/>
      </c>
    </row>
    <row r="180" spans="2:15" ht="15" x14ac:dyDescent="0.25">
      <c r="B180" s="51"/>
      <c r="C180" s="4"/>
      <c r="D180" s="4"/>
      <c r="E180" s="4"/>
      <c r="F180" s="57">
        <v>611000</v>
      </c>
      <c r="G180" s="68"/>
      <c r="H180" s="10" t="s">
        <v>57</v>
      </c>
      <c r="I180" s="177">
        <f>SUM(I181:I183)</f>
        <v>74610</v>
      </c>
      <c r="J180" s="32">
        <f t="shared" ref="J180:N180" si="87">SUM(J181:J183)</f>
        <v>0</v>
      </c>
      <c r="K180" s="162">
        <f t="shared" si="87"/>
        <v>74610</v>
      </c>
      <c r="L180" s="177">
        <f t="shared" si="87"/>
        <v>0</v>
      </c>
      <c r="M180" s="32">
        <f t="shared" si="87"/>
        <v>0</v>
      </c>
      <c r="N180" s="202">
        <f t="shared" si="87"/>
        <v>0</v>
      </c>
      <c r="O180" s="228">
        <f t="shared" si="79"/>
        <v>0</v>
      </c>
    </row>
    <row r="181" spans="2:15" ht="14.25" x14ac:dyDescent="0.2">
      <c r="B181" s="50"/>
      <c r="C181" s="8"/>
      <c r="D181" s="8"/>
      <c r="E181" s="8"/>
      <c r="F181" s="58">
        <v>611100</v>
      </c>
      <c r="G181" s="69"/>
      <c r="H181" s="9" t="s">
        <v>68</v>
      </c>
      <c r="I181" s="99">
        <f>12*3600+2500+16700</f>
        <v>62400</v>
      </c>
      <c r="J181" s="31">
        <v>0</v>
      </c>
      <c r="K181" s="163">
        <f>SUM(I181:J181)</f>
        <v>62400</v>
      </c>
      <c r="L181" s="99"/>
      <c r="M181" s="31"/>
      <c r="N181" s="203">
        <f>SUM(L181:M181)</f>
        <v>0</v>
      </c>
      <c r="O181" s="224">
        <f t="shared" si="79"/>
        <v>0</v>
      </c>
    </row>
    <row r="182" spans="2:15" ht="14.25" x14ac:dyDescent="0.2">
      <c r="B182" s="50"/>
      <c r="C182" s="8"/>
      <c r="D182" s="8"/>
      <c r="E182" s="8"/>
      <c r="F182" s="58">
        <v>611200</v>
      </c>
      <c r="G182" s="69"/>
      <c r="H182" s="9" t="s">
        <v>69</v>
      </c>
      <c r="I182" s="99">
        <f>5780+850+850+4730</f>
        <v>12210</v>
      </c>
      <c r="J182" s="31">
        <v>0</v>
      </c>
      <c r="K182" s="163">
        <f t="shared" ref="K182" si="88">SUM(I182:J182)</f>
        <v>12210</v>
      </c>
      <c r="L182" s="99"/>
      <c r="M182" s="31"/>
      <c r="N182" s="203">
        <f t="shared" ref="N182" si="89">SUM(L182:M182)</f>
        <v>0</v>
      </c>
      <c r="O182" s="224">
        <f t="shared" si="79"/>
        <v>0</v>
      </c>
    </row>
    <row r="183" spans="2:15" ht="14.25" x14ac:dyDescent="0.2">
      <c r="B183" s="50"/>
      <c r="C183" s="8"/>
      <c r="D183" s="8"/>
      <c r="E183" s="8"/>
      <c r="F183" s="58"/>
      <c r="G183" s="69"/>
      <c r="H183" s="9"/>
      <c r="I183" s="99"/>
      <c r="J183" s="31"/>
      <c r="K183" s="163"/>
      <c r="L183" s="99"/>
      <c r="M183" s="31"/>
      <c r="N183" s="203"/>
      <c r="O183" s="224" t="str">
        <f t="shared" si="79"/>
        <v/>
      </c>
    </row>
    <row r="184" spans="2:15" ht="15" x14ac:dyDescent="0.25">
      <c r="B184" s="51"/>
      <c r="C184" s="4"/>
      <c r="D184" s="4"/>
      <c r="E184" s="4"/>
      <c r="F184" s="57">
        <v>612000</v>
      </c>
      <c r="G184" s="68"/>
      <c r="H184" s="10" t="s">
        <v>56</v>
      </c>
      <c r="I184" s="177">
        <f t="shared" ref="I184" si="90">I185</f>
        <v>3130</v>
      </c>
      <c r="J184" s="32">
        <f>J185</f>
        <v>0</v>
      </c>
      <c r="K184" s="162">
        <f>K185</f>
        <v>3130</v>
      </c>
      <c r="L184" s="177">
        <f t="shared" ref="L184" si="91">L185</f>
        <v>0</v>
      </c>
      <c r="M184" s="32">
        <f>M185</f>
        <v>0</v>
      </c>
      <c r="N184" s="202">
        <f>N185</f>
        <v>0</v>
      </c>
      <c r="O184" s="228">
        <f t="shared" si="79"/>
        <v>0</v>
      </c>
    </row>
    <row r="185" spans="2:15" ht="14.25" x14ac:dyDescent="0.2">
      <c r="B185" s="50"/>
      <c r="C185" s="8"/>
      <c r="D185" s="8"/>
      <c r="E185" s="8"/>
      <c r="F185" s="58">
        <v>612100</v>
      </c>
      <c r="G185" s="69"/>
      <c r="H185" s="145" t="s">
        <v>5</v>
      </c>
      <c r="I185" s="99">
        <f>2160+130+840</f>
        <v>3130</v>
      </c>
      <c r="J185" s="31">
        <v>0</v>
      </c>
      <c r="K185" s="163">
        <f>SUM(I185:J185)</f>
        <v>3130</v>
      </c>
      <c r="L185" s="99"/>
      <c r="M185" s="31"/>
      <c r="N185" s="203">
        <f>SUM(L185:M185)</f>
        <v>0</v>
      </c>
      <c r="O185" s="224">
        <f t="shared" si="79"/>
        <v>0</v>
      </c>
    </row>
    <row r="186" spans="2:15" ht="14.25" x14ac:dyDescent="0.2">
      <c r="B186" s="50"/>
      <c r="C186" s="8"/>
      <c r="D186" s="8"/>
      <c r="E186" s="8"/>
      <c r="F186" s="58"/>
      <c r="G186" s="69"/>
      <c r="H186" s="9"/>
      <c r="I186" s="99"/>
      <c r="J186" s="46"/>
      <c r="K186" s="164"/>
      <c r="L186" s="99"/>
      <c r="M186" s="46"/>
      <c r="N186" s="204"/>
      <c r="O186" s="224" t="str">
        <f t="shared" si="79"/>
        <v/>
      </c>
    </row>
    <row r="187" spans="2:15" ht="15" x14ac:dyDescent="0.25">
      <c r="B187" s="51"/>
      <c r="C187" s="4"/>
      <c r="D187" s="4"/>
      <c r="E187" s="4"/>
      <c r="F187" s="57">
        <v>613000</v>
      </c>
      <c r="G187" s="68"/>
      <c r="H187" s="10" t="s">
        <v>58</v>
      </c>
      <c r="I187" s="178">
        <f>SUM(I188:I196)</f>
        <v>4100</v>
      </c>
      <c r="J187" s="55">
        <f t="shared" ref="J187:N187" si="92">SUM(J188:J196)</f>
        <v>0</v>
      </c>
      <c r="K187" s="165">
        <f t="shared" si="92"/>
        <v>4100</v>
      </c>
      <c r="L187" s="178">
        <f t="shared" si="92"/>
        <v>0</v>
      </c>
      <c r="M187" s="55">
        <f t="shared" si="92"/>
        <v>0</v>
      </c>
      <c r="N187" s="205">
        <f t="shared" si="92"/>
        <v>0</v>
      </c>
      <c r="O187" s="228">
        <f t="shared" si="79"/>
        <v>0</v>
      </c>
    </row>
    <row r="188" spans="2:15" ht="14.25" x14ac:dyDescent="0.2">
      <c r="B188" s="50"/>
      <c r="C188" s="8"/>
      <c r="D188" s="8"/>
      <c r="E188" s="8"/>
      <c r="F188" s="58">
        <v>613100</v>
      </c>
      <c r="G188" s="69"/>
      <c r="H188" s="9" t="s">
        <v>6</v>
      </c>
      <c r="I188" s="99">
        <v>1000</v>
      </c>
      <c r="J188" s="82">
        <v>0</v>
      </c>
      <c r="K188" s="163">
        <f t="shared" ref="K188:K196" si="93">SUM(I188:J188)</f>
        <v>1000</v>
      </c>
      <c r="L188" s="99"/>
      <c r="M188" s="82"/>
      <c r="N188" s="203">
        <f t="shared" ref="N188:N196" si="94">SUM(L188:M188)</f>
        <v>0</v>
      </c>
      <c r="O188" s="224">
        <f t="shared" si="79"/>
        <v>0</v>
      </c>
    </row>
    <row r="189" spans="2:15" ht="14.25" x14ac:dyDescent="0.2">
      <c r="B189" s="50"/>
      <c r="C189" s="8"/>
      <c r="D189" s="8"/>
      <c r="E189" s="8"/>
      <c r="F189" s="58">
        <v>613200</v>
      </c>
      <c r="G189" s="69"/>
      <c r="H189" s="9" t="s">
        <v>7</v>
      </c>
      <c r="I189" s="99">
        <v>0</v>
      </c>
      <c r="J189" s="82">
        <v>0</v>
      </c>
      <c r="K189" s="163">
        <f t="shared" si="93"/>
        <v>0</v>
      </c>
      <c r="L189" s="99"/>
      <c r="M189" s="82"/>
      <c r="N189" s="203">
        <f t="shared" si="94"/>
        <v>0</v>
      </c>
      <c r="O189" s="224" t="str">
        <f t="shared" si="79"/>
        <v/>
      </c>
    </row>
    <row r="190" spans="2:15" ht="14.25" x14ac:dyDescent="0.2">
      <c r="B190" s="50"/>
      <c r="C190" s="8"/>
      <c r="D190" s="8"/>
      <c r="E190" s="8"/>
      <c r="F190" s="58">
        <v>613300</v>
      </c>
      <c r="G190" s="69"/>
      <c r="H190" s="9" t="s">
        <v>70</v>
      </c>
      <c r="I190" s="99">
        <v>600</v>
      </c>
      <c r="J190" s="82">
        <v>0</v>
      </c>
      <c r="K190" s="163">
        <f t="shared" si="93"/>
        <v>600</v>
      </c>
      <c r="L190" s="99"/>
      <c r="M190" s="82"/>
      <c r="N190" s="203">
        <f t="shared" si="94"/>
        <v>0</v>
      </c>
      <c r="O190" s="224">
        <f t="shared" si="79"/>
        <v>0</v>
      </c>
    </row>
    <row r="191" spans="2:15" ht="14.25" x14ac:dyDescent="0.2">
      <c r="B191" s="50"/>
      <c r="C191" s="8"/>
      <c r="D191" s="8"/>
      <c r="E191" s="8"/>
      <c r="F191" s="58">
        <v>613400</v>
      </c>
      <c r="G191" s="69"/>
      <c r="H191" s="9" t="s">
        <v>59</v>
      </c>
      <c r="I191" s="99">
        <v>1000</v>
      </c>
      <c r="J191" s="82">
        <v>0</v>
      </c>
      <c r="K191" s="163">
        <f t="shared" si="93"/>
        <v>1000</v>
      </c>
      <c r="L191" s="99"/>
      <c r="M191" s="82"/>
      <c r="N191" s="203">
        <f t="shared" si="94"/>
        <v>0</v>
      </c>
      <c r="O191" s="224">
        <f t="shared" si="79"/>
        <v>0</v>
      </c>
    </row>
    <row r="192" spans="2:15" ht="14.25" x14ac:dyDescent="0.2">
      <c r="B192" s="50"/>
      <c r="C192" s="8"/>
      <c r="D192" s="8"/>
      <c r="E192" s="8"/>
      <c r="F192" s="58">
        <v>613500</v>
      </c>
      <c r="G192" s="69"/>
      <c r="H192" s="9" t="s">
        <v>8</v>
      </c>
      <c r="I192" s="99">
        <v>0</v>
      </c>
      <c r="J192" s="82">
        <v>0</v>
      </c>
      <c r="K192" s="163">
        <f t="shared" si="93"/>
        <v>0</v>
      </c>
      <c r="L192" s="99"/>
      <c r="M192" s="82"/>
      <c r="N192" s="203">
        <f t="shared" si="94"/>
        <v>0</v>
      </c>
      <c r="O192" s="224" t="str">
        <f t="shared" si="79"/>
        <v/>
      </c>
    </row>
    <row r="193" spans="2:15" ht="14.25" x14ac:dyDescent="0.2">
      <c r="B193" s="50"/>
      <c r="C193" s="8"/>
      <c r="D193" s="8"/>
      <c r="E193" s="8"/>
      <c r="F193" s="58">
        <v>613600</v>
      </c>
      <c r="G193" s="69"/>
      <c r="H193" s="9" t="s">
        <v>71</v>
      </c>
      <c r="I193" s="99">
        <v>0</v>
      </c>
      <c r="J193" s="82">
        <v>0</v>
      </c>
      <c r="K193" s="163">
        <f t="shared" si="93"/>
        <v>0</v>
      </c>
      <c r="L193" s="99"/>
      <c r="M193" s="82"/>
      <c r="N193" s="203">
        <f t="shared" si="94"/>
        <v>0</v>
      </c>
      <c r="O193" s="224" t="str">
        <f t="shared" si="79"/>
        <v/>
      </c>
    </row>
    <row r="194" spans="2:15" ht="14.25" x14ac:dyDescent="0.2">
      <c r="B194" s="50"/>
      <c r="C194" s="8"/>
      <c r="D194" s="8"/>
      <c r="E194" s="8"/>
      <c r="F194" s="58">
        <v>613700</v>
      </c>
      <c r="G194" s="69"/>
      <c r="H194" s="9" t="s">
        <v>9</v>
      </c>
      <c r="I194" s="99">
        <v>500</v>
      </c>
      <c r="J194" s="82">
        <v>0</v>
      </c>
      <c r="K194" s="163">
        <f t="shared" si="93"/>
        <v>500</v>
      </c>
      <c r="L194" s="99"/>
      <c r="M194" s="82"/>
      <c r="N194" s="203">
        <f t="shared" si="94"/>
        <v>0</v>
      </c>
      <c r="O194" s="224">
        <f t="shared" si="79"/>
        <v>0</v>
      </c>
    </row>
    <row r="195" spans="2:15" ht="14.25" x14ac:dyDescent="0.2">
      <c r="B195" s="50"/>
      <c r="C195" s="8"/>
      <c r="D195" s="8"/>
      <c r="E195" s="8"/>
      <c r="F195" s="58">
        <v>613800</v>
      </c>
      <c r="G195" s="69"/>
      <c r="H195" s="9" t="s">
        <v>60</v>
      </c>
      <c r="I195" s="99">
        <v>0</v>
      </c>
      <c r="J195" s="82">
        <v>0</v>
      </c>
      <c r="K195" s="163">
        <f t="shared" si="93"/>
        <v>0</v>
      </c>
      <c r="L195" s="99"/>
      <c r="M195" s="82"/>
      <c r="N195" s="203">
        <f t="shared" si="94"/>
        <v>0</v>
      </c>
      <c r="O195" s="224" t="str">
        <f t="shared" si="79"/>
        <v/>
      </c>
    </row>
    <row r="196" spans="2:15" ht="14.25" x14ac:dyDescent="0.2">
      <c r="B196" s="50"/>
      <c r="C196" s="8"/>
      <c r="D196" s="8"/>
      <c r="E196" s="8"/>
      <c r="F196" s="58">
        <v>613900</v>
      </c>
      <c r="G196" s="69"/>
      <c r="H196" s="9" t="s">
        <v>61</v>
      </c>
      <c r="I196" s="99">
        <v>1000</v>
      </c>
      <c r="J196" s="82">
        <v>0</v>
      </c>
      <c r="K196" s="163">
        <f t="shared" si="93"/>
        <v>1000</v>
      </c>
      <c r="L196" s="99"/>
      <c r="M196" s="82"/>
      <c r="N196" s="203">
        <f t="shared" si="94"/>
        <v>0</v>
      </c>
      <c r="O196" s="224">
        <f t="shared" si="79"/>
        <v>0</v>
      </c>
    </row>
    <row r="197" spans="2:15" ht="15" x14ac:dyDescent="0.25">
      <c r="B197" s="50"/>
      <c r="C197" s="8"/>
      <c r="D197" s="8"/>
      <c r="E197" s="8"/>
      <c r="F197" s="58"/>
      <c r="G197" s="69"/>
      <c r="H197" s="9"/>
      <c r="I197" s="177"/>
      <c r="J197" s="52"/>
      <c r="K197" s="165"/>
      <c r="L197" s="177"/>
      <c r="M197" s="52"/>
      <c r="N197" s="205"/>
      <c r="O197" s="224" t="str">
        <f t="shared" ref="O197:O201" si="95">IF(K197=0,"",N197/K197*100)</f>
        <v/>
      </c>
    </row>
    <row r="198" spans="2:15" ht="15" x14ac:dyDescent="0.25">
      <c r="B198" s="51"/>
      <c r="C198" s="4"/>
      <c r="D198" s="4"/>
      <c r="E198" s="4"/>
      <c r="F198" s="57">
        <v>821000</v>
      </c>
      <c r="G198" s="68"/>
      <c r="H198" s="10" t="s">
        <v>12</v>
      </c>
      <c r="I198" s="177">
        <f t="shared" ref="I198" si="96">SUM(I199:I200)</f>
        <v>5000</v>
      </c>
      <c r="J198" s="52">
        <f>SUM(J199:J200)</f>
        <v>0</v>
      </c>
      <c r="K198" s="165">
        <f>SUM(K199:K200)</f>
        <v>5000</v>
      </c>
      <c r="L198" s="177">
        <f t="shared" ref="L198" si="97">SUM(L199:L200)</f>
        <v>0</v>
      </c>
      <c r="M198" s="52">
        <f>SUM(M199:M200)</f>
        <v>0</v>
      </c>
      <c r="N198" s="205">
        <f>SUM(N199:N200)</f>
        <v>0</v>
      </c>
      <c r="O198" s="228">
        <f t="shared" si="95"/>
        <v>0</v>
      </c>
    </row>
    <row r="199" spans="2:15" ht="14.25" x14ac:dyDescent="0.2">
      <c r="B199" s="50"/>
      <c r="C199" s="8"/>
      <c r="D199" s="8"/>
      <c r="E199" s="8"/>
      <c r="F199" s="58">
        <v>821200</v>
      </c>
      <c r="G199" s="69"/>
      <c r="H199" s="9" t="s">
        <v>13</v>
      </c>
      <c r="I199" s="99">
        <v>0</v>
      </c>
      <c r="J199" s="46">
        <v>0</v>
      </c>
      <c r="K199" s="163">
        <f t="shared" ref="K199:K200" si="98">SUM(I199:J199)</f>
        <v>0</v>
      </c>
      <c r="L199" s="99"/>
      <c r="M199" s="46"/>
      <c r="N199" s="203">
        <f t="shared" ref="N199:N200" si="99">SUM(L199:M199)</f>
        <v>0</v>
      </c>
      <c r="O199" s="224" t="str">
        <f t="shared" si="95"/>
        <v/>
      </c>
    </row>
    <row r="200" spans="2:15" ht="14.25" x14ac:dyDescent="0.2">
      <c r="B200" s="50"/>
      <c r="C200" s="8"/>
      <c r="D200" s="8"/>
      <c r="E200" s="8"/>
      <c r="F200" s="58">
        <v>821300</v>
      </c>
      <c r="G200" s="69"/>
      <c r="H200" s="9" t="s">
        <v>14</v>
      </c>
      <c r="I200" s="99">
        <v>5000</v>
      </c>
      <c r="J200" s="46">
        <v>0</v>
      </c>
      <c r="K200" s="163">
        <f t="shared" si="98"/>
        <v>5000</v>
      </c>
      <c r="L200" s="99"/>
      <c r="M200" s="46"/>
      <c r="N200" s="203">
        <f t="shared" si="99"/>
        <v>0</v>
      </c>
      <c r="O200" s="224">
        <f t="shared" si="95"/>
        <v>0</v>
      </c>
    </row>
    <row r="201" spans="2:15" ht="14.25" x14ac:dyDescent="0.2">
      <c r="B201" s="50"/>
      <c r="C201" s="8"/>
      <c r="D201" s="8"/>
      <c r="E201" s="8"/>
      <c r="F201" s="58"/>
      <c r="G201" s="69"/>
      <c r="H201" s="9"/>
      <c r="I201" s="99"/>
      <c r="J201" s="46"/>
      <c r="K201" s="164"/>
      <c r="L201" s="99"/>
      <c r="M201" s="46"/>
      <c r="N201" s="204"/>
      <c r="O201" s="224" t="str">
        <f t="shared" si="95"/>
        <v/>
      </c>
    </row>
    <row r="202" spans="2:15" ht="15" x14ac:dyDescent="0.25">
      <c r="B202" s="51"/>
      <c r="C202" s="4"/>
      <c r="D202" s="4"/>
      <c r="E202" s="4"/>
      <c r="F202" s="57"/>
      <c r="G202" s="68"/>
      <c r="H202" s="10" t="s">
        <v>15</v>
      </c>
      <c r="I202" s="177">
        <v>2</v>
      </c>
      <c r="J202" s="52"/>
      <c r="K202" s="165">
        <v>2</v>
      </c>
      <c r="L202" s="177"/>
      <c r="M202" s="52"/>
      <c r="N202" s="205"/>
      <c r="O202" s="224"/>
    </row>
    <row r="203" spans="2:15" ht="15" x14ac:dyDescent="0.25">
      <c r="B203" s="51"/>
      <c r="C203" s="4"/>
      <c r="D203" s="4"/>
      <c r="E203" s="4"/>
      <c r="F203" s="57"/>
      <c r="G203" s="68"/>
      <c r="H203" s="10" t="s">
        <v>24</v>
      </c>
      <c r="I203" s="110">
        <f t="shared" ref="I203:N203" si="100">I198+I187+I184+I180</f>
        <v>86840</v>
      </c>
      <c r="J203" s="52">
        <f t="shared" si="100"/>
        <v>0</v>
      </c>
      <c r="K203" s="165">
        <f t="shared" si="100"/>
        <v>86840</v>
      </c>
      <c r="L203" s="110">
        <f t="shared" si="100"/>
        <v>0</v>
      </c>
      <c r="M203" s="52">
        <f t="shared" si="100"/>
        <v>0</v>
      </c>
      <c r="N203" s="205">
        <f t="shared" si="100"/>
        <v>0</v>
      </c>
      <c r="O203" s="228">
        <f t="shared" ref="O203" si="101">IF(K203=0,"",N203/K203*100)</f>
        <v>0</v>
      </c>
    </row>
    <row r="204" spans="2:15" ht="15" x14ac:dyDescent="0.25">
      <c r="B204" s="51"/>
      <c r="C204" s="4"/>
      <c r="D204" s="4"/>
      <c r="E204" s="4"/>
      <c r="F204" s="57"/>
      <c r="G204" s="68"/>
      <c r="H204" s="10" t="s">
        <v>16</v>
      </c>
      <c r="I204" s="110"/>
      <c r="J204" s="52"/>
      <c r="K204" s="165"/>
      <c r="L204" s="110"/>
      <c r="M204" s="52"/>
      <c r="N204" s="205"/>
      <c r="O204" s="228"/>
    </row>
    <row r="205" spans="2:15" ht="15" x14ac:dyDescent="0.25">
      <c r="B205" s="51"/>
      <c r="C205" s="4"/>
      <c r="D205" s="4"/>
      <c r="E205" s="4"/>
      <c r="F205" s="57"/>
      <c r="G205" s="68"/>
      <c r="H205" s="10" t="s">
        <v>17</v>
      </c>
      <c r="I205" s="121"/>
      <c r="J205" s="44"/>
      <c r="K205" s="179"/>
      <c r="L205" s="121"/>
      <c r="M205" s="44"/>
      <c r="N205" s="214"/>
      <c r="O205" s="228"/>
    </row>
    <row r="206" spans="2:15" ht="15" thickBot="1" x14ac:dyDescent="0.25">
      <c r="B206" s="6"/>
      <c r="C206" s="7"/>
      <c r="D206" s="7"/>
      <c r="E206" s="7"/>
      <c r="F206" s="59"/>
      <c r="G206" s="70"/>
      <c r="H206" s="12"/>
      <c r="I206" s="6"/>
      <c r="J206" s="7"/>
      <c r="K206" s="169"/>
      <c r="L206" s="6"/>
      <c r="M206" s="7"/>
      <c r="N206" s="215"/>
      <c r="O206" s="227" t="str">
        <f t="shared" ref="O206" si="102">IF(K206=0,"",N206/K206*100)</f>
        <v/>
      </c>
    </row>
  </sheetData>
  <mergeCells count="14">
    <mergeCell ref="H7:H8"/>
    <mergeCell ref="I7:K7"/>
    <mergeCell ref="L7:N7"/>
    <mergeCell ref="O7:O8"/>
    <mergeCell ref="B1:N1"/>
    <mergeCell ref="F3:K3"/>
    <mergeCell ref="D5:E5"/>
    <mergeCell ref="H6:I6"/>
    <mergeCell ref="B7:B8"/>
    <mergeCell ref="C7:C8"/>
    <mergeCell ref="D7:D8"/>
    <mergeCell ref="E7:E8"/>
    <mergeCell ref="F7:F8"/>
    <mergeCell ref="G7:G8"/>
  </mergeCells>
  <pageMargins left="0.39370078740157483" right="0.39370078740157483" top="0.39370078740157483" bottom="0.39370078740157483" header="0.31496062992125984" footer="0.31496062992125984"/>
  <pageSetup paperSize="9" scale="75" orientation="landscape" r:id="rId1"/>
  <rowBreaks count="6" manualBreakCount="6">
    <brk id="46" max="16383" man="1"/>
    <brk id="59" max="16383" man="1"/>
    <brk id="88" max="16383" man="1"/>
    <brk id="117" max="16383" man="1"/>
    <brk id="146" max="16383" man="1"/>
    <brk id="17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/>
  <dimension ref="B1:O38"/>
  <sheetViews>
    <sheetView topLeftCell="D1" zoomScaleNormal="100" workbookViewId="0">
      <selection activeCell="L9" sqref="L9:O9"/>
    </sheetView>
  </sheetViews>
  <sheetFormatPr defaultColWidth="9.140625" defaultRowHeight="12.75" x14ac:dyDescent="0.2"/>
  <cols>
    <col min="1" max="1" width="6.140625" style="17" customWidth="1"/>
    <col min="2" max="2" width="4.7109375" style="17" customWidth="1"/>
    <col min="3" max="3" width="5.140625" style="17" customWidth="1"/>
    <col min="4" max="5" width="5" style="17" customWidth="1"/>
    <col min="6" max="7" width="8.7109375" style="53" customWidth="1"/>
    <col min="8" max="8" width="50.7109375" style="17" customWidth="1"/>
    <col min="9" max="9" width="11.7109375" style="17" customWidth="1"/>
    <col min="10" max="10" width="11.85546875" style="17" customWidth="1"/>
    <col min="11" max="11" width="13.5703125" style="17" customWidth="1"/>
    <col min="12" max="13" width="14.7109375" style="17" customWidth="1"/>
    <col min="14" max="14" width="15.7109375" style="17" customWidth="1"/>
    <col min="15" max="15" width="9.140625" style="17"/>
    <col min="16" max="16" width="9.5703125" style="17" bestFit="1" customWidth="1"/>
    <col min="17" max="16384" width="9.140625" style="17"/>
  </cols>
  <sheetData>
    <row r="1" spans="2:15" ht="15.75" x14ac:dyDescent="0.25">
      <c r="B1" s="428" t="s">
        <v>374</v>
      </c>
      <c r="C1" s="429"/>
      <c r="D1" s="429"/>
      <c r="E1" s="429"/>
      <c r="F1" s="429"/>
      <c r="G1" s="429"/>
      <c r="H1" s="429"/>
      <c r="I1" s="430"/>
      <c r="J1" s="430"/>
      <c r="K1" s="430"/>
      <c r="L1" s="430"/>
      <c r="M1" s="430"/>
      <c r="N1" s="430"/>
    </row>
    <row r="2" spans="2:15" x14ac:dyDescent="0.2">
      <c r="M2" s="126" t="s">
        <v>232</v>
      </c>
      <c r="N2" s="196"/>
    </row>
    <row r="3" spans="2:15" ht="15.75" x14ac:dyDescent="0.25">
      <c r="B3" s="180" t="s">
        <v>173</v>
      </c>
      <c r="F3" s="431" t="s">
        <v>202</v>
      </c>
      <c r="G3" s="432"/>
      <c r="H3" s="432"/>
      <c r="I3" s="432"/>
      <c r="J3" s="432"/>
      <c r="K3" s="432"/>
    </row>
    <row r="4" spans="2:15" x14ac:dyDescent="0.2">
      <c r="B4" s="180"/>
      <c r="G4"/>
      <c r="H4"/>
      <c r="I4"/>
      <c r="J4"/>
      <c r="K4"/>
    </row>
    <row r="5" spans="2:15" ht="15.75" x14ac:dyDescent="0.25">
      <c r="B5" s="180" t="s">
        <v>172</v>
      </c>
      <c r="D5" s="433">
        <v>12</v>
      </c>
      <c r="E5" s="434"/>
      <c r="F5" s="181"/>
      <c r="G5" s="181"/>
      <c r="I5" s="180"/>
      <c r="L5" s="411"/>
    </row>
    <row r="6" spans="2:15" s="22" customFormat="1" ht="16.5" thickBot="1" x14ac:dyDescent="0.3">
      <c r="F6" s="48"/>
      <c r="G6" s="48"/>
      <c r="H6" s="435"/>
      <c r="I6" s="435"/>
      <c r="J6" s="26"/>
      <c r="K6" s="26"/>
      <c r="L6" s="26"/>
      <c r="M6" s="26"/>
      <c r="N6" s="26"/>
    </row>
    <row r="7" spans="2:15" s="22" customFormat="1" ht="36" customHeight="1" x14ac:dyDescent="0.2">
      <c r="B7" s="436" t="s">
        <v>0</v>
      </c>
      <c r="C7" s="438" t="s">
        <v>1</v>
      </c>
      <c r="D7" s="438" t="s">
        <v>21</v>
      </c>
      <c r="E7" s="438" t="s">
        <v>135</v>
      </c>
      <c r="F7" s="421" t="s">
        <v>85</v>
      </c>
      <c r="G7" s="440" t="s">
        <v>88</v>
      </c>
      <c r="H7" s="421" t="s">
        <v>2</v>
      </c>
      <c r="I7" s="423" t="s">
        <v>375</v>
      </c>
      <c r="J7" s="424"/>
      <c r="K7" s="425"/>
      <c r="L7" s="423" t="s">
        <v>373</v>
      </c>
      <c r="M7" s="424"/>
      <c r="N7" s="424"/>
      <c r="O7" s="426" t="s">
        <v>258</v>
      </c>
    </row>
    <row r="8" spans="2:15" s="22" customFormat="1" ht="25.5" x14ac:dyDescent="0.2">
      <c r="B8" s="437"/>
      <c r="C8" s="439"/>
      <c r="D8" s="439"/>
      <c r="E8" s="439"/>
      <c r="F8" s="422"/>
      <c r="G8" s="439"/>
      <c r="H8" s="422"/>
      <c r="I8" s="105" t="s">
        <v>117</v>
      </c>
      <c r="J8" s="85" t="s">
        <v>118</v>
      </c>
      <c r="K8" s="159" t="s">
        <v>81</v>
      </c>
      <c r="L8" s="105" t="s">
        <v>117</v>
      </c>
      <c r="M8" s="85" t="s">
        <v>118</v>
      </c>
      <c r="N8" s="200" t="s">
        <v>81</v>
      </c>
      <c r="O8" s="427"/>
    </row>
    <row r="9" spans="2:15" s="48" customFormat="1" ht="13.5" thickBot="1" x14ac:dyDescent="0.25">
      <c r="B9" s="97">
        <v>1</v>
      </c>
      <c r="C9" s="68">
        <v>2</v>
      </c>
      <c r="D9" s="68">
        <v>3</v>
      </c>
      <c r="E9" s="68">
        <v>4</v>
      </c>
      <c r="F9" s="68">
        <v>5</v>
      </c>
      <c r="G9" s="68">
        <v>6</v>
      </c>
      <c r="H9" s="68">
        <v>7</v>
      </c>
      <c r="I9" s="97">
        <v>8</v>
      </c>
      <c r="J9" s="68">
        <v>9</v>
      </c>
      <c r="K9" s="160" t="s">
        <v>171</v>
      </c>
      <c r="L9" s="97">
        <v>11</v>
      </c>
      <c r="M9" s="68">
        <v>12</v>
      </c>
      <c r="N9" s="68" t="s">
        <v>394</v>
      </c>
      <c r="O9" s="232" t="s">
        <v>395</v>
      </c>
    </row>
    <row r="10" spans="2:15" ht="15" x14ac:dyDescent="0.25">
      <c r="B10" s="2" t="s">
        <v>34</v>
      </c>
      <c r="C10" s="3" t="s">
        <v>3</v>
      </c>
      <c r="D10" s="3" t="s">
        <v>4</v>
      </c>
      <c r="E10" s="136" t="s">
        <v>137</v>
      </c>
      <c r="F10" s="49"/>
      <c r="G10" s="49"/>
      <c r="H10" s="182" t="s">
        <v>175</v>
      </c>
      <c r="I10" s="1"/>
      <c r="J10" s="49"/>
      <c r="K10" s="161"/>
      <c r="L10" s="185"/>
      <c r="M10" s="186"/>
      <c r="N10" s="216"/>
      <c r="O10" s="224" t="str">
        <f t="shared" ref="O10:O38" si="0">IF(K10=0,"",N10/K10*100)</f>
        <v/>
      </c>
    </row>
    <row r="11" spans="2:15" ht="15" x14ac:dyDescent="0.25">
      <c r="B11" s="51"/>
      <c r="C11" s="4"/>
      <c r="D11" s="4"/>
      <c r="E11" s="4"/>
      <c r="F11" s="57">
        <v>611000</v>
      </c>
      <c r="G11" s="68"/>
      <c r="H11" s="10" t="s">
        <v>57</v>
      </c>
      <c r="I11" s="106">
        <f>I12+I13</f>
        <v>657720</v>
      </c>
      <c r="J11" s="32">
        <f t="shared" ref="J11:N11" si="1">SUM(J12:J14)</f>
        <v>0</v>
      </c>
      <c r="K11" s="162">
        <f t="shared" si="1"/>
        <v>657720</v>
      </c>
      <c r="L11" s="106">
        <f t="shared" si="1"/>
        <v>0</v>
      </c>
      <c r="M11" s="32">
        <f t="shared" si="1"/>
        <v>0</v>
      </c>
      <c r="N11" s="202">
        <f t="shared" si="1"/>
        <v>0</v>
      </c>
      <c r="O11" s="228">
        <f t="shared" si="0"/>
        <v>0</v>
      </c>
    </row>
    <row r="12" spans="2:15" ht="14.25" x14ac:dyDescent="0.2">
      <c r="B12" s="50"/>
      <c r="C12" s="8"/>
      <c r="D12" s="8"/>
      <c r="E12" s="8"/>
      <c r="F12" s="58">
        <v>611100</v>
      </c>
      <c r="G12" s="69"/>
      <c r="H12" s="9" t="s">
        <v>68</v>
      </c>
      <c r="I12" s="107">
        <f>528750-16200+1820+730+29800</f>
        <v>544900</v>
      </c>
      <c r="J12" s="31">
        <v>0</v>
      </c>
      <c r="K12" s="163">
        <f>SUM(I12:J12)</f>
        <v>544900</v>
      </c>
      <c r="L12" s="107"/>
      <c r="M12" s="31"/>
      <c r="N12" s="203">
        <f>SUM(L12:M12)</f>
        <v>0</v>
      </c>
      <c r="O12" s="224">
        <f t="shared" si="0"/>
        <v>0</v>
      </c>
    </row>
    <row r="13" spans="2:15" ht="14.25" x14ac:dyDescent="0.2">
      <c r="B13" s="50"/>
      <c r="C13" s="8"/>
      <c r="D13" s="8"/>
      <c r="E13" s="8"/>
      <c r="F13" s="58">
        <v>611200</v>
      </c>
      <c r="G13" s="69"/>
      <c r="H13" s="9" t="s">
        <v>69</v>
      </c>
      <c r="I13" s="107">
        <f>112230-850-4230+4050+1620</f>
        <v>112820</v>
      </c>
      <c r="J13" s="31">
        <v>0</v>
      </c>
      <c r="K13" s="163">
        <f t="shared" ref="K13" si="2">SUM(I13:J13)</f>
        <v>112820</v>
      </c>
      <c r="L13" s="107"/>
      <c r="M13" s="31"/>
      <c r="N13" s="203">
        <f t="shared" ref="N13" si="3">SUM(L13:M13)</f>
        <v>0</v>
      </c>
      <c r="O13" s="224">
        <f t="shared" si="0"/>
        <v>0</v>
      </c>
    </row>
    <row r="14" spans="2:15" ht="14.25" x14ac:dyDescent="0.2">
      <c r="B14" s="50"/>
      <c r="C14" s="8"/>
      <c r="D14" s="8"/>
      <c r="E14" s="8"/>
      <c r="F14" s="58"/>
      <c r="G14" s="69"/>
      <c r="H14" s="9"/>
      <c r="I14" s="107"/>
      <c r="J14" s="31"/>
      <c r="K14" s="163"/>
      <c r="L14" s="107"/>
      <c r="M14" s="31"/>
      <c r="N14" s="203"/>
      <c r="O14" s="224" t="str">
        <f t="shared" si="0"/>
        <v/>
      </c>
    </row>
    <row r="15" spans="2:15" ht="15" x14ac:dyDescent="0.25">
      <c r="B15" s="51"/>
      <c r="C15" s="4"/>
      <c r="D15" s="4"/>
      <c r="E15" s="4"/>
      <c r="F15" s="57">
        <v>612000</v>
      </c>
      <c r="G15" s="68"/>
      <c r="H15" s="10" t="s">
        <v>56</v>
      </c>
      <c r="I15" s="106">
        <f>I16</f>
        <v>27300</v>
      </c>
      <c r="J15" s="32">
        <f t="shared" ref="J15:N15" si="4">J16</f>
        <v>0</v>
      </c>
      <c r="K15" s="162">
        <f t="shared" si="4"/>
        <v>27300</v>
      </c>
      <c r="L15" s="106">
        <f t="shared" si="4"/>
        <v>0</v>
      </c>
      <c r="M15" s="32">
        <f t="shared" si="4"/>
        <v>0</v>
      </c>
      <c r="N15" s="202">
        <f t="shared" si="4"/>
        <v>0</v>
      </c>
      <c r="O15" s="228">
        <f t="shared" si="0"/>
        <v>0</v>
      </c>
    </row>
    <row r="16" spans="2:15" ht="14.25" x14ac:dyDescent="0.2">
      <c r="B16" s="50"/>
      <c r="C16" s="8"/>
      <c r="D16" s="8"/>
      <c r="E16" s="8"/>
      <c r="F16" s="58">
        <v>612100</v>
      </c>
      <c r="G16" s="69"/>
      <c r="H16" s="145" t="s">
        <v>5</v>
      </c>
      <c r="I16" s="107">
        <f>26290-820+300+120+1410</f>
        <v>27300</v>
      </c>
      <c r="J16" s="31">
        <v>0</v>
      </c>
      <c r="K16" s="163">
        <f>SUM(I16:J16)</f>
        <v>27300</v>
      </c>
      <c r="L16" s="107"/>
      <c r="M16" s="31"/>
      <c r="N16" s="203">
        <f>SUM(L16:M16)</f>
        <v>0</v>
      </c>
      <c r="O16" s="224">
        <f t="shared" si="0"/>
        <v>0</v>
      </c>
    </row>
    <row r="17" spans="2:15" ht="14.25" x14ac:dyDescent="0.2">
      <c r="B17" s="50"/>
      <c r="C17" s="8"/>
      <c r="D17" s="8"/>
      <c r="E17" s="8"/>
      <c r="F17" s="58"/>
      <c r="G17" s="69"/>
      <c r="H17" s="9"/>
      <c r="I17" s="108"/>
      <c r="J17" s="46"/>
      <c r="K17" s="164"/>
      <c r="L17" s="108"/>
      <c r="M17" s="46"/>
      <c r="N17" s="204"/>
      <c r="O17" s="224" t="str">
        <f t="shared" si="0"/>
        <v/>
      </c>
    </row>
    <row r="18" spans="2:15" ht="15" x14ac:dyDescent="0.25">
      <c r="B18" s="51"/>
      <c r="C18" s="4"/>
      <c r="D18" s="4"/>
      <c r="E18" s="4"/>
      <c r="F18" s="57">
        <v>613000</v>
      </c>
      <c r="G18" s="68"/>
      <c r="H18" s="10" t="s">
        <v>58</v>
      </c>
      <c r="I18" s="109">
        <f>SUM(I19:I27)</f>
        <v>499000</v>
      </c>
      <c r="J18" s="55">
        <f t="shared" ref="J18:N18" si="5">SUM(J19:J27)</f>
        <v>0</v>
      </c>
      <c r="K18" s="165">
        <f t="shared" si="5"/>
        <v>499000</v>
      </c>
      <c r="L18" s="109">
        <f t="shared" si="5"/>
        <v>0</v>
      </c>
      <c r="M18" s="55">
        <f t="shared" si="5"/>
        <v>0</v>
      </c>
      <c r="N18" s="205">
        <f t="shared" si="5"/>
        <v>0</v>
      </c>
      <c r="O18" s="228">
        <f t="shared" si="0"/>
        <v>0</v>
      </c>
    </row>
    <row r="19" spans="2:15" ht="14.25" x14ac:dyDescent="0.2">
      <c r="B19" s="50"/>
      <c r="C19" s="8"/>
      <c r="D19" s="8"/>
      <c r="E19" s="8"/>
      <c r="F19" s="58">
        <v>613100</v>
      </c>
      <c r="G19" s="69"/>
      <c r="H19" s="9" t="s">
        <v>6</v>
      </c>
      <c r="I19" s="99">
        <v>13000</v>
      </c>
      <c r="J19" s="82">
        <v>0</v>
      </c>
      <c r="K19" s="163">
        <f t="shared" ref="K19:K27" si="6">SUM(I19:J19)</f>
        <v>13000</v>
      </c>
      <c r="L19" s="99"/>
      <c r="M19" s="82"/>
      <c r="N19" s="203">
        <f t="shared" ref="N19:N27" si="7">SUM(L19:M19)</f>
        <v>0</v>
      </c>
      <c r="O19" s="224">
        <f t="shared" si="0"/>
        <v>0</v>
      </c>
    </row>
    <row r="20" spans="2:15" ht="14.25" x14ac:dyDescent="0.2">
      <c r="B20" s="50"/>
      <c r="C20" s="8"/>
      <c r="D20" s="8"/>
      <c r="E20" s="8"/>
      <c r="F20" s="58">
        <v>613200</v>
      </c>
      <c r="G20" s="69"/>
      <c r="H20" s="9" t="s">
        <v>7</v>
      </c>
      <c r="I20" s="99">
        <v>95000</v>
      </c>
      <c r="J20" s="82">
        <v>0</v>
      </c>
      <c r="K20" s="163">
        <f t="shared" si="6"/>
        <v>95000</v>
      </c>
      <c r="L20" s="99"/>
      <c r="M20" s="82"/>
      <c r="N20" s="203">
        <f t="shared" si="7"/>
        <v>0</v>
      </c>
      <c r="O20" s="224">
        <f t="shared" si="0"/>
        <v>0</v>
      </c>
    </row>
    <row r="21" spans="2:15" ht="14.25" x14ac:dyDescent="0.2">
      <c r="B21" s="50"/>
      <c r="C21" s="8"/>
      <c r="D21" s="8"/>
      <c r="E21" s="8"/>
      <c r="F21" s="58">
        <v>613300</v>
      </c>
      <c r="G21" s="69"/>
      <c r="H21" s="9" t="s">
        <v>70</v>
      </c>
      <c r="I21" s="99">
        <v>60000</v>
      </c>
      <c r="J21" s="82">
        <v>0</v>
      </c>
      <c r="K21" s="163">
        <f t="shared" si="6"/>
        <v>60000</v>
      </c>
      <c r="L21" s="99"/>
      <c r="M21" s="82"/>
      <c r="N21" s="203">
        <f t="shared" si="7"/>
        <v>0</v>
      </c>
      <c r="O21" s="224">
        <f t="shared" si="0"/>
        <v>0</v>
      </c>
    </row>
    <row r="22" spans="2:15" ht="14.25" x14ac:dyDescent="0.2">
      <c r="B22" s="50"/>
      <c r="C22" s="8"/>
      <c r="D22" s="8"/>
      <c r="E22" s="8"/>
      <c r="F22" s="58">
        <v>613400</v>
      </c>
      <c r="G22" s="69"/>
      <c r="H22" s="9" t="s">
        <v>59</v>
      </c>
      <c r="I22" s="99">
        <v>105000</v>
      </c>
      <c r="J22" s="82">
        <v>0</v>
      </c>
      <c r="K22" s="163">
        <f t="shared" si="6"/>
        <v>105000</v>
      </c>
      <c r="L22" s="99"/>
      <c r="M22" s="82"/>
      <c r="N22" s="203">
        <f t="shared" si="7"/>
        <v>0</v>
      </c>
      <c r="O22" s="224">
        <f t="shared" si="0"/>
        <v>0</v>
      </c>
    </row>
    <row r="23" spans="2:15" ht="14.25" x14ac:dyDescent="0.2">
      <c r="B23" s="50"/>
      <c r="C23" s="8"/>
      <c r="D23" s="8"/>
      <c r="E23" s="8"/>
      <c r="F23" s="58">
        <v>613500</v>
      </c>
      <c r="G23" s="69"/>
      <c r="H23" s="9" t="s">
        <v>8</v>
      </c>
      <c r="I23" s="99">
        <v>80000</v>
      </c>
      <c r="J23" s="82">
        <v>0</v>
      </c>
      <c r="K23" s="163">
        <f t="shared" si="6"/>
        <v>80000</v>
      </c>
      <c r="L23" s="99"/>
      <c r="M23" s="82"/>
      <c r="N23" s="203">
        <f t="shared" si="7"/>
        <v>0</v>
      </c>
      <c r="O23" s="224">
        <f t="shared" si="0"/>
        <v>0</v>
      </c>
    </row>
    <row r="24" spans="2:15" ht="14.25" x14ac:dyDescent="0.2">
      <c r="B24" s="50"/>
      <c r="C24" s="8"/>
      <c r="D24" s="8"/>
      <c r="E24" s="8"/>
      <c r="F24" s="58">
        <v>613600</v>
      </c>
      <c r="G24" s="69"/>
      <c r="H24" s="9" t="s">
        <v>71</v>
      </c>
      <c r="I24" s="99">
        <v>0</v>
      </c>
      <c r="J24" s="82">
        <v>0</v>
      </c>
      <c r="K24" s="163">
        <f t="shared" si="6"/>
        <v>0</v>
      </c>
      <c r="L24" s="99"/>
      <c r="M24" s="82"/>
      <c r="N24" s="203">
        <f t="shared" si="7"/>
        <v>0</v>
      </c>
      <c r="O24" s="224" t="str">
        <f t="shared" si="0"/>
        <v/>
      </c>
    </row>
    <row r="25" spans="2:15" ht="14.25" x14ac:dyDescent="0.2">
      <c r="B25" s="50"/>
      <c r="C25" s="8"/>
      <c r="D25" s="8"/>
      <c r="E25" s="8"/>
      <c r="F25" s="58">
        <v>613700</v>
      </c>
      <c r="G25" s="69"/>
      <c r="H25" s="9" t="s">
        <v>9</v>
      </c>
      <c r="I25" s="99">
        <v>40000</v>
      </c>
      <c r="J25" s="82">
        <v>0</v>
      </c>
      <c r="K25" s="163">
        <f t="shared" si="6"/>
        <v>40000</v>
      </c>
      <c r="L25" s="99"/>
      <c r="M25" s="82"/>
      <c r="N25" s="203">
        <f t="shared" si="7"/>
        <v>0</v>
      </c>
      <c r="O25" s="224">
        <f t="shared" si="0"/>
        <v>0</v>
      </c>
    </row>
    <row r="26" spans="2:15" ht="14.25" x14ac:dyDescent="0.2">
      <c r="B26" s="50"/>
      <c r="C26" s="8"/>
      <c r="D26" s="8"/>
      <c r="E26" s="8"/>
      <c r="F26" s="58">
        <v>613800</v>
      </c>
      <c r="G26" s="69"/>
      <c r="H26" s="9" t="s">
        <v>60</v>
      </c>
      <c r="I26" s="99">
        <v>16000</v>
      </c>
      <c r="J26" s="82">
        <v>0</v>
      </c>
      <c r="K26" s="163">
        <f t="shared" si="6"/>
        <v>16000</v>
      </c>
      <c r="L26" s="99"/>
      <c r="M26" s="82"/>
      <c r="N26" s="203">
        <f t="shared" si="7"/>
        <v>0</v>
      </c>
      <c r="O26" s="224">
        <f t="shared" si="0"/>
        <v>0</v>
      </c>
    </row>
    <row r="27" spans="2:15" ht="14.25" x14ac:dyDescent="0.2">
      <c r="B27" s="50"/>
      <c r="C27" s="8"/>
      <c r="D27" s="8"/>
      <c r="E27" s="8"/>
      <c r="F27" s="58">
        <v>613900</v>
      </c>
      <c r="G27" s="69"/>
      <c r="H27" s="9" t="s">
        <v>61</v>
      </c>
      <c r="I27" s="99">
        <v>90000</v>
      </c>
      <c r="J27" s="82">
        <v>0</v>
      </c>
      <c r="K27" s="163">
        <f t="shared" si="6"/>
        <v>90000</v>
      </c>
      <c r="L27" s="99"/>
      <c r="M27" s="82"/>
      <c r="N27" s="203">
        <f t="shared" si="7"/>
        <v>0</v>
      </c>
      <c r="O27" s="224">
        <f t="shared" si="0"/>
        <v>0</v>
      </c>
    </row>
    <row r="28" spans="2:15" ht="14.25" x14ac:dyDescent="0.2">
      <c r="B28" s="51"/>
      <c r="C28" s="4"/>
      <c r="D28" s="4"/>
      <c r="E28" s="135"/>
      <c r="F28" s="66"/>
      <c r="G28" s="78"/>
      <c r="H28" s="10"/>
      <c r="I28" s="108"/>
      <c r="J28" s="46"/>
      <c r="K28" s="164"/>
      <c r="L28" s="108"/>
      <c r="M28" s="46"/>
      <c r="N28" s="204"/>
      <c r="O28" s="224" t="str">
        <f t="shared" si="0"/>
        <v/>
      </c>
    </row>
    <row r="29" spans="2:15" ht="15" x14ac:dyDescent="0.25">
      <c r="B29" s="51"/>
      <c r="C29" s="4"/>
      <c r="D29" s="4"/>
      <c r="E29" s="4"/>
      <c r="F29" s="57">
        <v>821000</v>
      </c>
      <c r="G29" s="68"/>
      <c r="H29" s="10" t="s">
        <v>12</v>
      </c>
      <c r="I29" s="110">
        <f t="shared" ref="I29" si="8">SUM(I30:I31)</f>
        <v>24000</v>
      </c>
      <c r="J29" s="52">
        <f t="shared" ref="J29:N29" si="9">SUM(J30:J31)</f>
        <v>0</v>
      </c>
      <c r="K29" s="165">
        <f t="shared" si="9"/>
        <v>24000</v>
      </c>
      <c r="L29" s="110">
        <f t="shared" si="9"/>
        <v>0</v>
      </c>
      <c r="M29" s="52">
        <f t="shared" si="9"/>
        <v>0</v>
      </c>
      <c r="N29" s="205">
        <f t="shared" si="9"/>
        <v>0</v>
      </c>
      <c r="O29" s="228">
        <f t="shared" si="0"/>
        <v>0</v>
      </c>
    </row>
    <row r="30" spans="2:15" ht="14.25" x14ac:dyDescent="0.2">
      <c r="B30" s="50"/>
      <c r="C30" s="8"/>
      <c r="D30" s="8"/>
      <c r="E30" s="8"/>
      <c r="F30" s="58">
        <v>821200</v>
      </c>
      <c r="G30" s="69"/>
      <c r="H30" s="9" t="s">
        <v>13</v>
      </c>
      <c r="I30" s="108">
        <v>0</v>
      </c>
      <c r="J30" s="46">
        <v>0</v>
      </c>
      <c r="K30" s="163">
        <f t="shared" ref="K30:K31" si="10">SUM(I30:J30)</f>
        <v>0</v>
      </c>
      <c r="L30" s="108"/>
      <c r="M30" s="46"/>
      <c r="N30" s="203">
        <f t="shared" ref="N30:N31" si="11">SUM(L30:M30)</f>
        <v>0</v>
      </c>
      <c r="O30" s="224" t="str">
        <f t="shared" si="0"/>
        <v/>
      </c>
    </row>
    <row r="31" spans="2:15" ht="14.25" x14ac:dyDescent="0.2">
      <c r="B31" s="50"/>
      <c r="C31" s="8"/>
      <c r="D31" s="8"/>
      <c r="E31" s="8"/>
      <c r="F31" s="58">
        <v>821300</v>
      </c>
      <c r="G31" s="69"/>
      <c r="H31" s="9" t="s">
        <v>14</v>
      </c>
      <c r="I31" s="108">
        <v>24000</v>
      </c>
      <c r="J31" s="46">
        <v>0</v>
      </c>
      <c r="K31" s="163">
        <f t="shared" si="10"/>
        <v>24000</v>
      </c>
      <c r="L31" s="108"/>
      <c r="M31" s="46"/>
      <c r="N31" s="203">
        <f t="shared" si="11"/>
        <v>0</v>
      </c>
      <c r="O31" s="224">
        <f t="shared" si="0"/>
        <v>0</v>
      </c>
    </row>
    <row r="32" spans="2:15" ht="15" x14ac:dyDescent="0.25">
      <c r="B32" s="50"/>
      <c r="C32" s="8"/>
      <c r="D32" s="8"/>
      <c r="E32" s="8"/>
      <c r="F32" s="58"/>
      <c r="G32" s="69"/>
      <c r="H32" s="9"/>
      <c r="I32" s="110"/>
      <c r="J32" s="52"/>
      <c r="K32" s="165"/>
      <c r="L32" s="110"/>
      <c r="M32" s="52"/>
      <c r="N32" s="205"/>
      <c r="O32" s="224" t="str">
        <f t="shared" si="0"/>
        <v/>
      </c>
    </row>
    <row r="33" spans="2:15" ht="15" x14ac:dyDescent="0.25">
      <c r="B33" s="51"/>
      <c r="C33" s="4"/>
      <c r="D33" s="4"/>
      <c r="E33" s="4"/>
      <c r="F33" s="57"/>
      <c r="G33" s="68"/>
      <c r="H33" s="10" t="s">
        <v>15</v>
      </c>
      <c r="I33" s="110">
        <v>20</v>
      </c>
      <c r="J33" s="52"/>
      <c r="K33" s="165">
        <v>20</v>
      </c>
      <c r="L33" s="110"/>
      <c r="M33" s="52"/>
      <c r="N33" s="205"/>
      <c r="O33" s="224"/>
    </row>
    <row r="34" spans="2:15" ht="15" x14ac:dyDescent="0.25">
      <c r="B34" s="51"/>
      <c r="C34" s="4"/>
      <c r="D34" s="4"/>
      <c r="E34" s="4"/>
      <c r="F34" s="57"/>
      <c r="G34" s="68"/>
      <c r="H34" s="4" t="s">
        <v>24</v>
      </c>
      <c r="I34" s="110">
        <f t="shared" ref="I34:N34" si="12">I11+I15+I18+I29</f>
        <v>1208020</v>
      </c>
      <c r="J34" s="52">
        <f t="shared" si="12"/>
        <v>0</v>
      </c>
      <c r="K34" s="165">
        <f t="shared" si="12"/>
        <v>1208020</v>
      </c>
      <c r="L34" s="110">
        <f t="shared" si="12"/>
        <v>0</v>
      </c>
      <c r="M34" s="52">
        <f t="shared" si="12"/>
        <v>0</v>
      </c>
      <c r="N34" s="205">
        <f t="shared" si="12"/>
        <v>0</v>
      </c>
      <c r="O34" s="228">
        <f t="shared" si="0"/>
        <v>0</v>
      </c>
    </row>
    <row r="35" spans="2:15" ht="15" x14ac:dyDescent="0.25">
      <c r="B35" s="51"/>
      <c r="C35" s="4"/>
      <c r="D35" s="4"/>
      <c r="E35" s="4"/>
      <c r="F35" s="57"/>
      <c r="G35" s="68"/>
      <c r="H35" s="4" t="s">
        <v>16</v>
      </c>
      <c r="I35" s="110">
        <f t="shared" ref="I35:N36" si="13">I34</f>
        <v>1208020</v>
      </c>
      <c r="J35" s="52">
        <f t="shared" si="13"/>
        <v>0</v>
      </c>
      <c r="K35" s="165">
        <f t="shared" si="13"/>
        <v>1208020</v>
      </c>
      <c r="L35" s="110">
        <f t="shared" si="13"/>
        <v>0</v>
      </c>
      <c r="M35" s="52">
        <f t="shared" si="13"/>
        <v>0</v>
      </c>
      <c r="N35" s="205">
        <f t="shared" si="13"/>
        <v>0</v>
      </c>
      <c r="O35" s="228">
        <f t="shared" si="0"/>
        <v>0</v>
      </c>
    </row>
    <row r="36" spans="2:15" ht="15" x14ac:dyDescent="0.25">
      <c r="B36" s="51"/>
      <c r="C36" s="4"/>
      <c r="D36" s="4"/>
      <c r="E36" s="4"/>
      <c r="F36" s="57"/>
      <c r="G36" s="68"/>
      <c r="H36" s="4" t="s">
        <v>17</v>
      </c>
      <c r="I36" s="110">
        <f t="shared" si="13"/>
        <v>1208020</v>
      </c>
      <c r="J36" s="52">
        <f t="shared" si="13"/>
        <v>0</v>
      </c>
      <c r="K36" s="165">
        <f t="shared" si="13"/>
        <v>1208020</v>
      </c>
      <c r="L36" s="110">
        <f t="shared" si="13"/>
        <v>0</v>
      </c>
      <c r="M36" s="52">
        <f t="shared" si="13"/>
        <v>0</v>
      </c>
      <c r="N36" s="205">
        <f t="shared" si="13"/>
        <v>0</v>
      </c>
      <c r="O36" s="228">
        <f t="shared" si="0"/>
        <v>0</v>
      </c>
    </row>
    <row r="37" spans="2:15" ht="15" thickBot="1" x14ac:dyDescent="0.25">
      <c r="B37" s="6"/>
      <c r="C37" s="7"/>
      <c r="D37" s="7"/>
      <c r="E37" s="7"/>
      <c r="F37" s="59"/>
      <c r="G37" s="70"/>
      <c r="H37" s="7"/>
      <c r="I37" s="6"/>
      <c r="J37" s="7"/>
      <c r="K37" s="169"/>
      <c r="L37" s="184"/>
      <c r="M37" s="7"/>
      <c r="N37" s="215"/>
      <c r="O37" s="227"/>
    </row>
    <row r="38" spans="2:15" ht="14.25" x14ac:dyDescent="0.2">
      <c r="F38" s="60"/>
      <c r="G38" s="71"/>
      <c r="I38" s="126"/>
      <c r="K38" s="91"/>
      <c r="L38" s="126"/>
      <c r="N38" s="91"/>
      <c r="O38" s="233" t="str">
        <f t="shared" si="0"/>
        <v/>
      </c>
    </row>
  </sheetData>
  <mergeCells count="14">
    <mergeCell ref="H7:H8"/>
    <mergeCell ref="I7:K7"/>
    <mergeCell ref="L7:N7"/>
    <mergeCell ref="O7:O8"/>
    <mergeCell ref="B1:N1"/>
    <mergeCell ref="F3:K3"/>
    <mergeCell ref="D5:E5"/>
    <mergeCell ref="H6:I6"/>
    <mergeCell ref="B7:B8"/>
    <mergeCell ref="C7:C8"/>
    <mergeCell ref="D7:D8"/>
    <mergeCell ref="E7:E8"/>
    <mergeCell ref="F7:F8"/>
    <mergeCell ref="G7:G8"/>
  </mergeCells>
  <pageMargins left="0.39370078740157483" right="0.39370078740157483" top="0.39370078740157483" bottom="0.3937007874015748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6"/>
  <dimension ref="B1:O39"/>
  <sheetViews>
    <sheetView topLeftCell="B1" zoomScaleNormal="100" workbookViewId="0">
      <selection activeCell="L9" sqref="L9:O9"/>
    </sheetView>
  </sheetViews>
  <sheetFormatPr defaultColWidth="9.140625" defaultRowHeight="12.75" x14ac:dyDescent="0.2"/>
  <cols>
    <col min="1" max="1" width="6.140625" style="17" customWidth="1"/>
    <col min="2" max="2" width="4.7109375" style="17" customWidth="1"/>
    <col min="3" max="3" width="5.140625" style="17" customWidth="1"/>
    <col min="4" max="5" width="5" style="17" customWidth="1"/>
    <col min="6" max="7" width="8.7109375" style="53" customWidth="1"/>
    <col min="8" max="8" width="50.7109375" style="17" customWidth="1"/>
    <col min="9" max="9" width="11.7109375" style="17" customWidth="1"/>
    <col min="10" max="10" width="11.85546875" style="17" customWidth="1"/>
    <col min="11" max="11" width="13.5703125" style="17" customWidth="1"/>
    <col min="12" max="13" width="14.7109375" style="17" customWidth="1"/>
    <col min="14" max="14" width="15.7109375" style="17" customWidth="1"/>
    <col min="15" max="15" width="9.140625" style="17"/>
    <col min="16" max="16" width="9.5703125" style="17" bestFit="1" customWidth="1"/>
    <col min="17" max="16384" width="9.140625" style="17"/>
  </cols>
  <sheetData>
    <row r="1" spans="2:15" ht="15.75" x14ac:dyDescent="0.25">
      <c r="B1" s="428" t="s">
        <v>374</v>
      </c>
      <c r="C1" s="429"/>
      <c r="D1" s="429"/>
      <c r="E1" s="429"/>
      <c r="F1" s="429"/>
      <c r="G1" s="429"/>
      <c r="H1" s="429"/>
      <c r="I1" s="430"/>
      <c r="J1" s="430"/>
      <c r="K1" s="430"/>
      <c r="L1" s="430"/>
      <c r="M1" s="430"/>
      <c r="N1" s="430"/>
    </row>
    <row r="2" spans="2:15" x14ac:dyDescent="0.2">
      <c r="M2" s="126" t="s">
        <v>232</v>
      </c>
      <c r="N2" s="196"/>
    </row>
    <row r="3" spans="2:15" ht="15.75" x14ac:dyDescent="0.25">
      <c r="B3" s="180" t="s">
        <v>173</v>
      </c>
      <c r="F3" s="431" t="s">
        <v>203</v>
      </c>
      <c r="G3" s="432"/>
      <c r="H3" s="432"/>
      <c r="I3" s="432"/>
      <c r="J3" s="432"/>
      <c r="K3" s="432"/>
    </row>
    <row r="4" spans="2:15" x14ac:dyDescent="0.2">
      <c r="B4" s="180"/>
      <c r="G4"/>
      <c r="H4"/>
      <c r="I4"/>
      <c r="J4"/>
      <c r="K4"/>
    </row>
    <row r="5" spans="2:15" ht="15.75" x14ac:dyDescent="0.25">
      <c r="B5" s="180" t="s">
        <v>172</v>
      </c>
      <c r="D5" s="433">
        <v>13</v>
      </c>
      <c r="E5" s="434"/>
      <c r="F5" s="181"/>
      <c r="G5" s="181"/>
      <c r="I5" s="180"/>
      <c r="L5" s="411"/>
    </row>
    <row r="6" spans="2:15" s="22" customFormat="1" ht="16.5" thickBot="1" x14ac:dyDescent="0.3">
      <c r="F6" s="48"/>
      <c r="G6" s="48"/>
      <c r="H6" s="435"/>
      <c r="I6" s="435"/>
      <c r="J6" s="26"/>
      <c r="K6" s="26"/>
      <c r="L6" s="26"/>
      <c r="M6" s="26"/>
      <c r="N6" s="26"/>
    </row>
    <row r="7" spans="2:15" s="22" customFormat="1" ht="31.5" customHeight="1" x14ac:dyDescent="0.2">
      <c r="B7" s="436" t="s">
        <v>0</v>
      </c>
      <c r="C7" s="438" t="s">
        <v>1</v>
      </c>
      <c r="D7" s="438" t="s">
        <v>21</v>
      </c>
      <c r="E7" s="438" t="s">
        <v>135</v>
      </c>
      <c r="F7" s="421" t="s">
        <v>85</v>
      </c>
      <c r="G7" s="440" t="s">
        <v>88</v>
      </c>
      <c r="H7" s="421" t="s">
        <v>2</v>
      </c>
      <c r="I7" s="423" t="s">
        <v>375</v>
      </c>
      <c r="J7" s="424"/>
      <c r="K7" s="425"/>
      <c r="L7" s="423" t="s">
        <v>373</v>
      </c>
      <c r="M7" s="424"/>
      <c r="N7" s="424"/>
      <c r="O7" s="426" t="s">
        <v>258</v>
      </c>
    </row>
    <row r="8" spans="2:15" s="22" customFormat="1" ht="25.5" x14ac:dyDescent="0.2">
      <c r="B8" s="437"/>
      <c r="C8" s="439"/>
      <c r="D8" s="439"/>
      <c r="E8" s="439"/>
      <c r="F8" s="422"/>
      <c r="G8" s="439"/>
      <c r="H8" s="422"/>
      <c r="I8" s="105" t="s">
        <v>117</v>
      </c>
      <c r="J8" s="85" t="s">
        <v>118</v>
      </c>
      <c r="K8" s="159" t="s">
        <v>81</v>
      </c>
      <c r="L8" s="105" t="s">
        <v>117</v>
      </c>
      <c r="M8" s="85" t="s">
        <v>118</v>
      </c>
      <c r="N8" s="200" t="s">
        <v>81</v>
      </c>
      <c r="O8" s="427"/>
    </row>
    <row r="9" spans="2:15" s="48" customFormat="1" x14ac:dyDescent="0.2">
      <c r="B9" s="97">
        <v>1</v>
      </c>
      <c r="C9" s="68">
        <v>2</v>
      </c>
      <c r="D9" s="68">
        <v>3</v>
      </c>
      <c r="E9" s="68">
        <v>4</v>
      </c>
      <c r="F9" s="68">
        <v>5</v>
      </c>
      <c r="G9" s="68">
        <v>6</v>
      </c>
      <c r="H9" s="68">
        <v>7</v>
      </c>
      <c r="I9" s="97">
        <v>8</v>
      </c>
      <c r="J9" s="68">
        <v>9</v>
      </c>
      <c r="K9" s="160" t="s">
        <v>171</v>
      </c>
      <c r="L9" s="97">
        <v>11</v>
      </c>
      <c r="M9" s="68">
        <v>12</v>
      </c>
      <c r="N9" s="68" t="s">
        <v>394</v>
      </c>
      <c r="O9" s="232" t="s">
        <v>395</v>
      </c>
    </row>
    <row r="10" spans="2:15" ht="15" x14ac:dyDescent="0.25">
      <c r="B10" s="2" t="s">
        <v>35</v>
      </c>
      <c r="C10" s="3" t="s">
        <v>3</v>
      </c>
      <c r="D10" s="3" t="s">
        <v>4</v>
      </c>
      <c r="E10" s="136" t="s">
        <v>138</v>
      </c>
      <c r="F10" s="49"/>
      <c r="G10" s="49"/>
      <c r="H10" s="182" t="s">
        <v>176</v>
      </c>
      <c r="I10" s="1"/>
      <c r="J10" s="49"/>
      <c r="K10" s="161"/>
      <c r="L10" s="1"/>
      <c r="M10" s="49"/>
      <c r="N10" s="201"/>
      <c r="O10" s="224" t="str">
        <f t="shared" ref="O10:O26" si="0">IF(K10=0,"",N10/K10*100)</f>
        <v/>
      </c>
    </row>
    <row r="11" spans="2:15" ht="15" x14ac:dyDescent="0.25">
      <c r="B11" s="51"/>
      <c r="C11" s="4"/>
      <c r="D11" s="4"/>
      <c r="E11" s="4"/>
      <c r="F11" s="57">
        <v>611000</v>
      </c>
      <c r="G11" s="68"/>
      <c r="H11" s="10" t="s">
        <v>57</v>
      </c>
      <c r="I11" s="106">
        <f>I12+I13</f>
        <v>9146370</v>
      </c>
      <c r="J11" s="32">
        <f t="shared" ref="J11:N11" si="1">SUM(J12:J14)</f>
        <v>0</v>
      </c>
      <c r="K11" s="162">
        <f t="shared" si="1"/>
        <v>9146370</v>
      </c>
      <c r="L11" s="106">
        <f t="shared" si="1"/>
        <v>0</v>
      </c>
      <c r="M11" s="32">
        <f t="shared" si="1"/>
        <v>0</v>
      </c>
      <c r="N11" s="202">
        <f t="shared" si="1"/>
        <v>0</v>
      </c>
      <c r="O11" s="228">
        <f t="shared" si="0"/>
        <v>0</v>
      </c>
    </row>
    <row r="12" spans="2:15" ht="14.25" x14ac:dyDescent="0.2">
      <c r="B12" s="50"/>
      <c r="C12" s="8"/>
      <c r="D12" s="8"/>
      <c r="E12" s="8"/>
      <c r="F12" s="58">
        <v>611100</v>
      </c>
      <c r="G12" s="69"/>
      <c r="H12" s="9" t="s">
        <v>68</v>
      </c>
      <c r="I12" s="107">
        <f>7249000+10*730+1280+14*1820+31010+11890+413150</f>
        <v>7739110</v>
      </c>
      <c r="J12" s="31">
        <v>0</v>
      </c>
      <c r="K12" s="163">
        <f>SUM(I12:J12)</f>
        <v>7739110</v>
      </c>
      <c r="L12" s="107"/>
      <c r="M12" s="31"/>
      <c r="N12" s="203">
        <f>SUM(L12:M12)</f>
        <v>0</v>
      </c>
      <c r="O12" s="224">
        <f t="shared" si="0"/>
        <v>0</v>
      </c>
    </row>
    <row r="13" spans="2:15" ht="14.25" x14ac:dyDescent="0.2">
      <c r="B13" s="50"/>
      <c r="C13" s="8"/>
      <c r="D13" s="8"/>
      <c r="E13" s="8"/>
      <c r="F13" s="58">
        <v>611200</v>
      </c>
      <c r="G13" s="69"/>
      <c r="H13" s="9" t="s">
        <v>69</v>
      </c>
      <c r="I13" s="107">
        <f>1195400+10*1620+2840+14*4050+136120</f>
        <v>1407260</v>
      </c>
      <c r="J13" s="31">
        <v>0</v>
      </c>
      <c r="K13" s="163">
        <f t="shared" ref="K13" si="2">SUM(I13:J13)</f>
        <v>1407260</v>
      </c>
      <c r="L13" s="107"/>
      <c r="M13" s="31"/>
      <c r="N13" s="203">
        <f t="shared" ref="N13" si="3">SUM(L13:M13)</f>
        <v>0</v>
      </c>
      <c r="O13" s="224">
        <f t="shared" si="0"/>
        <v>0</v>
      </c>
    </row>
    <row r="14" spans="2:15" ht="14.25" x14ac:dyDescent="0.2">
      <c r="B14" s="50"/>
      <c r="C14" s="8"/>
      <c r="D14" s="8"/>
      <c r="E14" s="8"/>
      <c r="F14" s="58"/>
      <c r="G14" s="69"/>
      <c r="H14" s="9"/>
      <c r="I14" s="107"/>
      <c r="J14" s="31"/>
      <c r="K14" s="163"/>
      <c r="L14" s="107"/>
      <c r="M14" s="31"/>
      <c r="N14" s="203"/>
      <c r="O14" s="224" t="str">
        <f t="shared" si="0"/>
        <v/>
      </c>
    </row>
    <row r="15" spans="2:15" ht="15" x14ac:dyDescent="0.25">
      <c r="B15" s="51"/>
      <c r="C15" s="4"/>
      <c r="D15" s="4"/>
      <c r="E15" s="4"/>
      <c r="F15" s="57">
        <v>612000</v>
      </c>
      <c r="G15" s="68"/>
      <c r="H15" s="10" t="s">
        <v>56</v>
      </c>
      <c r="I15" s="106">
        <f>I16+I17+I18</f>
        <v>757160</v>
      </c>
      <c r="J15" s="32">
        <f t="shared" ref="J15:N15" si="4">J16+J17</f>
        <v>0</v>
      </c>
      <c r="K15" s="162">
        <f t="shared" si="4"/>
        <v>757160</v>
      </c>
      <c r="L15" s="106">
        <f t="shared" si="4"/>
        <v>0</v>
      </c>
      <c r="M15" s="32">
        <f t="shared" si="4"/>
        <v>0</v>
      </c>
      <c r="N15" s="202">
        <f t="shared" si="4"/>
        <v>0</v>
      </c>
      <c r="O15" s="228">
        <f t="shared" si="0"/>
        <v>0</v>
      </c>
    </row>
    <row r="16" spans="2:15" ht="14.25" x14ac:dyDescent="0.2">
      <c r="B16" s="50"/>
      <c r="C16" s="8"/>
      <c r="D16" s="8"/>
      <c r="E16" s="8"/>
      <c r="F16" s="58">
        <v>612100</v>
      </c>
      <c r="G16" s="69"/>
      <c r="H16" s="145" t="s">
        <v>5</v>
      </c>
      <c r="I16" s="107">
        <v>753660</v>
      </c>
      <c r="J16" s="31">
        <v>0</v>
      </c>
      <c r="K16" s="163">
        <f>SUM(I16:J16)</f>
        <v>753660</v>
      </c>
      <c r="L16" s="107"/>
      <c r="M16" s="31"/>
      <c r="N16" s="203">
        <f>SUM(L16:M16)</f>
        <v>0</v>
      </c>
      <c r="O16" s="224">
        <f t="shared" si="0"/>
        <v>0</v>
      </c>
    </row>
    <row r="17" spans="2:15" ht="14.25" x14ac:dyDescent="0.2">
      <c r="B17" s="50"/>
      <c r="C17" s="8"/>
      <c r="D17" s="8"/>
      <c r="E17" s="8"/>
      <c r="F17" s="58">
        <v>612100</v>
      </c>
      <c r="G17" s="69" t="s">
        <v>343</v>
      </c>
      <c r="H17" s="145" t="s">
        <v>342</v>
      </c>
      <c r="I17" s="107">
        <v>3500</v>
      </c>
      <c r="J17" s="31">
        <v>0</v>
      </c>
      <c r="K17" s="163">
        <f>SUM(I17:J17)</f>
        <v>3500</v>
      </c>
      <c r="L17" s="107"/>
      <c r="M17" s="31"/>
      <c r="N17" s="203">
        <f>SUM(L17:M17)</f>
        <v>0</v>
      </c>
      <c r="O17" s="224">
        <f t="shared" si="0"/>
        <v>0</v>
      </c>
    </row>
    <row r="18" spans="2:15" ht="14.25" x14ac:dyDescent="0.2">
      <c r="B18" s="50"/>
      <c r="C18" s="8"/>
      <c r="D18" s="8"/>
      <c r="E18" s="8"/>
      <c r="F18" s="58"/>
      <c r="G18" s="69"/>
      <c r="H18" s="9"/>
      <c r="I18" s="108"/>
      <c r="J18" s="46"/>
      <c r="K18" s="164"/>
      <c r="L18" s="108"/>
      <c r="M18" s="46"/>
      <c r="N18" s="204"/>
      <c r="O18" s="224" t="str">
        <f t="shared" si="0"/>
        <v/>
      </c>
    </row>
    <row r="19" spans="2:15" ht="15" x14ac:dyDescent="0.25">
      <c r="B19" s="51"/>
      <c r="C19" s="4"/>
      <c r="D19" s="4"/>
      <c r="E19" s="4"/>
      <c r="F19" s="57">
        <v>613000</v>
      </c>
      <c r="G19" s="68"/>
      <c r="H19" s="10" t="s">
        <v>58</v>
      </c>
      <c r="I19" s="110">
        <f>SUM(I20:I28)</f>
        <v>1216500</v>
      </c>
      <c r="J19" s="52">
        <f t="shared" ref="J19:N19" si="5">SUM(J20:J28)</f>
        <v>0</v>
      </c>
      <c r="K19" s="165">
        <f t="shared" si="5"/>
        <v>1216500</v>
      </c>
      <c r="L19" s="110">
        <f t="shared" si="5"/>
        <v>0</v>
      </c>
      <c r="M19" s="52">
        <f t="shared" si="5"/>
        <v>0</v>
      </c>
      <c r="N19" s="205">
        <f t="shared" si="5"/>
        <v>0</v>
      </c>
      <c r="O19" s="228">
        <f t="shared" si="0"/>
        <v>0</v>
      </c>
    </row>
    <row r="20" spans="2:15" ht="14.25" x14ac:dyDescent="0.2">
      <c r="B20" s="50"/>
      <c r="C20" s="8"/>
      <c r="D20" s="8"/>
      <c r="E20" s="8"/>
      <c r="F20" s="58">
        <v>613100</v>
      </c>
      <c r="G20" s="69"/>
      <c r="H20" s="9" t="s">
        <v>6</v>
      </c>
      <c r="I20" s="99">
        <v>17000</v>
      </c>
      <c r="J20" s="82">
        <v>0</v>
      </c>
      <c r="K20" s="163">
        <f t="shared" ref="K20:K28" si="6">SUM(I20:J20)</f>
        <v>17000</v>
      </c>
      <c r="L20" s="99"/>
      <c r="M20" s="82"/>
      <c r="N20" s="203">
        <f t="shared" ref="N20:N28" si="7">SUM(L20:M20)</f>
        <v>0</v>
      </c>
      <c r="O20" s="224">
        <f t="shared" si="0"/>
        <v>0</v>
      </c>
    </row>
    <row r="21" spans="2:15" ht="14.25" x14ac:dyDescent="0.2">
      <c r="B21" s="50"/>
      <c r="C21" s="8"/>
      <c r="D21" s="8"/>
      <c r="E21" s="8"/>
      <c r="F21" s="58">
        <v>613200</v>
      </c>
      <c r="G21" s="69"/>
      <c r="H21" s="9" t="s">
        <v>7</v>
      </c>
      <c r="I21" s="99">
        <v>95000</v>
      </c>
      <c r="J21" s="82">
        <v>0</v>
      </c>
      <c r="K21" s="163">
        <f t="shared" si="6"/>
        <v>95000</v>
      </c>
      <c r="L21" s="99"/>
      <c r="M21" s="82"/>
      <c r="N21" s="203">
        <f t="shared" si="7"/>
        <v>0</v>
      </c>
      <c r="O21" s="224">
        <f t="shared" si="0"/>
        <v>0</v>
      </c>
    </row>
    <row r="22" spans="2:15" ht="14.25" x14ac:dyDescent="0.2">
      <c r="B22" s="50"/>
      <c r="C22" s="8"/>
      <c r="D22" s="8"/>
      <c r="E22" s="8"/>
      <c r="F22" s="58">
        <v>613300</v>
      </c>
      <c r="G22" s="69"/>
      <c r="H22" s="9" t="s">
        <v>70</v>
      </c>
      <c r="I22" s="99">
        <v>82000</v>
      </c>
      <c r="J22" s="82">
        <v>0</v>
      </c>
      <c r="K22" s="163">
        <f t="shared" si="6"/>
        <v>82000</v>
      </c>
      <c r="L22" s="99"/>
      <c r="M22" s="82"/>
      <c r="N22" s="203">
        <f t="shared" si="7"/>
        <v>0</v>
      </c>
      <c r="O22" s="224">
        <f t="shared" si="0"/>
        <v>0</v>
      </c>
    </row>
    <row r="23" spans="2:15" ht="14.25" x14ac:dyDescent="0.2">
      <c r="B23" s="50"/>
      <c r="C23" s="8"/>
      <c r="D23" s="8"/>
      <c r="E23" s="8"/>
      <c r="F23" s="58">
        <v>613400</v>
      </c>
      <c r="G23" s="69"/>
      <c r="H23" s="9" t="s">
        <v>59</v>
      </c>
      <c r="I23" s="99">
        <v>448000</v>
      </c>
      <c r="J23" s="82">
        <v>0</v>
      </c>
      <c r="K23" s="163">
        <f t="shared" si="6"/>
        <v>448000</v>
      </c>
      <c r="L23" s="99"/>
      <c r="M23" s="82"/>
      <c r="N23" s="203">
        <f t="shared" si="7"/>
        <v>0</v>
      </c>
      <c r="O23" s="224">
        <f t="shared" si="0"/>
        <v>0</v>
      </c>
    </row>
    <row r="24" spans="2:15" ht="14.25" x14ac:dyDescent="0.2">
      <c r="B24" s="50"/>
      <c r="C24" s="8"/>
      <c r="D24" s="8"/>
      <c r="E24" s="8"/>
      <c r="F24" s="58">
        <v>613500</v>
      </c>
      <c r="G24" s="69"/>
      <c r="H24" s="9" t="s">
        <v>8</v>
      </c>
      <c r="I24" s="99">
        <v>132000</v>
      </c>
      <c r="J24" s="82">
        <v>0</v>
      </c>
      <c r="K24" s="163">
        <f t="shared" si="6"/>
        <v>132000</v>
      </c>
      <c r="L24" s="99"/>
      <c r="M24" s="82"/>
      <c r="N24" s="203">
        <f t="shared" si="7"/>
        <v>0</v>
      </c>
      <c r="O24" s="224">
        <f t="shared" si="0"/>
        <v>0</v>
      </c>
    </row>
    <row r="25" spans="2:15" ht="14.25" x14ac:dyDescent="0.2">
      <c r="B25" s="50"/>
      <c r="C25" s="8"/>
      <c r="D25" s="8"/>
      <c r="E25" s="8"/>
      <c r="F25" s="58">
        <v>613600</v>
      </c>
      <c r="G25" s="69"/>
      <c r="H25" s="9" t="s">
        <v>71</v>
      </c>
      <c r="I25" s="99">
        <v>0</v>
      </c>
      <c r="J25" s="82">
        <v>0</v>
      </c>
      <c r="K25" s="163">
        <f t="shared" si="6"/>
        <v>0</v>
      </c>
      <c r="L25" s="99"/>
      <c r="M25" s="82"/>
      <c r="N25" s="203">
        <f t="shared" si="7"/>
        <v>0</v>
      </c>
      <c r="O25" s="224" t="str">
        <f t="shared" si="0"/>
        <v/>
      </c>
    </row>
    <row r="26" spans="2:15" ht="14.25" x14ac:dyDescent="0.2">
      <c r="B26" s="50"/>
      <c r="C26" s="8"/>
      <c r="D26" s="8"/>
      <c r="E26" s="8"/>
      <c r="F26" s="58">
        <v>613700</v>
      </c>
      <c r="G26" s="69"/>
      <c r="H26" s="9" t="s">
        <v>9</v>
      </c>
      <c r="I26" s="99">
        <v>130000</v>
      </c>
      <c r="J26" s="82">
        <v>0</v>
      </c>
      <c r="K26" s="163">
        <f t="shared" si="6"/>
        <v>130000</v>
      </c>
      <c r="L26" s="99"/>
      <c r="M26" s="82"/>
      <c r="N26" s="203">
        <f t="shared" si="7"/>
        <v>0</v>
      </c>
      <c r="O26" s="224">
        <f t="shared" si="0"/>
        <v>0</v>
      </c>
    </row>
    <row r="27" spans="2:15" ht="14.25" x14ac:dyDescent="0.2">
      <c r="B27" s="50"/>
      <c r="C27" s="8"/>
      <c r="D27" s="8"/>
      <c r="E27" s="8"/>
      <c r="F27" s="58">
        <v>613800</v>
      </c>
      <c r="G27" s="69"/>
      <c r="H27" s="9" t="s">
        <v>60</v>
      </c>
      <c r="I27" s="99">
        <v>39000</v>
      </c>
      <c r="J27" s="82">
        <v>0</v>
      </c>
      <c r="K27" s="163">
        <f t="shared" si="6"/>
        <v>39000</v>
      </c>
      <c r="L27" s="99"/>
      <c r="M27" s="82"/>
      <c r="N27" s="203">
        <f t="shared" si="7"/>
        <v>0</v>
      </c>
      <c r="O27" s="224">
        <f t="shared" ref="O27:O39" si="8">IF(K27=0,"",N27/K27*100)</f>
        <v>0</v>
      </c>
    </row>
    <row r="28" spans="2:15" ht="14.25" x14ac:dyDescent="0.2">
      <c r="B28" s="50"/>
      <c r="C28" s="8"/>
      <c r="D28" s="8"/>
      <c r="E28" s="8"/>
      <c r="F28" s="58">
        <v>613900</v>
      </c>
      <c r="G28" s="69"/>
      <c r="H28" s="9" t="s">
        <v>61</v>
      </c>
      <c r="I28" s="99">
        <v>273500</v>
      </c>
      <c r="J28" s="82">
        <v>0</v>
      </c>
      <c r="K28" s="163">
        <f t="shared" si="6"/>
        <v>273500</v>
      </c>
      <c r="L28" s="99"/>
      <c r="M28" s="82"/>
      <c r="N28" s="203">
        <f t="shared" si="7"/>
        <v>0</v>
      </c>
      <c r="O28" s="224">
        <f t="shared" si="8"/>
        <v>0</v>
      </c>
    </row>
    <row r="29" spans="2:15" ht="14.25" x14ac:dyDescent="0.2">
      <c r="B29" s="51"/>
      <c r="C29" s="4"/>
      <c r="D29" s="4"/>
      <c r="E29" s="135"/>
      <c r="F29" s="66"/>
      <c r="G29" s="78"/>
      <c r="H29" s="10"/>
      <c r="I29" s="108"/>
      <c r="J29" s="46"/>
      <c r="K29" s="164"/>
      <c r="L29" s="108"/>
      <c r="M29" s="46"/>
      <c r="N29" s="204"/>
      <c r="O29" s="224" t="str">
        <f t="shared" si="8"/>
        <v/>
      </c>
    </row>
    <row r="30" spans="2:15" ht="15" x14ac:dyDescent="0.25">
      <c r="B30" s="51"/>
      <c r="C30" s="4"/>
      <c r="D30" s="4"/>
      <c r="E30" s="4"/>
      <c r="F30" s="57">
        <v>821000</v>
      </c>
      <c r="G30" s="68"/>
      <c r="H30" s="10" t="s">
        <v>12</v>
      </c>
      <c r="I30" s="110">
        <f t="shared" ref="I30" si="9">SUM(I31:I32)</f>
        <v>530000</v>
      </c>
      <c r="J30" s="52">
        <f t="shared" ref="J30:N30" si="10">SUM(J31:J32)</f>
        <v>0</v>
      </c>
      <c r="K30" s="165">
        <f t="shared" si="10"/>
        <v>530000</v>
      </c>
      <c r="L30" s="110">
        <f t="shared" si="10"/>
        <v>0</v>
      </c>
      <c r="M30" s="52">
        <f t="shared" si="10"/>
        <v>0</v>
      </c>
      <c r="N30" s="205">
        <f t="shared" si="10"/>
        <v>0</v>
      </c>
      <c r="O30" s="228">
        <f t="shared" si="8"/>
        <v>0</v>
      </c>
    </row>
    <row r="31" spans="2:15" ht="14.25" x14ac:dyDescent="0.2">
      <c r="B31" s="50"/>
      <c r="C31" s="8"/>
      <c r="D31" s="8"/>
      <c r="E31" s="8"/>
      <c r="F31" s="58">
        <v>821200</v>
      </c>
      <c r="G31" s="69"/>
      <c r="H31" s="9" t="s">
        <v>13</v>
      </c>
      <c r="I31" s="108">
        <v>30000</v>
      </c>
      <c r="J31" s="46">
        <v>0</v>
      </c>
      <c r="K31" s="163">
        <f t="shared" ref="K31:K32" si="11">SUM(I31:J31)</f>
        <v>30000</v>
      </c>
      <c r="L31" s="108"/>
      <c r="M31" s="46"/>
      <c r="N31" s="203">
        <f t="shared" ref="N31:N32" si="12">SUM(L31:M31)</f>
        <v>0</v>
      </c>
      <c r="O31" s="224">
        <f t="shared" si="8"/>
        <v>0</v>
      </c>
    </row>
    <row r="32" spans="2:15" ht="14.25" x14ac:dyDescent="0.2">
      <c r="B32" s="50"/>
      <c r="C32" s="8"/>
      <c r="D32" s="8"/>
      <c r="E32" s="8"/>
      <c r="F32" s="58">
        <v>821300</v>
      </c>
      <c r="G32" s="69"/>
      <c r="H32" s="9" t="s">
        <v>14</v>
      </c>
      <c r="I32" s="108">
        <v>500000</v>
      </c>
      <c r="J32" s="46">
        <v>0</v>
      </c>
      <c r="K32" s="163">
        <f t="shared" si="11"/>
        <v>500000</v>
      </c>
      <c r="L32" s="108"/>
      <c r="M32" s="46"/>
      <c r="N32" s="203">
        <f t="shared" si="12"/>
        <v>0</v>
      </c>
      <c r="O32" s="224">
        <f t="shared" si="8"/>
        <v>0</v>
      </c>
    </row>
    <row r="33" spans="2:15" ht="15" x14ac:dyDescent="0.25">
      <c r="B33" s="50"/>
      <c r="C33" s="8"/>
      <c r="D33" s="8"/>
      <c r="E33" s="8"/>
      <c r="F33" s="58"/>
      <c r="G33" s="69"/>
      <c r="H33" s="9"/>
      <c r="I33" s="110"/>
      <c r="J33" s="52"/>
      <c r="K33" s="165"/>
      <c r="L33" s="110"/>
      <c r="M33" s="52"/>
      <c r="N33" s="205"/>
      <c r="O33" s="224" t="str">
        <f t="shared" si="8"/>
        <v/>
      </c>
    </row>
    <row r="34" spans="2:15" ht="15" x14ac:dyDescent="0.25">
      <c r="B34" s="51"/>
      <c r="C34" s="4"/>
      <c r="D34" s="4"/>
      <c r="E34" s="4"/>
      <c r="F34" s="57"/>
      <c r="G34" s="68"/>
      <c r="H34" s="10" t="s">
        <v>15</v>
      </c>
      <c r="I34" s="111" t="s">
        <v>376</v>
      </c>
      <c r="J34" s="47"/>
      <c r="K34" s="166" t="s">
        <v>376</v>
      </c>
      <c r="L34" s="111"/>
      <c r="M34" s="47"/>
      <c r="N34" s="206"/>
      <c r="O34" s="224"/>
    </row>
    <row r="35" spans="2:15" ht="15" x14ac:dyDescent="0.25">
      <c r="B35" s="51"/>
      <c r="C35" s="4"/>
      <c r="D35" s="4"/>
      <c r="E35" s="4"/>
      <c r="F35" s="57"/>
      <c r="G35" s="68"/>
      <c r="H35" s="4" t="s">
        <v>24</v>
      </c>
      <c r="I35" s="110">
        <f t="shared" ref="I35:N35" si="13">I11+I15+I19+I30</f>
        <v>11650030</v>
      </c>
      <c r="J35" s="52">
        <f t="shared" si="13"/>
        <v>0</v>
      </c>
      <c r="K35" s="165">
        <f t="shared" si="13"/>
        <v>11650030</v>
      </c>
      <c r="L35" s="110">
        <f t="shared" si="13"/>
        <v>0</v>
      </c>
      <c r="M35" s="52">
        <f t="shared" si="13"/>
        <v>0</v>
      </c>
      <c r="N35" s="205">
        <f t="shared" si="13"/>
        <v>0</v>
      </c>
      <c r="O35" s="228">
        <f t="shared" si="8"/>
        <v>0</v>
      </c>
    </row>
    <row r="36" spans="2:15" ht="15" x14ac:dyDescent="0.25">
      <c r="B36" s="51"/>
      <c r="C36" s="4"/>
      <c r="D36" s="4"/>
      <c r="E36" s="4"/>
      <c r="F36" s="57"/>
      <c r="G36" s="68"/>
      <c r="H36" s="4" t="s">
        <v>16</v>
      </c>
      <c r="I36" s="110">
        <f t="shared" ref="I36:N37" si="14">I35</f>
        <v>11650030</v>
      </c>
      <c r="J36" s="52">
        <f t="shared" si="14"/>
        <v>0</v>
      </c>
      <c r="K36" s="165">
        <f t="shared" si="14"/>
        <v>11650030</v>
      </c>
      <c r="L36" s="110">
        <f t="shared" si="14"/>
        <v>0</v>
      </c>
      <c r="M36" s="52">
        <f t="shared" si="14"/>
        <v>0</v>
      </c>
      <c r="N36" s="205">
        <f t="shared" si="14"/>
        <v>0</v>
      </c>
      <c r="O36" s="228">
        <f t="shared" si="8"/>
        <v>0</v>
      </c>
    </row>
    <row r="37" spans="2:15" ht="15" x14ac:dyDescent="0.25">
      <c r="B37" s="51"/>
      <c r="C37" s="4"/>
      <c r="D37" s="4"/>
      <c r="E37" s="4"/>
      <c r="F37" s="57"/>
      <c r="G37" s="68"/>
      <c r="H37" s="4" t="s">
        <v>17</v>
      </c>
      <c r="I37" s="110">
        <f t="shared" si="14"/>
        <v>11650030</v>
      </c>
      <c r="J37" s="52">
        <f t="shared" si="14"/>
        <v>0</v>
      </c>
      <c r="K37" s="165">
        <f t="shared" si="14"/>
        <v>11650030</v>
      </c>
      <c r="L37" s="110">
        <f t="shared" si="14"/>
        <v>0</v>
      </c>
      <c r="M37" s="52">
        <f t="shared" si="14"/>
        <v>0</v>
      </c>
      <c r="N37" s="205">
        <f t="shared" si="14"/>
        <v>0</v>
      </c>
      <c r="O37" s="228">
        <f t="shared" si="8"/>
        <v>0</v>
      </c>
    </row>
    <row r="38" spans="2:15" ht="15" thickBot="1" x14ac:dyDescent="0.25">
      <c r="B38" s="6"/>
      <c r="C38" s="7"/>
      <c r="D38" s="7"/>
      <c r="E38" s="7"/>
      <c r="F38" s="59"/>
      <c r="G38" s="70"/>
      <c r="H38" s="7"/>
      <c r="I38" s="6"/>
      <c r="J38" s="7"/>
      <c r="K38" s="169"/>
      <c r="L38" s="184"/>
      <c r="M38" s="7"/>
      <c r="N38" s="215"/>
      <c r="O38" s="227"/>
    </row>
    <row r="39" spans="2:15" ht="14.25" x14ac:dyDescent="0.2">
      <c r="F39" s="60"/>
      <c r="G39" s="71"/>
      <c r="K39" s="91"/>
      <c r="N39" s="91"/>
      <c r="O39" s="233" t="str">
        <f t="shared" si="8"/>
        <v/>
      </c>
    </row>
  </sheetData>
  <mergeCells count="14">
    <mergeCell ref="H7:H8"/>
    <mergeCell ref="I7:K7"/>
    <mergeCell ref="L7:N7"/>
    <mergeCell ref="O7:O8"/>
    <mergeCell ref="B1:N1"/>
    <mergeCell ref="F3:K3"/>
    <mergeCell ref="D5:E5"/>
    <mergeCell ref="H6:I6"/>
    <mergeCell ref="B7:B8"/>
    <mergeCell ref="C7:C8"/>
    <mergeCell ref="D7:D8"/>
    <mergeCell ref="E7:E8"/>
    <mergeCell ref="F7:F8"/>
    <mergeCell ref="G7:G8"/>
  </mergeCells>
  <pageMargins left="0.39370078740157483" right="0.39370078740157483" top="0.39370078740157483" bottom="0.3937007874015748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7"/>
  <dimension ref="B1:O187"/>
  <sheetViews>
    <sheetView topLeftCell="D1" zoomScaleNormal="100" workbookViewId="0">
      <selection activeCell="L9" sqref="L9:O9"/>
    </sheetView>
  </sheetViews>
  <sheetFormatPr defaultColWidth="9.140625" defaultRowHeight="12.75" x14ac:dyDescent="0.2"/>
  <cols>
    <col min="1" max="1" width="6.140625" style="17" customWidth="1"/>
    <col min="2" max="2" width="4.7109375" style="17" customWidth="1"/>
    <col min="3" max="3" width="5.140625" style="17" customWidth="1"/>
    <col min="4" max="5" width="5" style="17" customWidth="1"/>
    <col min="6" max="7" width="8.7109375" style="53" customWidth="1"/>
    <col min="8" max="8" width="50.7109375" style="17" customWidth="1"/>
    <col min="9" max="9" width="11.7109375" style="17" customWidth="1"/>
    <col min="10" max="10" width="11.85546875" style="17" customWidth="1"/>
    <col min="11" max="11" width="13.5703125" style="17" customWidth="1"/>
    <col min="12" max="13" width="14.7109375" style="17" customWidth="1"/>
    <col min="14" max="14" width="15.7109375" style="17" customWidth="1"/>
    <col min="15" max="15" width="9.140625" style="17"/>
    <col min="16" max="16" width="9.5703125" style="17" bestFit="1" customWidth="1"/>
    <col min="17" max="16384" width="9.140625" style="17"/>
  </cols>
  <sheetData>
    <row r="1" spans="2:15" ht="15.75" x14ac:dyDescent="0.25">
      <c r="B1" s="428" t="s">
        <v>374</v>
      </c>
      <c r="C1" s="429"/>
      <c r="D1" s="429"/>
      <c r="E1" s="429"/>
      <c r="F1" s="429"/>
      <c r="G1" s="429"/>
      <c r="H1" s="429"/>
      <c r="I1" s="430"/>
      <c r="J1" s="430"/>
      <c r="K1" s="430"/>
      <c r="L1" s="430"/>
      <c r="M1" s="430"/>
      <c r="N1" s="430"/>
    </row>
    <row r="2" spans="2:15" x14ac:dyDescent="0.2">
      <c r="M2" s="126" t="s">
        <v>232</v>
      </c>
      <c r="N2" s="196"/>
    </row>
    <row r="3" spans="2:15" ht="15.75" x14ac:dyDescent="0.25">
      <c r="B3" s="180" t="s">
        <v>173</v>
      </c>
      <c r="F3" s="431" t="s">
        <v>204</v>
      </c>
      <c r="G3" s="432"/>
      <c r="H3" s="432"/>
      <c r="I3" s="432"/>
      <c r="J3" s="432"/>
      <c r="K3" s="432"/>
    </row>
    <row r="4" spans="2:15" x14ac:dyDescent="0.2">
      <c r="B4" s="180"/>
      <c r="G4"/>
      <c r="H4"/>
      <c r="I4"/>
      <c r="J4"/>
      <c r="K4"/>
    </row>
    <row r="5" spans="2:15" ht="15.75" x14ac:dyDescent="0.25">
      <c r="B5" s="180" t="s">
        <v>172</v>
      </c>
      <c r="D5" s="433">
        <v>14</v>
      </c>
      <c r="E5" s="434"/>
      <c r="F5" s="181"/>
      <c r="G5" s="181"/>
      <c r="I5" s="180"/>
      <c r="L5" s="411"/>
    </row>
    <row r="6" spans="2:15" s="22" customFormat="1" ht="16.5" thickBot="1" x14ac:dyDescent="0.3">
      <c r="F6" s="48"/>
      <c r="G6" s="48"/>
      <c r="H6" s="435"/>
      <c r="I6" s="435"/>
      <c r="J6" s="26"/>
      <c r="K6" s="26"/>
      <c r="L6" s="26"/>
      <c r="M6" s="26"/>
      <c r="N6" s="26"/>
    </row>
    <row r="7" spans="2:15" s="22" customFormat="1" ht="33" customHeight="1" x14ac:dyDescent="0.2">
      <c r="B7" s="436" t="s">
        <v>0</v>
      </c>
      <c r="C7" s="438" t="s">
        <v>1</v>
      </c>
      <c r="D7" s="438" t="s">
        <v>21</v>
      </c>
      <c r="E7" s="438" t="s">
        <v>135</v>
      </c>
      <c r="F7" s="421" t="s">
        <v>85</v>
      </c>
      <c r="G7" s="440" t="s">
        <v>88</v>
      </c>
      <c r="H7" s="421" t="s">
        <v>2</v>
      </c>
      <c r="I7" s="423" t="s">
        <v>375</v>
      </c>
      <c r="J7" s="424"/>
      <c r="K7" s="425"/>
      <c r="L7" s="423" t="s">
        <v>373</v>
      </c>
      <c r="M7" s="424"/>
      <c r="N7" s="424"/>
      <c r="O7" s="426" t="s">
        <v>258</v>
      </c>
    </row>
    <row r="8" spans="2:15" s="22" customFormat="1" ht="25.5" x14ac:dyDescent="0.2">
      <c r="B8" s="437"/>
      <c r="C8" s="439"/>
      <c r="D8" s="439"/>
      <c r="E8" s="439"/>
      <c r="F8" s="422"/>
      <c r="G8" s="439"/>
      <c r="H8" s="422"/>
      <c r="I8" s="105" t="s">
        <v>117</v>
      </c>
      <c r="J8" s="85" t="s">
        <v>118</v>
      </c>
      <c r="K8" s="159" t="s">
        <v>81</v>
      </c>
      <c r="L8" s="105" t="s">
        <v>117</v>
      </c>
      <c r="M8" s="85" t="s">
        <v>118</v>
      </c>
      <c r="N8" s="200" t="s">
        <v>81</v>
      </c>
      <c r="O8" s="427"/>
    </row>
    <row r="9" spans="2:15" s="48" customFormat="1" x14ac:dyDescent="0.2">
      <c r="B9" s="97">
        <v>1</v>
      </c>
      <c r="C9" s="68">
        <v>2</v>
      </c>
      <c r="D9" s="68">
        <v>3</v>
      </c>
      <c r="E9" s="68">
        <v>4</v>
      </c>
      <c r="F9" s="68">
        <v>5</v>
      </c>
      <c r="G9" s="68">
        <v>6</v>
      </c>
      <c r="H9" s="68">
        <v>7</v>
      </c>
      <c r="I9" s="97">
        <v>8</v>
      </c>
      <c r="J9" s="68">
        <v>9</v>
      </c>
      <c r="K9" s="160" t="s">
        <v>171</v>
      </c>
      <c r="L9" s="97">
        <v>11</v>
      </c>
      <c r="M9" s="68">
        <v>12</v>
      </c>
      <c r="N9" s="68" t="s">
        <v>394</v>
      </c>
      <c r="O9" s="232" t="s">
        <v>395</v>
      </c>
    </row>
    <row r="10" spans="2:15" ht="15" x14ac:dyDescent="0.25">
      <c r="B10" s="2" t="s">
        <v>36</v>
      </c>
      <c r="C10" s="3" t="s">
        <v>3</v>
      </c>
      <c r="D10" s="3" t="s">
        <v>4</v>
      </c>
      <c r="E10" s="136" t="s">
        <v>139</v>
      </c>
      <c r="F10" s="49"/>
      <c r="G10" s="49"/>
      <c r="H10" s="182" t="s">
        <v>177</v>
      </c>
      <c r="I10" s="115"/>
      <c r="J10" s="23"/>
      <c r="K10" s="168"/>
      <c r="L10" s="115"/>
      <c r="M10" s="23"/>
      <c r="N10" s="217"/>
      <c r="O10" s="224" t="str">
        <f t="shared" ref="O10:O56" si="0">IF(K10=0,"",N10/K10*100)</f>
        <v/>
      </c>
    </row>
    <row r="11" spans="2:15" ht="15" x14ac:dyDescent="0.25">
      <c r="B11" s="51"/>
      <c r="C11" s="4"/>
      <c r="D11" s="4"/>
      <c r="E11" s="4"/>
      <c r="F11" s="57">
        <v>611000</v>
      </c>
      <c r="G11" s="68"/>
      <c r="H11" s="10" t="s">
        <v>57</v>
      </c>
      <c r="I11" s="106">
        <f>SUM(I12:I14)</f>
        <v>315030</v>
      </c>
      <c r="J11" s="32">
        <f t="shared" ref="J11:N11" si="1">SUM(J12:J14)</f>
        <v>0</v>
      </c>
      <c r="K11" s="162">
        <f t="shared" si="1"/>
        <v>315030</v>
      </c>
      <c r="L11" s="106">
        <f t="shared" si="1"/>
        <v>0</v>
      </c>
      <c r="M11" s="32">
        <f t="shared" si="1"/>
        <v>0</v>
      </c>
      <c r="N11" s="202">
        <f t="shared" si="1"/>
        <v>0</v>
      </c>
      <c r="O11" s="228">
        <f t="shared" si="0"/>
        <v>0</v>
      </c>
    </row>
    <row r="12" spans="2:15" ht="14.25" x14ac:dyDescent="0.2">
      <c r="B12" s="50"/>
      <c r="C12" s="8"/>
      <c r="D12" s="8"/>
      <c r="E12" s="8"/>
      <c r="F12" s="58">
        <v>611100</v>
      </c>
      <c r="G12" s="69"/>
      <c r="H12" s="9" t="s">
        <v>68</v>
      </c>
      <c r="I12" s="119">
        <f>239020+730+7*1800+13630</f>
        <v>265980</v>
      </c>
      <c r="J12" s="34">
        <v>0</v>
      </c>
      <c r="K12" s="163">
        <f>SUM(I12:J12)</f>
        <v>265980</v>
      </c>
      <c r="L12" s="119"/>
      <c r="M12" s="34"/>
      <c r="N12" s="203">
        <f>SUM(L12:M12)</f>
        <v>0</v>
      </c>
      <c r="O12" s="224">
        <f t="shared" si="0"/>
        <v>0</v>
      </c>
    </row>
    <row r="13" spans="2:15" ht="14.25" x14ac:dyDescent="0.2">
      <c r="B13" s="50"/>
      <c r="C13" s="8"/>
      <c r="D13" s="8"/>
      <c r="E13" s="8"/>
      <c r="F13" s="58">
        <v>611200</v>
      </c>
      <c r="G13" s="69"/>
      <c r="H13" s="9" t="s">
        <v>69</v>
      </c>
      <c r="I13" s="119">
        <f>43050+1620+850+3530</f>
        <v>49050</v>
      </c>
      <c r="J13" s="34">
        <v>0</v>
      </c>
      <c r="K13" s="163">
        <f t="shared" ref="K13" si="2">SUM(I13:J13)</f>
        <v>49050</v>
      </c>
      <c r="L13" s="119"/>
      <c r="M13" s="34"/>
      <c r="N13" s="203">
        <f t="shared" ref="N13" si="3">SUM(L13:M13)</f>
        <v>0</v>
      </c>
      <c r="O13" s="224">
        <f t="shared" si="0"/>
        <v>0</v>
      </c>
    </row>
    <row r="14" spans="2:15" ht="14.25" x14ac:dyDescent="0.2">
      <c r="B14" s="50"/>
      <c r="C14" s="8"/>
      <c r="D14" s="8"/>
      <c r="E14" s="8"/>
      <c r="F14" s="58"/>
      <c r="G14" s="69"/>
      <c r="H14" s="9"/>
      <c r="I14" s="119"/>
      <c r="J14" s="34"/>
      <c r="K14" s="163"/>
      <c r="L14" s="119"/>
      <c r="M14" s="34"/>
      <c r="N14" s="203"/>
      <c r="O14" s="224" t="str">
        <f t="shared" si="0"/>
        <v/>
      </c>
    </row>
    <row r="15" spans="2:15" ht="15" x14ac:dyDescent="0.25">
      <c r="B15" s="51"/>
      <c r="C15" s="4"/>
      <c r="D15" s="4"/>
      <c r="E15" s="4"/>
      <c r="F15" s="57">
        <v>612000</v>
      </c>
      <c r="G15" s="68"/>
      <c r="H15" s="10" t="s">
        <v>56</v>
      </c>
      <c r="I15" s="106">
        <f t="shared" ref="I15" si="4">I16</f>
        <v>13300</v>
      </c>
      <c r="J15" s="32">
        <f t="shared" ref="J15:N15" si="5">J16</f>
        <v>0</v>
      </c>
      <c r="K15" s="162">
        <f t="shared" si="5"/>
        <v>13300</v>
      </c>
      <c r="L15" s="106">
        <f t="shared" si="5"/>
        <v>0</v>
      </c>
      <c r="M15" s="32">
        <f t="shared" si="5"/>
        <v>0</v>
      </c>
      <c r="N15" s="202">
        <f t="shared" si="5"/>
        <v>0</v>
      </c>
      <c r="O15" s="228">
        <f t="shared" si="0"/>
        <v>0</v>
      </c>
    </row>
    <row r="16" spans="2:15" ht="14.25" x14ac:dyDescent="0.2">
      <c r="B16" s="50"/>
      <c r="C16" s="8"/>
      <c r="D16" s="8"/>
      <c r="E16" s="8"/>
      <c r="F16" s="58">
        <v>612100</v>
      </c>
      <c r="G16" s="69"/>
      <c r="H16" s="145" t="s">
        <v>5</v>
      </c>
      <c r="I16" s="119">
        <f>11870+120+7*90+680</f>
        <v>13300</v>
      </c>
      <c r="J16" s="34">
        <v>0</v>
      </c>
      <c r="K16" s="163">
        <f>SUM(I16:J16)</f>
        <v>13300</v>
      </c>
      <c r="L16" s="119"/>
      <c r="M16" s="34"/>
      <c r="N16" s="203">
        <f>SUM(L16:M16)</f>
        <v>0</v>
      </c>
      <c r="O16" s="224">
        <f t="shared" si="0"/>
        <v>0</v>
      </c>
    </row>
    <row r="17" spans="2:15" ht="14.25" x14ac:dyDescent="0.2">
      <c r="B17" s="50"/>
      <c r="C17" s="8"/>
      <c r="D17" s="8"/>
      <c r="E17" s="8"/>
      <c r="F17" s="58"/>
      <c r="G17" s="69"/>
      <c r="H17" s="9"/>
      <c r="I17" s="116"/>
      <c r="J17" s="54"/>
      <c r="K17" s="164"/>
      <c r="L17" s="116"/>
      <c r="M17" s="54"/>
      <c r="N17" s="204"/>
      <c r="O17" s="224" t="str">
        <f t="shared" si="0"/>
        <v/>
      </c>
    </row>
    <row r="18" spans="2:15" ht="15" x14ac:dyDescent="0.25">
      <c r="B18" s="51"/>
      <c r="C18" s="4"/>
      <c r="D18" s="4"/>
      <c r="E18" s="4"/>
      <c r="F18" s="57">
        <v>613000</v>
      </c>
      <c r="G18" s="68"/>
      <c r="H18" s="10" t="s">
        <v>58</v>
      </c>
      <c r="I18" s="109">
        <f>SUM(I19:I29)</f>
        <v>238800</v>
      </c>
      <c r="J18" s="55">
        <f t="shared" ref="J18:N18" si="6">SUM(J19:J29)</f>
        <v>0</v>
      </c>
      <c r="K18" s="165">
        <f t="shared" si="6"/>
        <v>238800</v>
      </c>
      <c r="L18" s="109">
        <f t="shared" si="6"/>
        <v>0</v>
      </c>
      <c r="M18" s="55">
        <f t="shared" si="6"/>
        <v>0</v>
      </c>
      <c r="N18" s="205">
        <f t="shared" si="6"/>
        <v>0</v>
      </c>
      <c r="O18" s="228">
        <f t="shared" si="0"/>
        <v>0</v>
      </c>
    </row>
    <row r="19" spans="2:15" ht="14.25" x14ac:dyDescent="0.2">
      <c r="B19" s="50"/>
      <c r="C19" s="8"/>
      <c r="D19" s="8"/>
      <c r="E19" s="8"/>
      <c r="F19" s="58">
        <v>613100</v>
      </c>
      <c r="G19" s="69"/>
      <c r="H19" s="9" t="s">
        <v>6</v>
      </c>
      <c r="I19" s="99">
        <v>3500</v>
      </c>
      <c r="J19" s="46">
        <v>0</v>
      </c>
      <c r="K19" s="163">
        <f t="shared" ref="K19:K29" si="7">SUM(I19:J19)</f>
        <v>3500</v>
      </c>
      <c r="L19" s="108"/>
      <c r="M19" s="46"/>
      <c r="N19" s="203">
        <f t="shared" ref="N19:N29" si="8">SUM(L19:M19)</f>
        <v>0</v>
      </c>
      <c r="O19" s="224">
        <f t="shared" si="0"/>
        <v>0</v>
      </c>
    </row>
    <row r="20" spans="2:15" ht="14.25" x14ac:dyDescent="0.2">
      <c r="B20" s="50"/>
      <c r="C20" s="8"/>
      <c r="D20" s="8"/>
      <c r="E20" s="8"/>
      <c r="F20" s="58">
        <v>613200</v>
      </c>
      <c r="G20" s="69"/>
      <c r="H20" s="9" t="s">
        <v>7</v>
      </c>
      <c r="I20" s="99">
        <v>0</v>
      </c>
      <c r="J20" s="46">
        <v>0</v>
      </c>
      <c r="K20" s="163">
        <f t="shared" si="7"/>
        <v>0</v>
      </c>
      <c r="L20" s="108"/>
      <c r="M20" s="46"/>
      <c r="N20" s="203">
        <f t="shared" si="8"/>
        <v>0</v>
      </c>
      <c r="O20" s="224" t="str">
        <f t="shared" si="0"/>
        <v/>
      </c>
    </row>
    <row r="21" spans="2:15" ht="14.25" x14ac:dyDescent="0.2">
      <c r="B21" s="50"/>
      <c r="C21" s="8"/>
      <c r="D21" s="8"/>
      <c r="E21" s="8"/>
      <c r="F21" s="58">
        <v>613300</v>
      </c>
      <c r="G21" s="69"/>
      <c r="H21" s="9" t="s">
        <v>70</v>
      </c>
      <c r="I21" s="99">
        <v>2800</v>
      </c>
      <c r="J21" s="46">
        <v>0</v>
      </c>
      <c r="K21" s="163">
        <f t="shared" si="7"/>
        <v>2800</v>
      </c>
      <c r="L21" s="108"/>
      <c r="M21" s="46"/>
      <c r="N21" s="203">
        <f t="shared" si="8"/>
        <v>0</v>
      </c>
      <c r="O21" s="224">
        <f t="shared" si="0"/>
        <v>0</v>
      </c>
    </row>
    <row r="22" spans="2:15" ht="14.25" x14ac:dyDescent="0.2">
      <c r="B22" s="50"/>
      <c r="C22" s="8"/>
      <c r="D22" s="8"/>
      <c r="E22" s="8"/>
      <c r="F22" s="58">
        <v>613400</v>
      </c>
      <c r="G22" s="69"/>
      <c r="H22" s="9" t="s">
        <v>59</v>
      </c>
      <c r="I22" s="99">
        <v>3000</v>
      </c>
      <c r="J22" s="46">
        <v>0</v>
      </c>
      <c r="K22" s="163">
        <f t="shared" si="7"/>
        <v>3000</v>
      </c>
      <c r="L22" s="108"/>
      <c r="M22" s="46"/>
      <c r="N22" s="203">
        <f t="shared" si="8"/>
        <v>0</v>
      </c>
      <c r="O22" s="224">
        <f t="shared" si="0"/>
        <v>0</v>
      </c>
    </row>
    <row r="23" spans="2:15" ht="14.25" x14ac:dyDescent="0.2">
      <c r="B23" s="50"/>
      <c r="C23" s="8"/>
      <c r="D23" s="8"/>
      <c r="E23" s="8"/>
      <c r="F23" s="58">
        <v>613500</v>
      </c>
      <c r="G23" s="69"/>
      <c r="H23" s="9" t="s">
        <v>8</v>
      </c>
      <c r="I23" s="99">
        <v>0</v>
      </c>
      <c r="J23" s="46">
        <v>0</v>
      </c>
      <c r="K23" s="163">
        <f t="shared" si="7"/>
        <v>0</v>
      </c>
      <c r="L23" s="108"/>
      <c r="M23" s="46"/>
      <c r="N23" s="203">
        <f t="shared" si="8"/>
        <v>0</v>
      </c>
      <c r="O23" s="224" t="str">
        <f t="shared" si="0"/>
        <v/>
      </c>
    </row>
    <row r="24" spans="2:15" ht="14.25" x14ac:dyDescent="0.2">
      <c r="B24" s="50"/>
      <c r="C24" s="8"/>
      <c r="D24" s="8"/>
      <c r="E24" s="8"/>
      <c r="F24" s="58">
        <v>613600</v>
      </c>
      <c r="G24" s="69"/>
      <c r="H24" s="9" t="s">
        <v>71</v>
      </c>
      <c r="I24" s="99">
        <v>0</v>
      </c>
      <c r="J24" s="46">
        <v>0</v>
      </c>
      <c r="K24" s="163">
        <f t="shared" si="7"/>
        <v>0</v>
      </c>
      <c r="L24" s="108"/>
      <c r="M24" s="46"/>
      <c r="N24" s="203">
        <f t="shared" si="8"/>
        <v>0</v>
      </c>
      <c r="O24" s="224" t="str">
        <f t="shared" si="0"/>
        <v/>
      </c>
    </row>
    <row r="25" spans="2:15" ht="14.25" x14ac:dyDescent="0.2">
      <c r="B25" s="50"/>
      <c r="C25" s="8"/>
      <c r="D25" s="8"/>
      <c r="E25" s="8"/>
      <c r="F25" s="58">
        <v>613700</v>
      </c>
      <c r="G25" s="69"/>
      <c r="H25" s="9" t="s">
        <v>9</v>
      </c>
      <c r="I25" s="99">
        <v>5000</v>
      </c>
      <c r="J25" s="46">
        <v>0</v>
      </c>
      <c r="K25" s="163">
        <f t="shared" si="7"/>
        <v>5000</v>
      </c>
      <c r="L25" s="108"/>
      <c r="M25" s="46"/>
      <c r="N25" s="203">
        <f t="shared" si="8"/>
        <v>0</v>
      </c>
      <c r="O25" s="224">
        <f t="shared" si="0"/>
        <v>0</v>
      </c>
    </row>
    <row r="26" spans="2:15" ht="14.25" x14ac:dyDescent="0.2">
      <c r="B26" s="50"/>
      <c r="C26" s="8"/>
      <c r="D26" s="8"/>
      <c r="E26" s="8"/>
      <c r="F26" s="58">
        <v>613800</v>
      </c>
      <c r="G26" s="69"/>
      <c r="H26" s="9" t="s">
        <v>60</v>
      </c>
      <c r="I26" s="99">
        <v>0</v>
      </c>
      <c r="J26" s="46">
        <v>0</v>
      </c>
      <c r="K26" s="163">
        <f t="shared" si="7"/>
        <v>0</v>
      </c>
      <c r="L26" s="108"/>
      <c r="M26" s="46"/>
      <c r="N26" s="203">
        <f t="shared" si="8"/>
        <v>0</v>
      </c>
      <c r="O26" s="224" t="str">
        <f t="shared" si="0"/>
        <v/>
      </c>
    </row>
    <row r="27" spans="2:15" ht="14.25" x14ac:dyDescent="0.2">
      <c r="B27" s="50"/>
      <c r="C27" s="8"/>
      <c r="D27" s="8"/>
      <c r="E27" s="8"/>
      <c r="F27" s="58">
        <v>613900</v>
      </c>
      <c r="G27" s="69"/>
      <c r="H27" s="9" t="s">
        <v>61</v>
      </c>
      <c r="I27" s="99">
        <v>30000</v>
      </c>
      <c r="J27" s="46">
        <v>0</v>
      </c>
      <c r="K27" s="163">
        <f t="shared" si="7"/>
        <v>30000</v>
      </c>
      <c r="L27" s="108"/>
      <c r="M27" s="46"/>
      <c r="N27" s="203">
        <f t="shared" si="8"/>
        <v>0</v>
      </c>
      <c r="O27" s="224">
        <f t="shared" si="0"/>
        <v>0</v>
      </c>
    </row>
    <row r="28" spans="2:15" ht="14.25" x14ac:dyDescent="0.2">
      <c r="B28" s="50"/>
      <c r="C28" s="8"/>
      <c r="D28" s="8"/>
      <c r="E28" s="8"/>
      <c r="F28" s="58">
        <v>613900</v>
      </c>
      <c r="G28" s="69" t="s">
        <v>156</v>
      </c>
      <c r="H28" s="144" t="s">
        <v>155</v>
      </c>
      <c r="I28" s="99">
        <v>44500</v>
      </c>
      <c r="J28" s="46">
        <v>0</v>
      </c>
      <c r="K28" s="163">
        <f t="shared" si="7"/>
        <v>44500</v>
      </c>
      <c r="L28" s="108"/>
      <c r="M28" s="46"/>
      <c r="N28" s="203">
        <f t="shared" si="8"/>
        <v>0</v>
      </c>
      <c r="O28" s="224">
        <f t="shared" si="0"/>
        <v>0</v>
      </c>
    </row>
    <row r="29" spans="2:15" ht="14.25" x14ac:dyDescent="0.2">
      <c r="B29" s="148"/>
      <c r="C29" s="120"/>
      <c r="D29" s="120"/>
      <c r="E29" s="120"/>
      <c r="F29" s="149">
        <v>613900</v>
      </c>
      <c r="G29" s="150" t="s">
        <v>160</v>
      </c>
      <c r="H29" s="103" t="s">
        <v>161</v>
      </c>
      <c r="I29" s="99">
        <v>150000</v>
      </c>
      <c r="J29" s="82">
        <v>0</v>
      </c>
      <c r="K29" s="151">
        <f t="shared" si="7"/>
        <v>150000</v>
      </c>
      <c r="L29" s="99"/>
      <c r="M29" s="82"/>
      <c r="N29" s="218">
        <f t="shared" si="8"/>
        <v>0</v>
      </c>
      <c r="O29" s="224">
        <f t="shared" si="0"/>
        <v>0</v>
      </c>
    </row>
    <row r="30" spans="2:15" ht="14.25" x14ac:dyDescent="0.2">
      <c r="B30" s="51"/>
      <c r="C30" s="4"/>
      <c r="D30" s="4"/>
      <c r="E30" s="135"/>
      <c r="F30" s="66"/>
      <c r="G30" s="78"/>
      <c r="H30" s="10"/>
      <c r="I30" s="116"/>
      <c r="J30" s="54"/>
      <c r="K30" s="164"/>
      <c r="L30" s="116"/>
      <c r="M30" s="54"/>
      <c r="N30" s="204"/>
      <c r="O30" s="224" t="str">
        <f t="shared" si="0"/>
        <v/>
      </c>
    </row>
    <row r="31" spans="2:15" ht="15" x14ac:dyDescent="0.25">
      <c r="B31" s="51"/>
      <c r="C31" s="4"/>
      <c r="D31" s="4"/>
      <c r="E31" s="4"/>
      <c r="F31" s="57">
        <v>821000</v>
      </c>
      <c r="G31" s="68"/>
      <c r="H31" s="10" t="s">
        <v>12</v>
      </c>
      <c r="I31" s="110">
        <f t="shared" ref="I31" si="9">SUM(I32:I33)</f>
        <v>5000</v>
      </c>
      <c r="J31" s="52">
        <f t="shared" ref="J31:N31" si="10">SUM(J32:J33)</f>
        <v>0</v>
      </c>
      <c r="K31" s="165">
        <f t="shared" si="10"/>
        <v>5000</v>
      </c>
      <c r="L31" s="110">
        <f t="shared" si="10"/>
        <v>0</v>
      </c>
      <c r="M31" s="52">
        <f t="shared" si="10"/>
        <v>0</v>
      </c>
      <c r="N31" s="205">
        <f t="shared" si="10"/>
        <v>0</v>
      </c>
      <c r="O31" s="228">
        <f t="shared" si="0"/>
        <v>0</v>
      </c>
    </row>
    <row r="32" spans="2:15" ht="14.25" x14ac:dyDescent="0.2">
      <c r="B32" s="50"/>
      <c r="C32" s="8"/>
      <c r="D32" s="8"/>
      <c r="E32" s="8"/>
      <c r="F32" s="58">
        <v>821200</v>
      </c>
      <c r="G32" s="69"/>
      <c r="H32" s="9" t="s">
        <v>13</v>
      </c>
      <c r="I32" s="116">
        <v>0</v>
      </c>
      <c r="J32" s="54">
        <v>0</v>
      </c>
      <c r="K32" s="163">
        <f t="shared" ref="K32:K33" si="11">SUM(I32:J32)</f>
        <v>0</v>
      </c>
      <c r="L32" s="116"/>
      <c r="M32" s="54"/>
      <c r="N32" s="203">
        <f t="shared" ref="N32:N33" si="12">SUM(L32:M32)</f>
        <v>0</v>
      </c>
      <c r="O32" s="224" t="str">
        <f t="shared" si="0"/>
        <v/>
      </c>
    </row>
    <row r="33" spans="2:15" ht="14.25" x14ac:dyDescent="0.2">
      <c r="B33" s="50"/>
      <c r="C33" s="8"/>
      <c r="D33" s="8"/>
      <c r="E33" s="8"/>
      <c r="F33" s="58">
        <v>821300</v>
      </c>
      <c r="G33" s="69"/>
      <c r="H33" s="9" t="s">
        <v>14</v>
      </c>
      <c r="I33" s="116">
        <v>5000</v>
      </c>
      <c r="J33" s="54">
        <v>0</v>
      </c>
      <c r="K33" s="163">
        <f t="shared" si="11"/>
        <v>5000</v>
      </c>
      <c r="L33" s="116"/>
      <c r="M33" s="54"/>
      <c r="N33" s="203">
        <f t="shared" si="12"/>
        <v>0</v>
      </c>
      <c r="O33" s="224">
        <f t="shared" si="0"/>
        <v>0</v>
      </c>
    </row>
    <row r="34" spans="2:15" ht="14.25" x14ac:dyDescent="0.2">
      <c r="B34" s="50"/>
      <c r="C34" s="8"/>
      <c r="D34" s="8"/>
      <c r="E34" s="8"/>
      <c r="F34" s="58"/>
      <c r="G34" s="69"/>
      <c r="H34" s="9"/>
      <c r="I34" s="116"/>
      <c r="J34" s="54"/>
      <c r="K34" s="164"/>
      <c r="L34" s="116"/>
      <c r="M34" s="54"/>
      <c r="N34" s="204"/>
      <c r="O34" s="224" t="str">
        <f t="shared" si="0"/>
        <v/>
      </c>
    </row>
    <row r="35" spans="2:15" ht="15" x14ac:dyDescent="0.25">
      <c r="B35" s="51"/>
      <c r="C35" s="4"/>
      <c r="D35" s="4"/>
      <c r="E35" s="4"/>
      <c r="F35" s="57"/>
      <c r="G35" s="68"/>
      <c r="H35" s="10" t="s">
        <v>15</v>
      </c>
      <c r="I35" s="111" t="s">
        <v>235</v>
      </c>
      <c r="J35" s="47"/>
      <c r="K35" s="166" t="s">
        <v>235</v>
      </c>
      <c r="L35" s="111"/>
      <c r="M35" s="47"/>
      <c r="N35" s="206"/>
      <c r="O35" s="224"/>
    </row>
    <row r="36" spans="2:15" ht="15" x14ac:dyDescent="0.25">
      <c r="B36" s="51"/>
      <c r="C36" s="4"/>
      <c r="D36" s="4"/>
      <c r="E36" s="4"/>
      <c r="F36" s="57"/>
      <c r="G36" s="68"/>
      <c r="H36" s="10" t="s">
        <v>24</v>
      </c>
      <c r="I36" s="110">
        <f t="shared" ref="I36:N36" si="13">I11+I15+I18+I31</f>
        <v>572130</v>
      </c>
      <c r="J36" s="52">
        <f t="shared" si="13"/>
        <v>0</v>
      </c>
      <c r="K36" s="165">
        <f t="shared" si="13"/>
        <v>572130</v>
      </c>
      <c r="L36" s="110">
        <f t="shared" si="13"/>
        <v>0</v>
      </c>
      <c r="M36" s="52">
        <f t="shared" si="13"/>
        <v>0</v>
      </c>
      <c r="N36" s="205">
        <f t="shared" si="13"/>
        <v>0</v>
      </c>
      <c r="O36" s="228">
        <f t="shared" si="0"/>
        <v>0</v>
      </c>
    </row>
    <row r="37" spans="2:15" ht="15" x14ac:dyDescent="0.25">
      <c r="B37" s="51"/>
      <c r="C37" s="4"/>
      <c r="D37" s="4"/>
      <c r="E37" s="4"/>
      <c r="F37" s="57"/>
      <c r="G37" s="68"/>
      <c r="H37" s="4" t="s">
        <v>16</v>
      </c>
      <c r="I37" s="110">
        <f>I36</f>
        <v>572130</v>
      </c>
      <c r="J37" s="52">
        <f t="shared" ref="J37:N37" si="14">J36</f>
        <v>0</v>
      </c>
      <c r="K37" s="165">
        <f t="shared" si="14"/>
        <v>572130</v>
      </c>
      <c r="L37" s="110">
        <f t="shared" si="14"/>
        <v>0</v>
      </c>
      <c r="M37" s="52">
        <f t="shared" si="14"/>
        <v>0</v>
      </c>
      <c r="N37" s="205">
        <f t="shared" si="14"/>
        <v>0</v>
      </c>
      <c r="O37" s="228">
        <f t="shared" si="0"/>
        <v>0</v>
      </c>
    </row>
    <row r="38" spans="2:15" ht="15" x14ac:dyDescent="0.25">
      <c r="B38" s="51"/>
      <c r="C38" s="4"/>
      <c r="D38" s="4"/>
      <c r="E38" s="4"/>
      <c r="F38" s="57"/>
      <c r="G38" s="68"/>
      <c r="H38" s="4" t="s">
        <v>17</v>
      </c>
      <c r="I38" s="121">
        <f t="shared" ref="I38:N38" si="15">I36+I67+I96+I125+I154+I183</f>
        <v>3531480</v>
      </c>
      <c r="J38" s="44">
        <f t="shared" si="15"/>
        <v>0</v>
      </c>
      <c r="K38" s="130">
        <f t="shared" si="15"/>
        <v>3531480</v>
      </c>
      <c r="L38" s="121">
        <f t="shared" si="15"/>
        <v>0</v>
      </c>
      <c r="M38" s="44">
        <f t="shared" si="15"/>
        <v>0</v>
      </c>
      <c r="N38" s="214">
        <f t="shared" si="15"/>
        <v>0</v>
      </c>
      <c r="O38" s="228">
        <f t="shared" si="0"/>
        <v>0</v>
      </c>
    </row>
    <row r="39" spans="2:15" ht="15" thickBot="1" x14ac:dyDescent="0.25">
      <c r="B39" s="6"/>
      <c r="C39" s="7"/>
      <c r="D39" s="7"/>
      <c r="E39" s="7"/>
      <c r="F39" s="59"/>
      <c r="G39" s="70"/>
      <c r="H39" s="7"/>
      <c r="I39" s="112"/>
      <c r="J39" s="13"/>
      <c r="K39" s="90"/>
      <c r="L39" s="184"/>
      <c r="M39" s="13"/>
      <c r="N39" s="207"/>
      <c r="O39" s="227"/>
    </row>
    <row r="40" spans="2:15" ht="14.25" x14ac:dyDescent="0.2">
      <c r="F40" s="60"/>
      <c r="G40" s="71"/>
      <c r="I40" s="20"/>
      <c r="J40" s="20"/>
      <c r="K40" s="92"/>
      <c r="L40" s="20"/>
      <c r="M40" s="20"/>
      <c r="N40" s="92"/>
      <c r="O40" s="230" t="str">
        <f t="shared" si="0"/>
        <v/>
      </c>
    </row>
    <row r="41" spans="2:15" ht="15" x14ac:dyDescent="0.25">
      <c r="B41" s="2" t="s">
        <v>36</v>
      </c>
      <c r="C41" s="3" t="s">
        <v>37</v>
      </c>
      <c r="D41" s="3" t="s">
        <v>32</v>
      </c>
      <c r="E41" s="136" t="s">
        <v>140</v>
      </c>
      <c r="F41" s="49"/>
      <c r="G41" s="49"/>
      <c r="H41" s="182" t="s">
        <v>178</v>
      </c>
      <c r="I41" s="115"/>
      <c r="J41" s="23"/>
      <c r="K41" s="168"/>
      <c r="L41" s="115"/>
      <c r="M41" s="23"/>
      <c r="N41" s="217"/>
      <c r="O41" s="224" t="str">
        <f t="shared" si="0"/>
        <v/>
      </c>
    </row>
    <row r="42" spans="2:15" ht="15" x14ac:dyDescent="0.25">
      <c r="B42" s="51"/>
      <c r="C42" s="4"/>
      <c r="D42" s="4"/>
      <c r="E42" s="4"/>
      <c r="F42" s="57">
        <v>611000</v>
      </c>
      <c r="G42" s="68"/>
      <c r="H42" s="10" t="s">
        <v>57</v>
      </c>
      <c r="I42" s="113">
        <f>SUM(I43:I45)</f>
        <v>1949310</v>
      </c>
      <c r="J42" s="36">
        <f t="shared" ref="J42:N42" si="16">SUM(J43:J45)</f>
        <v>0</v>
      </c>
      <c r="K42" s="162">
        <f t="shared" si="16"/>
        <v>1949310</v>
      </c>
      <c r="L42" s="113">
        <f t="shared" si="16"/>
        <v>0</v>
      </c>
      <c r="M42" s="36">
        <f t="shared" si="16"/>
        <v>0</v>
      </c>
      <c r="N42" s="202">
        <f t="shared" si="16"/>
        <v>0</v>
      </c>
      <c r="O42" s="228">
        <f t="shared" si="0"/>
        <v>0</v>
      </c>
    </row>
    <row r="43" spans="2:15" ht="14.25" x14ac:dyDescent="0.2">
      <c r="B43" s="50"/>
      <c r="C43" s="8"/>
      <c r="D43" s="8"/>
      <c r="E43" s="8"/>
      <c r="F43" s="58">
        <v>611100</v>
      </c>
      <c r="G43" s="69"/>
      <c r="H43" s="9" t="s">
        <v>68</v>
      </c>
      <c r="I43" s="118">
        <f>1526200+730+4*1820+10*6100+86990</f>
        <v>1682200</v>
      </c>
      <c r="J43" s="38">
        <v>0</v>
      </c>
      <c r="K43" s="163">
        <f>SUM(I43:J43)</f>
        <v>1682200</v>
      </c>
      <c r="L43" s="118"/>
      <c r="M43" s="38"/>
      <c r="N43" s="203">
        <f>SUM(L43:M43)</f>
        <v>0</v>
      </c>
      <c r="O43" s="224">
        <f t="shared" si="0"/>
        <v>0</v>
      </c>
    </row>
    <row r="44" spans="2:15" ht="14.25" x14ac:dyDescent="0.2">
      <c r="B44" s="50"/>
      <c r="C44" s="8"/>
      <c r="D44" s="8"/>
      <c r="E44" s="8"/>
      <c r="F44" s="58">
        <v>611200</v>
      </c>
      <c r="G44" s="69"/>
      <c r="H44" s="9" t="s">
        <v>69</v>
      </c>
      <c r="I44" s="118">
        <f>242140+1620+4*4050+2100+5050</f>
        <v>267110</v>
      </c>
      <c r="J44" s="38">
        <v>0</v>
      </c>
      <c r="K44" s="163">
        <f t="shared" ref="K44" si="17">SUM(I44:J44)</f>
        <v>267110</v>
      </c>
      <c r="L44" s="118"/>
      <c r="M44" s="38"/>
      <c r="N44" s="203">
        <f t="shared" ref="N44" si="18">SUM(L44:M44)</f>
        <v>0</v>
      </c>
      <c r="O44" s="224">
        <f t="shared" si="0"/>
        <v>0</v>
      </c>
    </row>
    <row r="45" spans="2:15" ht="14.25" x14ac:dyDescent="0.2">
      <c r="B45" s="50"/>
      <c r="C45" s="8"/>
      <c r="D45" s="8"/>
      <c r="E45" s="8"/>
      <c r="F45" s="58"/>
      <c r="G45" s="69"/>
      <c r="H45" s="9"/>
      <c r="I45" s="118"/>
      <c r="J45" s="38"/>
      <c r="K45" s="163"/>
      <c r="L45" s="118"/>
      <c r="M45" s="38"/>
      <c r="N45" s="203"/>
      <c r="O45" s="224" t="str">
        <f t="shared" si="0"/>
        <v/>
      </c>
    </row>
    <row r="46" spans="2:15" ht="15" x14ac:dyDescent="0.25">
      <c r="B46" s="51"/>
      <c r="C46" s="4"/>
      <c r="D46" s="4"/>
      <c r="E46" s="4"/>
      <c r="F46" s="57">
        <v>612000</v>
      </c>
      <c r="G46" s="68"/>
      <c r="H46" s="10" t="s">
        <v>56</v>
      </c>
      <c r="I46" s="113">
        <f t="shared" ref="I46" si="19">I47</f>
        <v>84700</v>
      </c>
      <c r="J46" s="36">
        <f t="shared" ref="J46:N46" si="20">J47</f>
        <v>0</v>
      </c>
      <c r="K46" s="162">
        <f t="shared" si="20"/>
        <v>84700</v>
      </c>
      <c r="L46" s="113">
        <f t="shared" si="20"/>
        <v>0</v>
      </c>
      <c r="M46" s="36">
        <f t="shared" si="20"/>
        <v>0</v>
      </c>
      <c r="N46" s="202">
        <f t="shared" si="20"/>
        <v>0</v>
      </c>
      <c r="O46" s="228">
        <f t="shared" si="0"/>
        <v>0</v>
      </c>
    </row>
    <row r="47" spans="2:15" ht="14.25" x14ac:dyDescent="0.2">
      <c r="B47" s="50"/>
      <c r="C47" s="8"/>
      <c r="D47" s="8"/>
      <c r="E47" s="8"/>
      <c r="F47" s="58">
        <v>612100</v>
      </c>
      <c r="G47" s="69"/>
      <c r="H47" s="145" t="s">
        <v>5</v>
      </c>
      <c r="I47" s="118">
        <f>75950+120+4*300+10*310+4330</f>
        <v>84700</v>
      </c>
      <c r="J47" s="38">
        <v>0</v>
      </c>
      <c r="K47" s="163">
        <f>SUM(I47:J47)</f>
        <v>84700</v>
      </c>
      <c r="L47" s="118"/>
      <c r="M47" s="38"/>
      <c r="N47" s="203">
        <f>SUM(L47:M47)</f>
        <v>0</v>
      </c>
      <c r="O47" s="224">
        <f t="shared" si="0"/>
        <v>0</v>
      </c>
    </row>
    <row r="48" spans="2:15" ht="14.25" x14ac:dyDescent="0.2">
      <c r="B48" s="50"/>
      <c r="C48" s="8"/>
      <c r="D48" s="8"/>
      <c r="E48" s="8"/>
      <c r="F48" s="58"/>
      <c r="G48" s="69"/>
      <c r="H48" s="9"/>
      <c r="I48" s="116"/>
      <c r="J48" s="54"/>
      <c r="K48" s="164"/>
      <c r="L48" s="116"/>
      <c r="M48" s="54"/>
      <c r="N48" s="204"/>
      <c r="O48" s="224" t="str">
        <f t="shared" si="0"/>
        <v/>
      </c>
    </row>
    <row r="49" spans="2:15" ht="15" x14ac:dyDescent="0.25">
      <c r="B49" s="51"/>
      <c r="C49" s="4"/>
      <c r="D49" s="4"/>
      <c r="E49" s="4"/>
      <c r="F49" s="57">
        <v>613000</v>
      </c>
      <c r="G49" s="68"/>
      <c r="H49" s="10" t="s">
        <v>58</v>
      </c>
      <c r="I49" s="109">
        <f>SUM(I50:I58)</f>
        <v>461000</v>
      </c>
      <c r="J49" s="55">
        <f t="shared" ref="J49:N49" si="21">SUM(J50:J58)</f>
        <v>0</v>
      </c>
      <c r="K49" s="165">
        <f t="shared" si="21"/>
        <v>461000</v>
      </c>
      <c r="L49" s="109">
        <f t="shared" si="21"/>
        <v>0</v>
      </c>
      <c r="M49" s="55">
        <f t="shared" si="21"/>
        <v>0</v>
      </c>
      <c r="N49" s="205">
        <f t="shared" si="21"/>
        <v>0</v>
      </c>
      <c r="O49" s="228">
        <f t="shared" si="0"/>
        <v>0</v>
      </c>
    </row>
    <row r="50" spans="2:15" ht="14.25" x14ac:dyDescent="0.2">
      <c r="B50" s="50"/>
      <c r="C50" s="8"/>
      <c r="D50" s="8"/>
      <c r="E50" s="8"/>
      <c r="F50" s="58">
        <v>613100</v>
      </c>
      <c r="G50" s="69"/>
      <c r="H50" s="9" t="s">
        <v>6</v>
      </c>
      <c r="I50" s="100">
        <v>7000</v>
      </c>
      <c r="J50" s="84">
        <v>0</v>
      </c>
      <c r="K50" s="163">
        <f t="shared" ref="K50:K58" si="22">SUM(I50:J50)</f>
        <v>7000</v>
      </c>
      <c r="L50" s="100"/>
      <c r="M50" s="84"/>
      <c r="N50" s="203">
        <f t="shared" ref="N50:N58" si="23">SUM(L50:M50)</f>
        <v>0</v>
      </c>
      <c r="O50" s="224">
        <f t="shared" si="0"/>
        <v>0</v>
      </c>
    </row>
    <row r="51" spans="2:15" ht="14.25" x14ac:dyDescent="0.2">
      <c r="B51" s="50"/>
      <c r="C51" s="8"/>
      <c r="D51" s="8"/>
      <c r="E51" s="8"/>
      <c r="F51" s="58">
        <v>613200</v>
      </c>
      <c r="G51" s="69"/>
      <c r="H51" s="9" t="s">
        <v>7</v>
      </c>
      <c r="I51" s="100">
        <v>18000</v>
      </c>
      <c r="J51" s="84">
        <v>0</v>
      </c>
      <c r="K51" s="163">
        <f t="shared" si="22"/>
        <v>18000</v>
      </c>
      <c r="L51" s="100"/>
      <c r="M51" s="84"/>
      <c r="N51" s="203">
        <f t="shared" si="23"/>
        <v>0</v>
      </c>
      <c r="O51" s="224">
        <f t="shared" si="0"/>
        <v>0</v>
      </c>
    </row>
    <row r="52" spans="2:15" ht="14.25" x14ac:dyDescent="0.2">
      <c r="B52" s="50"/>
      <c r="C52" s="8"/>
      <c r="D52" s="8"/>
      <c r="E52" s="8"/>
      <c r="F52" s="58">
        <v>613300</v>
      </c>
      <c r="G52" s="69"/>
      <c r="H52" s="9" t="s">
        <v>70</v>
      </c>
      <c r="I52" s="100">
        <v>70000</v>
      </c>
      <c r="J52" s="84">
        <v>0</v>
      </c>
      <c r="K52" s="163">
        <f t="shared" si="22"/>
        <v>70000</v>
      </c>
      <c r="L52" s="100"/>
      <c r="M52" s="84"/>
      <c r="N52" s="203">
        <f t="shared" si="23"/>
        <v>0</v>
      </c>
      <c r="O52" s="224">
        <f t="shared" si="0"/>
        <v>0</v>
      </c>
    </row>
    <row r="53" spans="2:15" ht="14.25" x14ac:dyDescent="0.2">
      <c r="B53" s="50"/>
      <c r="C53" s="8"/>
      <c r="D53" s="8"/>
      <c r="E53" s="8"/>
      <c r="F53" s="58">
        <v>613400</v>
      </c>
      <c r="G53" s="69"/>
      <c r="H53" s="9" t="s">
        <v>59</v>
      </c>
      <c r="I53" s="100">
        <v>14000</v>
      </c>
      <c r="J53" s="84">
        <v>0</v>
      </c>
      <c r="K53" s="163">
        <f t="shared" si="22"/>
        <v>14000</v>
      </c>
      <c r="L53" s="100"/>
      <c r="M53" s="84"/>
      <c r="N53" s="203">
        <f t="shared" si="23"/>
        <v>0</v>
      </c>
      <c r="O53" s="224">
        <f t="shared" si="0"/>
        <v>0</v>
      </c>
    </row>
    <row r="54" spans="2:15" ht="14.25" x14ac:dyDescent="0.2">
      <c r="B54" s="50"/>
      <c r="C54" s="8"/>
      <c r="D54" s="8"/>
      <c r="E54" s="8"/>
      <c r="F54" s="58">
        <v>613500</v>
      </c>
      <c r="G54" s="69"/>
      <c r="H54" s="9" t="s">
        <v>8</v>
      </c>
      <c r="I54" s="100">
        <v>15000</v>
      </c>
      <c r="J54" s="84">
        <v>0</v>
      </c>
      <c r="K54" s="163">
        <f t="shared" si="22"/>
        <v>15000</v>
      </c>
      <c r="L54" s="100"/>
      <c r="M54" s="84"/>
      <c r="N54" s="203">
        <f t="shared" si="23"/>
        <v>0</v>
      </c>
      <c r="O54" s="224">
        <f t="shared" si="0"/>
        <v>0</v>
      </c>
    </row>
    <row r="55" spans="2:15" ht="14.25" x14ac:dyDescent="0.2">
      <c r="B55" s="50"/>
      <c r="C55" s="8"/>
      <c r="D55" s="8"/>
      <c r="E55" s="8"/>
      <c r="F55" s="58">
        <v>613600</v>
      </c>
      <c r="G55" s="69"/>
      <c r="H55" s="9" t="s">
        <v>71</v>
      </c>
      <c r="I55" s="100">
        <v>0</v>
      </c>
      <c r="J55" s="84">
        <v>0</v>
      </c>
      <c r="K55" s="163">
        <f t="shared" si="22"/>
        <v>0</v>
      </c>
      <c r="L55" s="100"/>
      <c r="M55" s="84"/>
      <c r="N55" s="203">
        <f t="shared" si="23"/>
        <v>0</v>
      </c>
      <c r="O55" s="224" t="str">
        <f t="shared" si="0"/>
        <v/>
      </c>
    </row>
    <row r="56" spans="2:15" ht="14.25" x14ac:dyDescent="0.2">
      <c r="B56" s="50"/>
      <c r="C56" s="8"/>
      <c r="D56" s="8"/>
      <c r="E56" s="8"/>
      <c r="F56" s="58">
        <v>613700</v>
      </c>
      <c r="G56" s="69"/>
      <c r="H56" s="9" t="s">
        <v>9</v>
      </c>
      <c r="I56" s="100">
        <v>30000</v>
      </c>
      <c r="J56" s="84">
        <v>0</v>
      </c>
      <c r="K56" s="163">
        <f t="shared" si="22"/>
        <v>30000</v>
      </c>
      <c r="L56" s="100"/>
      <c r="M56" s="84"/>
      <c r="N56" s="203">
        <f t="shared" si="23"/>
        <v>0</v>
      </c>
      <c r="O56" s="224">
        <f t="shared" si="0"/>
        <v>0</v>
      </c>
    </row>
    <row r="57" spans="2:15" ht="14.25" x14ac:dyDescent="0.2">
      <c r="B57" s="50"/>
      <c r="C57" s="8"/>
      <c r="D57" s="8"/>
      <c r="E57" s="8"/>
      <c r="F57" s="58">
        <v>613800</v>
      </c>
      <c r="G57" s="69"/>
      <c r="H57" s="9" t="s">
        <v>60</v>
      </c>
      <c r="I57" s="100">
        <v>7000</v>
      </c>
      <c r="J57" s="84">
        <v>0</v>
      </c>
      <c r="K57" s="163">
        <f t="shared" si="22"/>
        <v>7000</v>
      </c>
      <c r="L57" s="100"/>
      <c r="M57" s="84"/>
      <c r="N57" s="203">
        <f t="shared" si="23"/>
        <v>0</v>
      </c>
      <c r="O57" s="224">
        <f t="shared" ref="O57:O117" si="24">IF(K57=0,"",N57/K57*100)</f>
        <v>0</v>
      </c>
    </row>
    <row r="58" spans="2:15" ht="14.25" x14ac:dyDescent="0.2">
      <c r="B58" s="50"/>
      <c r="C58" s="8"/>
      <c r="D58" s="8"/>
      <c r="E58" s="8"/>
      <c r="F58" s="58">
        <v>613900</v>
      </c>
      <c r="G58" s="69"/>
      <c r="H58" s="9" t="s">
        <v>61</v>
      </c>
      <c r="I58" s="100">
        <v>300000</v>
      </c>
      <c r="J58" s="84">
        <v>0</v>
      </c>
      <c r="K58" s="163">
        <f t="shared" si="22"/>
        <v>300000</v>
      </c>
      <c r="L58" s="100"/>
      <c r="M58" s="84"/>
      <c r="N58" s="203">
        <f t="shared" si="23"/>
        <v>0</v>
      </c>
      <c r="O58" s="224">
        <f t="shared" si="24"/>
        <v>0</v>
      </c>
    </row>
    <row r="59" spans="2:15" ht="14.25" x14ac:dyDescent="0.2">
      <c r="B59" s="51"/>
      <c r="C59" s="4"/>
      <c r="D59" s="4"/>
      <c r="E59" s="135"/>
      <c r="F59" s="66"/>
      <c r="G59" s="78"/>
      <c r="H59" s="10"/>
      <c r="I59" s="116"/>
      <c r="J59" s="54"/>
      <c r="K59" s="164"/>
      <c r="L59" s="116"/>
      <c r="M59" s="54"/>
      <c r="N59" s="204"/>
      <c r="O59" s="224" t="str">
        <f t="shared" si="24"/>
        <v/>
      </c>
    </row>
    <row r="60" spans="2:15" ht="15" x14ac:dyDescent="0.25">
      <c r="B60" s="50"/>
      <c r="C60" s="8"/>
      <c r="D60" s="8"/>
      <c r="E60" s="8"/>
      <c r="F60" s="58"/>
      <c r="G60" s="69"/>
      <c r="H60" s="9"/>
      <c r="I60" s="110"/>
      <c r="J60" s="52"/>
      <c r="K60" s="165"/>
      <c r="L60" s="110"/>
      <c r="M60" s="52"/>
      <c r="N60" s="205"/>
      <c r="O60" s="224" t="str">
        <f t="shared" si="24"/>
        <v/>
      </c>
    </row>
    <row r="61" spans="2:15" ht="15" x14ac:dyDescent="0.25">
      <c r="B61" s="51"/>
      <c r="C61" s="4"/>
      <c r="D61" s="4"/>
      <c r="E61" s="4"/>
      <c r="F61" s="57">
        <v>821000</v>
      </c>
      <c r="G61" s="68"/>
      <c r="H61" s="10" t="s">
        <v>12</v>
      </c>
      <c r="I61" s="110">
        <f t="shared" ref="I61" si="25">I62+I63+I64</f>
        <v>55000</v>
      </c>
      <c r="J61" s="52">
        <f t="shared" ref="J61:N61" si="26">J62+J63+J64</f>
        <v>0</v>
      </c>
      <c r="K61" s="165">
        <f t="shared" si="26"/>
        <v>55000</v>
      </c>
      <c r="L61" s="110">
        <f t="shared" si="26"/>
        <v>0</v>
      </c>
      <c r="M61" s="52">
        <f t="shared" si="26"/>
        <v>0</v>
      </c>
      <c r="N61" s="205">
        <f t="shared" si="26"/>
        <v>0</v>
      </c>
      <c r="O61" s="228">
        <f t="shared" si="24"/>
        <v>0</v>
      </c>
    </row>
    <row r="62" spans="2:15" ht="14.25" x14ac:dyDescent="0.2">
      <c r="B62" s="50"/>
      <c r="C62" s="8"/>
      <c r="D62" s="8"/>
      <c r="E62" s="8"/>
      <c r="F62" s="58">
        <v>821200</v>
      </c>
      <c r="G62" s="69"/>
      <c r="H62" s="9" t="s">
        <v>13</v>
      </c>
      <c r="I62" s="116">
        <v>5000</v>
      </c>
      <c r="J62" s="54">
        <v>0</v>
      </c>
      <c r="K62" s="163">
        <f t="shared" ref="K62:K63" si="27">SUM(I62:J62)</f>
        <v>5000</v>
      </c>
      <c r="L62" s="116"/>
      <c r="M62" s="54"/>
      <c r="N62" s="203">
        <f t="shared" ref="N62:N63" si="28">SUM(L62:M62)</f>
        <v>0</v>
      </c>
      <c r="O62" s="224">
        <f t="shared" si="24"/>
        <v>0</v>
      </c>
    </row>
    <row r="63" spans="2:15" ht="14.25" x14ac:dyDescent="0.2">
      <c r="B63" s="50"/>
      <c r="C63" s="8"/>
      <c r="D63" s="8"/>
      <c r="E63" s="8"/>
      <c r="F63" s="58">
        <v>821300</v>
      </c>
      <c r="G63" s="69"/>
      <c r="H63" s="9" t="s">
        <v>14</v>
      </c>
      <c r="I63" s="116">
        <v>50000</v>
      </c>
      <c r="J63" s="54">
        <v>0</v>
      </c>
      <c r="K63" s="163">
        <f t="shared" si="27"/>
        <v>50000</v>
      </c>
      <c r="L63" s="116"/>
      <c r="M63" s="54"/>
      <c r="N63" s="203">
        <f t="shared" si="28"/>
        <v>0</v>
      </c>
      <c r="O63" s="224">
        <f t="shared" si="24"/>
        <v>0</v>
      </c>
    </row>
    <row r="64" spans="2:15" ht="14.25" x14ac:dyDescent="0.2">
      <c r="B64" s="50"/>
      <c r="C64" s="8"/>
      <c r="D64" s="8"/>
      <c r="E64" s="8"/>
      <c r="F64" s="58">
        <v>821500</v>
      </c>
      <c r="G64" s="69"/>
      <c r="H64" s="144" t="s">
        <v>82</v>
      </c>
      <c r="I64" s="116">
        <v>0</v>
      </c>
      <c r="J64" s="54">
        <v>0</v>
      </c>
      <c r="K64" s="163">
        <f t="shared" ref="K64" si="29">SUM(I64:J64)</f>
        <v>0</v>
      </c>
      <c r="L64" s="116"/>
      <c r="M64" s="54"/>
      <c r="N64" s="203">
        <f t="shared" ref="N64" si="30">SUM(L64:M64)</f>
        <v>0</v>
      </c>
      <c r="O64" s="224" t="str">
        <f t="shared" ref="O64" si="31">IF(K64=0,"",N64/K64*100)</f>
        <v/>
      </c>
    </row>
    <row r="65" spans="2:15" ht="14.25" x14ac:dyDescent="0.2">
      <c r="B65" s="50"/>
      <c r="C65" s="8"/>
      <c r="D65" s="8"/>
      <c r="E65" s="8"/>
      <c r="F65" s="58"/>
      <c r="G65" s="69"/>
      <c r="H65" s="9"/>
      <c r="I65" s="116"/>
      <c r="J65" s="54"/>
      <c r="K65" s="164"/>
      <c r="L65" s="116"/>
      <c r="M65" s="54"/>
      <c r="N65" s="204"/>
      <c r="O65" s="224" t="str">
        <f t="shared" si="24"/>
        <v/>
      </c>
    </row>
    <row r="66" spans="2:15" ht="15" x14ac:dyDescent="0.25">
      <c r="B66" s="51"/>
      <c r="C66" s="4"/>
      <c r="D66" s="4"/>
      <c r="E66" s="4"/>
      <c r="F66" s="57"/>
      <c r="G66" s="68"/>
      <c r="H66" s="10" t="s">
        <v>15</v>
      </c>
      <c r="I66" s="111">
        <v>42</v>
      </c>
      <c r="J66" s="47"/>
      <c r="K66" s="166">
        <v>42</v>
      </c>
      <c r="L66" s="111"/>
      <c r="M66" s="47"/>
      <c r="N66" s="206"/>
      <c r="O66" s="224"/>
    </row>
    <row r="67" spans="2:15" ht="15" x14ac:dyDescent="0.25">
      <c r="B67" s="51"/>
      <c r="C67" s="4"/>
      <c r="D67" s="4"/>
      <c r="E67" s="4"/>
      <c r="F67" s="57"/>
      <c r="G67" s="68"/>
      <c r="H67" s="4" t="s">
        <v>24</v>
      </c>
      <c r="I67" s="110">
        <f t="shared" ref="I67:N67" si="32">I42+I46+I49+I61</f>
        <v>2550010</v>
      </c>
      <c r="J67" s="52">
        <f t="shared" si="32"/>
        <v>0</v>
      </c>
      <c r="K67" s="165">
        <f t="shared" si="32"/>
        <v>2550010</v>
      </c>
      <c r="L67" s="110">
        <f t="shared" si="32"/>
        <v>0</v>
      </c>
      <c r="M67" s="52">
        <f t="shared" si="32"/>
        <v>0</v>
      </c>
      <c r="N67" s="205">
        <f t="shared" si="32"/>
        <v>0</v>
      </c>
      <c r="O67" s="228">
        <f t="shared" si="24"/>
        <v>0</v>
      </c>
    </row>
    <row r="68" spans="2:15" ht="15" x14ac:dyDescent="0.25">
      <c r="B68" s="51"/>
      <c r="C68" s="4"/>
      <c r="D68" s="4"/>
      <c r="E68" s="4"/>
      <c r="F68" s="57"/>
      <c r="G68" s="68"/>
      <c r="H68" s="4" t="s">
        <v>16</v>
      </c>
      <c r="I68" s="110">
        <f t="shared" ref="I68:N68" si="33">I67</f>
        <v>2550010</v>
      </c>
      <c r="J68" s="52">
        <f t="shared" si="33"/>
        <v>0</v>
      </c>
      <c r="K68" s="165">
        <f t="shared" si="33"/>
        <v>2550010</v>
      </c>
      <c r="L68" s="110">
        <f t="shared" si="33"/>
        <v>0</v>
      </c>
      <c r="M68" s="52">
        <f t="shared" si="33"/>
        <v>0</v>
      </c>
      <c r="N68" s="205">
        <f t="shared" si="33"/>
        <v>0</v>
      </c>
      <c r="O68" s="228">
        <f t="shared" si="24"/>
        <v>0</v>
      </c>
    </row>
    <row r="69" spans="2:15" ht="14.25" x14ac:dyDescent="0.2">
      <c r="B69" s="51"/>
      <c r="C69" s="4"/>
      <c r="D69" s="4"/>
      <c r="E69" s="4"/>
      <c r="F69" s="57"/>
      <c r="G69" s="68"/>
      <c r="H69" s="4" t="s">
        <v>17</v>
      </c>
      <c r="I69" s="108"/>
      <c r="J69" s="46"/>
      <c r="K69" s="164"/>
      <c r="L69" s="108"/>
      <c r="M69" s="46"/>
      <c r="N69" s="204"/>
      <c r="O69" s="224" t="str">
        <f t="shared" si="24"/>
        <v/>
      </c>
    </row>
    <row r="70" spans="2:15" ht="15" thickBot="1" x14ac:dyDescent="0.25">
      <c r="B70" s="6"/>
      <c r="C70" s="7"/>
      <c r="D70" s="7"/>
      <c r="E70" s="7"/>
      <c r="F70" s="59"/>
      <c r="G70" s="70"/>
      <c r="H70" s="7"/>
      <c r="I70" s="112"/>
      <c r="J70" s="13"/>
      <c r="K70" s="90"/>
      <c r="L70" s="112"/>
      <c r="M70" s="13"/>
      <c r="N70" s="207"/>
      <c r="O70" s="227" t="str">
        <f t="shared" si="24"/>
        <v/>
      </c>
    </row>
    <row r="71" spans="2:15" x14ac:dyDescent="0.2">
      <c r="O71" s="230" t="str">
        <f t="shared" si="24"/>
        <v/>
      </c>
    </row>
    <row r="72" spans="2:15" ht="15" x14ac:dyDescent="0.25">
      <c r="B72" s="2" t="s">
        <v>36</v>
      </c>
      <c r="C72" s="3" t="s">
        <v>38</v>
      </c>
      <c r="D72" s="3" t="s">
        <v>4</v>
      </c>
      <c r="E72" s="136" t="s">
        <v>140</v>
      </c>
      <c r="F72" s="49"/>
      <c r="G72" s="49"/>
      <c r="H72" s="182" t="s">
        <v>377</v>
      </c>
      <c r="I72" s="115"/>
      <c r="J72" s="23"/>
      <c r="K72" s="168"/>
      <c r="L72" s="115"/>
      <c r="M72" s="23"/>
      <c r="N72" s="217"/>
      <c r="O72" s="224" t="str">
        <f t="shared" si="24"/>
        <v/>
      </c>
    </row>
    <row r="73" spans="2:15" ht="15" x14ac:dyDescent="0.25">
      <c r="B73" s="51"/>
      <c r="C73" s="4"/>
      <c r="D73" s="4"/>
      <c r="E73" s="4"/>
      <c r="F73" s="57">
        <v>611000</v>
      </c>
      <c r="G73" s="68"/>
      <c r="H73" s="10" t="s">
        <v>57</v>
      </c>
      <c r="I73" s="106">
        <f>I74+I75</f>
        <v>58100</v>
      </c>
      <c r="J73" s="32">
        <f t="shared" ref="J73:N73" si="34">SUM(J74:J76)</f>
        <v>0</v>
      </c>
      <c r="K73" s="162">
        <f t="shared" si="34"/>
        <v>58100</v>
      </c>
      <c r="L73" s="106">
        <f t="shared" si="34"/>
        <v>0</v>
      </c>
      <c r="M73" s="32">
        <f t="shared" si="34"/>
        <v>0</v>
      </c>
      <c r="N73" s="202">
        <f t="shared" si="34"/>
        <v>0</v>
      </c>
      <c r="O73" s="228">
        <f t="shared" si="24"/>
        <v>0</v>
      </c>
    </row>
    <row r="74" spans="2:15" ht="14.25" x14ac:dyDescent="0.2">
      <c r="B74" s="50"/>
      <c r="C74" s="8"/>
      <c r="D74" s="8"/>
      <c r="E74" s="8"/>
      <c r="F74" s="58">
        <v>611100</v>
      </c>
      <c r="G74" s="69"/>
      <c r="H74" s="9" t="s">
        <v>68</v>
      </c>
      <c r="I74" s="119">
        <f>49850+2850</f>
        <v>52700</v>
      </c>
      <c r="J74" s="34">
        <v>0</v>
      </c>
      <c r="K74" s="163">
        <f>SUM(I74:J74)</f>
        <v>52700</v>
      </c>
      <c r="L74" s="119"/>
      <c r="M74" s="34"/>
      <c r="N74" s="203">
        <f>SUM(L74:M74)</f>
        <v>0</v>
      </c>
      <c r="O74" s="224">
        <f t="shared" si="24"/>
        <v>0</v>
      </c>
    </row>
    <row r="75" spans="2:15" ht="14.25" x14ac:dyDescent="0.2">
      <c r="B75" s="50"/>
      <c r="C75" s="8"/>
      <c r="D75" s="8"/>
      <c r="E75" s="8"/>
      <c r="F75" s="58">
        <v>611200</v>
      </c>
      <c r="G75" s="69"/>
      <c r="H75" s="9" t="s">
        <v>69</v>
      </c>
      <c r="I75" s="119">
        <f>5400</f>
        <v>5400</v>
      </c>
      <c r="J75" s="34">
        <v>0</v>
      </c>
      <c r="K75" s="163">
        <f t="shared" ref="K75" si="35">SUM(I75:J75)</f>
        <v>5400</v>
      </c>
      <c r="L75" s="119"/>
      <c r="M75" s="34"/>
      <c r="N75" s="203">
        <f t="shared" ref="N75" si="36">SUM(L75:M75)</f>
        <v>0</v>
      </c>
      <c r="O75" s="224">
        <f t="shared" si="24"/>
        <v>0</v>
      </c>
    </row>
    <row r="76" spans="2:15" ht="14.25" x14ac:dyDescent="0.2">
      <c r="B76" s="50"/>
      <c r="C76" s="8"/>
      <c r="D76" s="8"/>
      <c r="E76" s="8"/>
      <c r="F76" s="58"/>
      <c r="G76" s="69"/>
      <c r="H76" s="9"/>
      <c r="I76" s="119"/>
      <c r="J76" s="34"/>
      <c r="K76" s="163"/>
      <c r="L76" s="119"/>
      <c r="M76" s="34"/>
      <c r="N76" s="203"/>
      <c r="O76" s="224" t="str">
        <f t="shared" si="24"/>
        <v/>
      </c>
    </row>
    <row r="77" spans="2:15" ht="15" x14ac:dyDescent="0.25">
      <c r="B77" s="51"/>
      <c r="C77" s="4"/>
      <c r="D77" s="4"/>
      <c r="E77" s="4"/>
      <c r="F77" s="57">
        <v>612000</v>
      </c>
      <c r="G77" s="68"/>
      <c r="H77" s="10" t="s">
        <v>56</v>
      </c>
      <c r="I77" s="106">
        <f>I78</f>
        <v>2650</v>
      </c>
      <c r="J77" s="32">
        <f t="shared" ref="J77:N77" si="37">J78</f>
        <v>0</v>
      </c>
      <c r="K77" s="162">
        <f t="shared" si="37"/>
        <v>2650</v>
      </c>
      <c r="L77" s="106">
        <f t="shared" si="37"/>
        <v>0</v>
      </c>
      <c r="M77" s="32">
        <f t="shared" si="37"/>
        <v>0</v>
      </c>
      <c r="N77" s="202">
        <f t="shared" si="37"/>
        <v>0</v>
      </c>
      <c r="O77" s="228">
        <f t="shared" si="24"/>
        <v>0</v>
      </c>
    </row>
    <row r="78" spans="2:15" ht="14.25" x14ac:dyDescent="0.2">
      <c r="B78" s="50"/>
      <c r="C78" s="8"/>
      <c r="D78" s="8"/>
      <c r="E78" s="8"/>
      <c r="F78" s="58">
        <v>612100</v>
      </c>
      <c r="G78" s="69"/>
      <c r="H78" s="145" t="s">
        <v>5</v>
      </c>
      <c r="I78" s="119">
        <f>2500+150</f>
        <v>2650</v>
      </c>
      <c r="J78" s="34">
        <v>0</v>
      </c>
      <c r="K78" s="163">
        <f>SUM(I78:J78)</f>
        <v>2650</v>
      </c>
      <c r="L78" s="119"/>
      <c r="M78" s="34"/>
      <c r="N78" s="203">
        <f>SUM(L78:M78)</f>
        <v>0</v>
      </c>
      <c r="O78" s="224">
        <f t="shared" si="24"/>
        <v>0</v>
      </c>
    </row>
    <row r="79" spans="2:15" ht="14.25" x14ac:dyDescent="0.2">
      <c r="B79" s="50"/>
      <c r="C79" s="8"/>
      <c r="D79" s="8"/>
      <c r="E79" s="8"/>
      <c r="F79" s="58"/>
      <c r="G79" s="69"/>
      <c r="H79" s="9"/>
      <c r="I79" s="116"/>
      <c r="J79" s="54"/>
      <c r="K79" s="164"/>
      <c r="L79" s="116"/>
      <c r="M79" s="54"/>
      <c r="N79" s="204"/>
      <c r="O79" s="224" t="str">
        <f t="shared" si="24"/>
        <v/>
      </c>
    </row>
    <row r="80" spans="2:15" ht="15" x14ac:dyDescent="0.25">
      <c r="B80" s="51"/>
      <c r="C80" s="4"/>
      <c r="D80" s="4"/>
      <c r="E80" s="4"/>
      <c r="F80" s="57">
        <v>613000</v>
      </c>
      <c r="G80" s="68"/>
      <c r="H80" s="10" t="s">
        <v>58</v>
      </c>
      <c r="I80" s="109">
        <f>SUM(I81:I89)</f>
        <v>3500</v>
      </c>
      <c r="J80" s="55">
        <f t="shared" ref="J80:N80" si="38">SUM(J81:J89)</f>
        <v>0</v>
      </c>
      <c r="K80" s="165">
        <f t="shared" si="38"/>
        <v>3500</v>
      </c>
      <c r="L80" s="109">
        <f t="shared" si="38"/>
        <v>0</v>
      </c>
      <c r="M80" s="55">
        <f t="shared" si="38"/>
        <v>0</v>
      </c>
      <c r="N80" s="205">
        <f t="shared" si="38"/>
        <v>0</v>
      </c>
      <c r="O80" s="228">
        <f t="shared" si="24"/>
        <v>0</v>
      </c>
    </row>
    <row r="81" spans="2:15" ht="14.25" x14ac:dyDescent="0.2">
      <c r="B81" s="50"/>
      <c r="C81" s="8"/>
      <c r="D81" s="8"/>
      <c r="E81" s="8"/>
      <c r="F81" s="58">
        <v>613100</v>
      </c>
      <c r="G81" s="69"/>
      <c r="H81" s="9" t="s">
        <v>6</v>
      </c>
      <c r="I81" s="100">
        <v>500</v>
      </c>
      <c r="J81" s="84">
        <v>0</v>
      </c>
      <c r="K81" s="163">
        <f t="shared" ref="K81:K89" si="39">SUM(I81:J81)</f>
        <v>500</v>
      </c>
      <c r="L81" s="100"/>
      <c r="M81" s="84"/>
      <c r="N81" s="203">
        <f t="shared" ref="N81:N89" si="40">SUM(L81:M81)</f>
        <v>0</v>
      </c>
      <c r="O81" s="224">
        <f t="shared" si="24"/>
        <v>0</v>
      </c>
    </row>
    <row r="82" spans="2:15" ht="14.25" x14ac:dyDescent="0.2">
      <c r="B82" s="50"/>
      <c r="C82" s="8"/>
      <c r="D82" s="8"/>
      <c r="E82" s="8"/>
      <c r="F82" s="58">
        <v>613200</v>
      </c>
      <c r="G82" s="69"/>
      <c r="H82" s="9" t="s">
        <v>7</v>
      </c>
      <c r="I82" s="100">
        <v>0</v>
      </c>
      <c r="J82" s="84">
        <v>0</v>
      </c>
      <c r="K82" s="163">
        <f t="shared" si="39"/>
        <v>0</v>
      </c>
      <c r="L82" s="100"/>
      <c r="M82" s="84"/>
      <c r="N82" s="203">
        <f t="shared" si="40"/>
        <v>0</v>
      </c>
      <c r="O82" s="224" t="str">
        <f t="shared" si="24"/>
        <v/>
      </c>
    </row>
    <row r="83" spans="2:15" ht="14.25" x14ac:dyDescent="0.2">
      <c r="B83" s="50"/>
      <c r="C83" s="8"/>
      <c r="D83" s="8"/>
      <c r="E83" s="8"/>
      <c r="F83" s="58">
        <v>613300</v>
      </c>
      <c r="G83" s="69"/>
      <c r="H83" s="9" t="s">
        <v>70</v>
      </c>
      <c r="I83" s="100">
        <v>1000</v>
      </c>
      <c r="J83" s="84">
        <v>0</v>
      </c>
      <c r="K83" s="163">
        <f t="shared" si="39"/>
        <v>1000</v>
      </c>
      <c r="L83" s="100"/>
      <c r="M83" s="84"/>
      <c r="N83" s="203">
        <f t="shared" si="40"/>
        <v>0</v>
      </c>
      <c r="O83" s="224">
        <f t="shared" si="24"/>
        <v>0</v>
      </c>
    </row>
    <row r="84" spans="2:15" ht="14.25" x14ac:dyDescent="0.2">
      <c r="B84" s="50"/>
      <c r="C84" s="8"/>
      <c r="D84" s="8"/>
      <c r="E84" s="8"/>
      <c r="F84" s="58">
        <v>613400</v>
      </c>
      <c r="G84" s="69"/>
      <c r="H84" s="9" t="s">
        <v>59</v>
      </c>
      <c r="I84" s="100">
        <v>1000</v>
      </c>
      <c r="J84" s="84">
        <v>0</v>
      </c>
      <c r="K84" s="163">
        <f t="shared" si="39"/>
        <v>1000</v>
      </c>
      <c r="L84" s="100"/>
      <c r="M84" s="84"/>
      <c r="N84" s="203">
        <f t="shared" si="40"/>
        <v>0</v>
      </c>
      <c r="O84" s="224">
        <f t="shared" si="24"/>
        <v>0</v>
      </c>
    </row>
    <row r="85" spans="2:15" ht="14.25" x14ac:dyDescent="0.2">
      <c r="B85" s="50"/>
      <c r="C85" s="8"/>
      <c r="D85" s="8"/>
      <c r="E85" s="8"/>
      <c r="F85" s="58">
        <v>613500</v>
      </c>
      <c r="G85" s="69"/>
      <c r="H85" s="9" t="s">
        <v>8</v>
      </c>
      <c r="I85" s="100">
        <v>0</v>
      </c>
      <c r="J85" s="84">
        <v>0</v>
      </c>
      <c r="K85" s="163">
        <f t="shared" si="39"/>
        <v>0</v>
      </c>
      <c r="L85" s="100"/>
      <c r="M85" s="84"/>
      <c r="N85" s="203">
        <f t="shared" si="40"/>
        <v>0</v>
      </c>
      <c r="O85" s="224" t="str">
        <f t="shared" si="24"/>
        <v/>
      </c>
    </row>
    <row r="86" spans="2:15" ht="14.25" x14ac:dyDescent="0.2">
      <c r="B86" s="50"/>
      <c r="C86" s="8"/>
      <c r="D86" s="8"/>
      <c r="E86" s="8"/>
      <c r="F86" s="58">
        <v>613600</v>
      </c>
      <c r="G86" s="69"/>
      <c r="H86" s="9" t="s">
        <v>71</v>
      </c>
      <c r="I86" s="100">
        <v>0</v>
      </c>
      <c r="J86" s="84">
        <v>0</v>
      </c>
      <c r="K86" s="163">
        <f t="shared" si="39"/>
        <v>0</v>
      </c>
      <c r="L86" s="100"/>
      <c r="M86" s="84"/>
      <c r="N86" s="203">
        <f t="shared" si="40"/>
        <v>0</v>
      </c>
      <c r="O86" s="224" t="str">
        <f t="shared" si="24"/>
        <v/>
      </c>
    </row>
    <row r="87" spans="2:15" ht="14.25" x14ac:dyDescent="0.2">
      <c r="B87" s="50"/>
      <c r="C87" s="8"/>
      <c r="D87" s="8"/>
      <c r="E87" s="8"/>
      <c r="F87" s="58">
        <v>613700</v>
      </c>
      <c r="G87" s="69"/>
      <c r="H87" s="9" t="s">
        <v>9</v>
      </c>
      <c r="I87" s="100">
        <v>0</v>
      </c>
      <c r="J87" s="84">
        <v>0</v>
      </c>
      <c r="K87" s="163">
        <f t="shared" si="39"/>
        <v>0</v>
      </c>
      <c r="L87" s="100"/>
      <c r="M87" s="84"/>
      <c r="N87" s="203">
        <f t="shared" si="40"/>
        <v>0</v>
      </c>
      <c r="O87" s="224" t="str">
        <f t="shared" si="24"/>
        <v/>
      </c>
    </row>
    <row r="88" spans="2:15" ht="14.25" x14ac:dyDescent="0.2">
      <c r="B88" s="50"/>
      <c r="C88" s="8"/>
      <c r="D88" s="8"/>
      <c r="E88" s="8"/>
      <c r="F88" s="58">
        <v>613800</v>
      </c>
      <c r="G88" s="69"/>
      <c r="H88" s="9" t="s">
        <v>60</v>
      </c>
      <c r="I88" s="100">
        <v>0</v>
      </c>
      <c r="J88" s="84">
        <v>0</v>
      </c>
      <c r="K88" s="163">
        <f t="shared" si="39"/>
        <v>0</v>
      </c>
      <c r="L88" s="100"/>
      <c r="M88" s="84"/>
      <c r="N88" s="203">
        <f t="shared" si="40"/>
        <v>0</v>
      </c>
      <c r="O88" s="224" t="str">
        <f t="shared" si="24"/>
        <v/>
      </c>
    </row>
    <row r="89" spans="2:15" ht="14.25" x14ac:dyDescent="0.2">
      <c r="B89" s="50"/>
      <c r="C89" s="8"/>
      <c r="D89" s="8"/>
      <c r="E89" s="8"/>
      <c r="F89" s="58">
        <v>613900</v>
      </c>
      <c r="G89" s="69"/>
      <c r="H89" s="9" t="s">
        <v>61</v>
      </c>
      <c r="I89" s="100">
        <v>1000</v>
      </c>
      <c r="J89" s="84">
        <v>0</v>
      </c>
      <c r="K89" s="163">
        <f t="shared" si="39"/>
        <v>1000</v>
      </c>
      <c r="L89" s="100"/>
      <c r="M89" s="84"/>
      <c r="N89" s="203">
        <f t="shared" si="40"/>
        <v>0</v>
      </c>
      <c r="O89" s="224">
        <f t="shared" si="24"/>
        <v>0</v>
      </c>
    </row>
    <row r="90" spans="2:15" ht="14.25" x14ac:dyDescent="0.2">
      <c r="B90" s="51"/>
      <c r="C90" s="4"/>
      <c r="D90" s="4"/>
      <c r="E90" s="135"/>
      <c r="F90" s="66"/>
      <c r="G90" s="78"/>
      <c r="H90" s="10"/>
      <c r="I90" s="100"/>
      <c r="J90" s="84"/>
      <c r="K90" s="151"/>
      <c r="L90" s="100"/>
      <c r="M90" s="84"/>
      <c r="N90" s="218"/>
      <c r="O90" s="224" t="str">
        <f t="shared" si="24"/>
        <v/>
      </c>
    </row>
    <row r="91" spans="2:15" ht="15" x14ac:dyDescent="0.25">
      <c r="B91" s="51"/>
      <c r="C91" s="4"/>
      <c r="D91" s="4"/>
      <c r="E91" s="4"/>
      <c r="F91" s="57">
        <v>821000</v>
      </c>
      <c r="G91" s="68"/>
      <c r="H91" s="10" t="s">
        <v>12</v>
      </c>
      <c r="I91" s="110">
        <f t="shared" ref="I91" si="41">SUM(I92:I93)</f>
        <v>1000</v>
      </c>
      <c r="J91" s="52">
        <f t="shared" ref="J91" si="42">SUM(J92:J93)</f>
        <v>0</v>
      </c>
      <c r="K91" s="170">
        <f>SUM(K92:K93)</f>
        <v>1000</v>
      </c>
      <c r="L91" s="110">
        <f t="shared" ref="L91:M91" si="43">SUM(L92:L93)</f>
        <v>0</v>
      </c>
      <c r="M91" s="52">
        <f t="shared" si="43"/>
        <v>0</v>
      </c>
      <c r="N91" s="219">
        <f>SUM(N92:N93)</f>
        <v>0</v>
      </c>
      <c r="O91" s="228">
        <f t="shared" si="24"/>
        <v>0</v>
      </c>
    </row>
    <row r="92" spans="2:15" ht="14.25" x14ac:dyDescent="0.2">
      <c r="B92" s="50"/>
      <c r="C92" s="8"/>
      <c r="D92" s="8"/>
      <c r="E92" s="8"/>
      <c r="F92" s="58">
        <v>821200</v>
      </c>
      <c r="G92" s="69"/>
      <c r="H92" s="9" t="s">
        <v>13</v>
      </c>
      <c r="I92" s="100">
        <v>0</v>
      </c>
      <c r="J92" s="84">
        <v>0</v>
      </c>
      <c r="K92" s="163">
        <f t="shared" ref="K92:K93" si="44">SUM(I92:J92)</f>
        <v>0</v>
      </c>
      <c r="L92" s="100"/>
      <c r="M92" s="84"/>
      <c r="N92" s="203">
        <f t="shared" ref="N92:N93" si="45">SUM(L92:M92)</f>
        <v>0</v>
      </c>
      <c r="O92" s="224" t="str">
        <f t="shared" si="24"/>
        <v/>
      </c>
    </row>
    <row r="93" spans="2:15" ht="14.25" x14ac:dyDescent="0.2">
      <c r="B93" s="50"/>
      <c r="C93" s="8"/>
      <c r="D93" s="8"/>
      <c r="E93" s="8"/>
      <c r="F93" s="58">
        <v>821300</v>
      </c>
      <c r="G93" s="69"/>
      <c r="H93" s="9" t="s">
        <v>14</v>
      </c>
      <c r="I93" s="100">
        <v>1000</v>
      </c>
      <c r="J93" s="84">
        <v>0</v>
      </c>
      <c r="K93" s="163">
        <f t="shared" si="44"/>
        <v>1000</v>
      </c>
      <c r="L93" s="100"/>
      <c r="M93" s="84"/>
      <c r="N93" s="203">
        <f t="shared" si="45"/>
        <v>0</v>
      </c>
      <c r="O93" s="224">
        <f t="shared" si="24"/>
        <v>0</v>
      </c>
    </row>
    <row r="94" spans="2:15" ht="14.25" x14ac:dyDescent="0.2">
      <c r="B94" s="50"/>
      <c r="C94" s="8"/>
      <c r="D94" s="8"/>
      <c r="E94" s="8"/>
      <c r="F94" s="58"/>
      <c r="G94" s="69"/>
      <c r="H94" s="9"/>
      <c r="I94" s="116"/>
      <c r="J94" s="54"/>
      <c r="K94" s="164"/>
      <c r="L94" s="116"/>
      <c r="M94" s="54"/>
      <c r="N94" s="204"/>
      <c r="O94" s="224" t="str">
        <f t="shared" si="24"/>
        <v/>
      </c>
    </row>
    <row r="95" spans="2:15" ht="15" x14ac:dyDescent="0.25">
      <c r="B95" s="51"/>
      <c r="C95" s="4"/>
      <c r="D95" s="4"/>
      <c r="E95" s="4"/>
      <c r="F95" s="57"/>
      <c r="G95" s="68"/>
      <c r="H95" s="10" t="s">
        <v>15</v>
      </c>
      <c r="I95" s="110">
        <v>1</v>
      </c>
      <c r="J95" s="52"/>
      <c r="K95" s="165">
        <v>1</v>
      </c>
      <c r="L95" s="110"/>
      <c r="M95" s="52"/>
      <c r="N95" s="205"/>
      <c r="O95" s="224"/>
    </row>
    <row r="96" spans="2:15" ht="15" x14ac:dyDescent="0.25">
      <c r="B96" s="51"/>
      <c r="C96" s="4"/>
      <c r="D96" s="4"/>
      <c r="E96" s="4"/>
      <c r="F96" s="57"/>
      <c r="G96" s="68"/>
      <c r="H96" s="4" t="s">
        <v>24</v>
      </c>
      <c r="I96" s="110">
        <f t="shared" ref="I96:N96" si="46">I73+I77+I80+I91</f>
        <v>65250</v>
      </c>
      <c r="J96" s="52">
        <f t="shared" si="46"/>
        <v>0</v>
      </c>
      <c r="K96" s="165">
        <f t="shared" si="46"/>
        <v>65250</v>
      </c>
      <c r="L96" s="110">
        <f t="shared" si="46"/>
        <v>0</v>
      </c>
      <c r="M96" s="52">
        <f t="shared" si="46"/>
        <v>0</v>
      </c>
      <c r="N96" s="205">
        <f t="shared" si="46"/>
        <v>0</v>
      </c>
      <c r="O96" s="228">
        <f t="shared" si="24"/>
        <v>0</v>
      </c>
    </row>
    <row r="97" spans="2:15" ht="15" x14ac:dyDescent="0.25">
      <c r="B97" s="51"/>
      <c r="C97" s="4"/>
      <c r="D97" s="4"/>
      <c r="E97" s="4"/>
      <c r="F97" s="57"/>
      <c r="G97" s="68"/>
      <c r="H97" s="4" t="s">
        <v>16</v>
      </c>
      <c r="I97" s="110"/>
      <c r="J97" s="52"/>
      <c r="K97" s="165"/>
      <c r="L97" s="110"/>
      <c r="M97" s="52"/>
      <c r="N97" s="205"/>
      <c r="O97" s="224" t="str">
        <f t="shared" si="24"/>
        <v/>
      </c>
    </row>
    <row r="98" spans="2:15" ht="14.25" x14ac:dyDescent="0.2">
      <c r="B98" s="51"/>
      <c r="C98" s="4"/>
      <c r="D98" s="4"/>
      <c r="E98" s="4"/>
      <c r="F98" s="57"/>
      <c r="G98" s="68"/>
      <c r="H98" s="4" t="s">
        <v>17</v>
      </c>
      <c r="I98" s="108"/>
      <c r="J98" s="46"/>
      <c r="K98" s="164"/>
      <c r="L98" s="108"/>
      <c r="M98" s="46"/>
      <c r="N98" s="204"/>
      <c r="O98" s="224" t="str">
        <f t="shared" si="24"/>
        <v/>
      </c>
    </row>
    <row r="99" spans="2:15" ht="15" thickBot="1" x14ac:dyDescent="0.25">
      <c r="B99" s="6"/>
      <c r="C99" s="7"/>
      <c r="D99" s="7"/>
      <c r="E99" s="7"/>
      <c r="F99" s="59"/>
      <c r="G99" s="70"/>
      <c r="H99" s="7"/>
      <c r="I99" s="112"/>
      <c r="J99" s="13"/>
      <c r="K99" s="167"/>
      <c r="L99" s="112"/>
      <c r="M99" s="13"/>
      <c r="N99" s="207"/>
      <c r="O99" s="227" t="str">
        <f t="shared" si="24"/>
        <v/>
      </c>
    </row>
    <row r="100" spans="2:15" x14ac:dyDescent="0.2">
      <c r="O100" s="230" t="str">
        <f t="shared" si="24"/>
        <v/>
      </c>
    </row>
    <row r="101" spans="2:15" ht="15" x14ac:dyDescent="0.25">
      <c r="B101" s="2" t="s">
        <v>36</v>
      </c>
      <c r="C101" s="3" t="s">
        <v>38</v>
      </c>
      <c r="D101" s="3" t="s">
        <v>27</v>
      </c>
      <c r="E101" s="136" t="s">
        <v>140</v>
      </c>
      <c r="F101" s="49"/>
      <c r="G101" s="49"/>
      <c r="H101" s="182" t="s">
        <v>179</v>
      </c>
      <c r="I101" s="115"/>
      <c r="J101" s="23"/>
      <c r="K101" s="168"/>
      <c r="L101" s="115"/>
      <c r="M101" s="23"/>
      <c r="N101" s="217"/>
      <c r="O101" s="224" t="str">
        <f t="shared" si="24"/>
        <v/>
      </c>
    </row>
    <row r="102" spans="2:15" ht="15" x14ac:dyDescent="0.25">
      <c r="B102" s="51"/>
      <c r="C102" s="4"/>
      <c r="D102" s="4"/>
      <c r="E102" s="4"/>
      <c r="F102" s="57">
        <v>611000</v>
      </c>
      <c r="G102" s="68"/>
      <c r="H102" s="10" t="s">
        <v>57</v>
      </c>
      <c r="I102" s="106">
        <f>SUM(I103:I105)</f>
        <v>90320</v>
      </c>
      <c r="J102" s="32">
        <f t="shared" ref="J102:N102" si="47">SUM(J103:J105)</f>
        <v>0</v>
      </c>
      <c r="K102" s="162">
        <f t="shared" si="47"/>
        <v>90320</v>
      </c>
      <c r="L102" s="106">
        <f t="shared" si="47"/>
        <v>0</v>
      </c>
      <c r="M102" s="32">
        <f t="shared" si="47"/>
        <v>0</v>
      </c>
      <c r="N102" s="202">
        <f t="shared" si="47"/>
        <v>0</v>
      </c>
      <c r="O102" s="228">
        <f t="shared" si="24"/>
        <v>0</v>
      </c>
    </row>
    <row r="103" spans="2:15" ht="14.25" x14ac:dyDescent="0.2">
      <c r="B103" s="50"/>
      <c r="C103" s="8"/>
      <c r="D103" s="8"/>
      <c r="E103" s="8"/>
      <c r="F103" s="58">
        <v>611100</v>
      </c>
      <c r="G103" s="69"/>
      <c r="H103" s="9" t="s">
        <v>68</v>
      </c>
      <c r="I103" s="119">
        <f>102660-12*2500+5700</f>
        <v>78360</v>
      </c>
      <c r="J103" s="34">
        <v>0</v>
      </c>
      <c r="K103" s="163">
        <f>SUM(I103:J103)</f>
        <v>78360</v>
      </c>
      <c r="L103" s="119"/>
      <c r="M103" s="34"/>
      <c r="N103" s="203">
        <f>SUM(L103:M103)</f>
        <v>0</v>
      </c>
      <c r="O103" s="224">
        <f t="shared" si="24"/>
        <v>0</v>
      </c>
    </row>
    <row r="104" spans="2:15" ht="14.25" x14ac:dyDescent="0.2">
      <c r="B104" s="50"/>
      <c r="C104" s="8"/>
      <c r="D104" s="8"/>
      <c r="E104" s="8"/>
      <c r="F104" s="58">
        <v>611200</v>
      </c>
      <c r="G104" s="69"/>
      <c r="H104" s="9" t="s">
        <v>69</v>
      </c>
      <c r="I104" s="119">
        <f>16510-850-3700</f>
        <v>11960</v>
      </c>
      <c r="J104" s="34">
        <v>0</v>
      </c>
      <c r="K104" s="163">
        <f t="shared" ref="K104" si="48">SUM(I104:J104)</f>
        <v>11960</v>
      </c>
      <c r="L104" s="119"/>
      <c r="M104" s="34"/>
      <c r="N104" s="203">
        <f t="shared" ref="N104" si="49">SUM(L104:M104)</f>
        <v>0</v>
      </c>
      <c r="O104" s="224">
        <f t="shared" si="24"/>
        <v>0</v>
      </c>
    </row>
    <row r="105" spans="2:15" ht="14.25" x14ac:dyDescent="0.2">
      <c r="B105" s="50"/>
      <c r="C105" s="8"/>
      <c r="D105" s="8"/>
      <c r="E105" s="8"/>
      <c r="F105" s="58"/>
      <c r="G105" s="69"/>
      <c r="H105" s="9"/>
      <c r="I105" s="119"/>
      <c r="J105" s="34"/>
      <c r="K105" s="163"/>
      <c r="L105" s="119"/>
      <c r="M105" s="34"/>
      <c r="N105" s="203"/>
      <c r="O105" s="224" t="str">
        <f t="shared" si="24"/>
        <v/>
      </c>
    </row>
    <row r="106" spans="2:15" ht="15" x14ac:dyDescent="0.25">
      <c r="B106" s="51"/>
      <c r="C106" s="4"/>
      <c r="D106" s="4"/>
      <c r="E106" s="4"/>
      <c r="F106" s="57">
        <v>612000</v>
      </c>
      <c r="G106" s="68"/>
      <c r="H106" s="10" t="s">
        <v>56</v>
      </c>
      <c r="I106" s="106">
        <f t="shared" ref="I106" si="50">I107</f>
        <v>3890</v>
      </c>
      <c r="J106" s="32">
        <f t="shared" ref="J106:N106" si="51">J107</f>
        <v>0</v>
      </c>
      <c r="K106" s="162">
        <f t="shared" si="51"/>
        <v>3890</v>
      </c>
      <c r="L106" s="106">
        <f t="shared" si="51"/>
        <v>0</v>
      </c>
      <c r="M106" s="32">
        <f t="shared" si="51"/>
        <v>0</v>
      </c>
      <c r="N106" s="202">
        <f t="shared" si="51"/>
        <v>0</v>
      </c>
      <c r="O106" s="228">
        <f t="shared" si="24"/>
        <v>0</v>
      </c>
    </row>
    <row r="107" spans="2:15" ht="14.25" x14ac:dyDescent="0.2">
      <c r="B107" s="50"/>
      <c r="C107" s="8"/>
      <c r="D107" s="8"/>
      <c r="E107" s="8"/>
      <c r="F107" s="58">
        <v>612100</v>
      </c>
      <c r="G107" s="69"/>
      <c r="H107" s="145" t="s">
        <v>5</v>
      </c>
      <c r="I107" s="119">
        <f>5110-12*125+280</f>
        <v>3890</v>
      </c>
      <c r="J107" s="34">
        <v>0</v>
      </c>
      <c r="K107" s="163">
        <f>SUM(I107:J107)</f>
        <v>3890</v>
      </c>
      <c r="L107" s="119"/>
      <c r="M107" s="34"/>
      <c r="N107" s="203">
        <f>SUM(L107:M107)</f>
        <v>0</v>
      </c>
      <c r="O107" s="224">
        <f t="shared" si="24"/>
        <v>0</v>
      </c>
    </row>
    <row r="108" spans="2:15" ht="14.25" x14ac:dyDescent="0.2">
      <c r="B108" s="50"/>
      <c r="C108" s="8"/>
      <c r="D108" s="8"/>
      <c r="E108" s="8"/>
      <c r="F108" s="58"/>
      <c r="G108" s="69"/>
      <c r="H108" s="9"/>
      <c r="I108" s="116"/>
      <c r="J108" s="54"/>
      <c r="K108" s="164"/>
      <c r="L108" s="116"/>
      <c r="M108" s="54"/>
      <c r="N108" s="204"/>
      <c r="O108" s="224" t="str">
        <f t="shared" si="24"/>
        <v/>
      </c>
    </row>
    <row r="109" spans="2:15" ht="15" x14ac:dyDescent="0.25">
      <c r="B109" s="51"/>
      <c r="C109" s="4"/>
      <c r="D109" s="4"/>
      <c r="E109" s="4"/>
      <c r="F109" s="57">
        <v>613000</v>
      </c>
      <c r="G109" s="68"/>
      <c r="H109" s="10" t="s">
        <v>58</v>
      </c>
      <c r="I109" s="109">
        <f>SUM(I110:I118)</f>
        <v>6400</v>
      </c>
      <c r="J109" s="55">
        <f t="shared" ref="J109:N109" si="52">SUM(J110:J118)</f>
        <v>0</v>
      </c>
      <c r="K109" s="165">
        <f t="shared" si="52"/>
        <v>6400</v>
      </c>
      <c r="L109" s="109">
        <f t="shared" si="52"/>
        <v>0</v>
      </c>
      <c r="M109" s="55">
        <f t="shared" si="52"/>
        <v>0</v>
      </c>
      <c r="N109" s="205">
        <f t="shared" si="52"/>
        <v>0</v>
      </c>
      <c r="O109" s="228">
        <f t="shared" si="24"/>
        <v>0</v>
      </c>
    </row>
    <row r="110" spans="2:15" ht="14.25" x14ac:dyDescent="0.2">
      <c r="B110" s="50"/>
      <c r="C110" s="8"/>
      <c r="D110" s="8"/>
      <c r="E110" s="8"/>
      <c r="F110" s="58">
        <v>613100</v>
      </c>
      <c r="G110" s="69"/>
      <c r="H110" s="9" t="s">
        <v>6</v>
      </c>
      <c r="I110" s="100">
        <v>1300</v>
      </c>
      <c r="J110" s="84">
        <v>0</v>
      </c>
      <c r="K110" s="163">
        <f t="shared" ref="K110:K118" si="53">SUM(I110:J110)</f>
        <v>1300</v>
      </c>
      <c r="L110" s="100"/>
      <c r="M110" s="84"/>
      <c r="N110" s="203">
        <f t="shared" ref="N110:N118" si="54">SUM(L110:M110)</f>
        <v>0</v>
      </c>
      <c r="O110" s="224">
        <f t="shared" si="24"/>
        <v>0</v>
      </c>
    </row>
    <row r="111" spans="2:15" ht="14.25" x14ac:dyDescent="0.2">
      <c r="B111" s="50"/>
      <c r="C111" s="8"/>
      <c r="D111" s="8"/>
      <c r="E111" s="8"/>
      <c r="F111" s="58">
        <v>613200</v>
      </c>
      <c r="G111" s="69"/>
      <c r="H111" s="9" t="s">
        <v>7</v>
      </c>
      <c r="I111" s="100">
        <v>0</v>
      </c>
      <c r="J111" s="84">
        <v>0</v>
      </c>
      <c r="K111" s="163">
        <f t="shared" si="53"/>
        <v>0</v>
      </c>
      <c r="L111" s="100"/>
      <c r="M111" s="84"/>
      <c r="N111" s="203">
        <f t="shared" si="54"/>
        <v>0</v>
      </c>
      <c r="O111" s="224" t="str">
        <f t="shared" si="24"/>
        <v/>
      </c>
    </row>
    <row r="112" spans="2:15" ht="14.25" x14ac:dyDescent="0.2">
      <c r="B112" s="50"/>
      <c r="C112" s="8"/>
      <c r="D112" s="8"/>
      <c r="E112" s="8"/>
      <c r="F112" s="58">
        <v>613300</v>
      </c>
      <c r="G112" s="69"/>
      <c r="H112" s="9" t="s">
        <v>70</v>
      </c>
      <c r="I112" s="100">
        <v>1200</v>
      </c>
      <c r="J112" s="84">
        <v>0</v>
      </c>
      <c r="K112" s="163">
        <f t="shared" si="53"/>
        <v>1200</v>
      </c>
      <c r="L112" s="100"/>
      <c r="M112" s="84"/>
      <c r="N112" s="203">
        <f t="shared" si="54"/>
        <v>0</v>
      </c>
      <c r="O112" s="224">
        <f t="shared" si="24"/>
        <v>0</v>
      </c>
    </row>
    <row r="113" spans="2:15" ht="14.25" x14ac:dyDescent="0.2">
      <c r="B113" s="50"/>
      <c r="C113" s="8"/>
      <c r="D113" s="8"/>
      <c r="E113" s="8"/>
      <c r="F113" s="58">
        <v>613400</v>
      </c>
      <c r="G113" s="69"/>
      <c r="H113" s="9" t="s">
        <v>59</v>
      </c>
      <c r="I113" s="100">
        <v>1500</v>
      </c>
      <c r="J113" s="84">
        <v>0</v>
      </c>
      <c r="K113" s="163">
        <f t="shared" si="53"/>
        <v>1500</v>
      </c>
      <c r="L113" s="100"/>
      <c r="M113" s="84"/>
      <c r="N113" s="203">
        <f t="shared" si="54"/>
        <v>0</v>
      </c>
      <c r="O113" s="224">
        <f t="shared" si="24"/>
        <v>0</v>
      </c>
    </row>
    <row r="114" spans="2:15" ht="14.25" x14ac:dyDescent="0.2">
      <c r="B114" s="50"/>
      <c r="C114" s="8"/>
      <c r="D114" s="8"/>
      <c r="E114" s="8"/>
      <c r="F114" s="58">
        <v>613500</v>
      </c>
      <c r="G114" s="69"/>
      <c r="H114" s="9" t="s">
        <v>8</v>
      </c>
      <c r="I114" s="100">
        <v>0</v>
      </c>
      <c r="J114" s="84">
        <v>0</v>
      </c>
      <c r="K114" s="163">
        <f t="shared" si="53"/>
        <v>0</v>
      </c>
      <c r="L114" s="100"/>
      <c r="M114" s="84"/>
      <c r="N114" s="203">
        <f t="shared" si="54"/>
        <v>0</v>
      </c>
      <c r="O114" s="224" t="str">
        <f t="shared" si="24"/>
        <v/>
      </c>
    </row>
    <row r="115" spans="2:15" ht="14.25" x14ac:dyDescent="0.2">
      <c r="B115" s="50"/>
      <c r="C115" s="8"/>
      <c r="D115" s="8"/>
      <c r="E115" s="8"/>
      <c r="F115" s="58">
        <v>613600</v>
      </c>
      <c r="G115" s="69"/>
      <c r="H115" s="9" t="s">
        <v>71</v>
      </c>
      <c r="I115" s="100">
        <v>0</v>
      </c>
      <c r="J115" s="84">
        <v>0</v>
      </c>
      <c r="K115" s="163">
        <f t="shared" si="53"/>
        <v>0</v>
      </c>
      <c r="L115" s="100"/>
      <c r="M115" s="84"/>
      <c r="N115" s="203">
        <f t="shared" si="54"/>
        <v>0</v>
      </c>
      <c r="O115" s="224" t="str">
        <f t="shared" si="24"/>
        <v/>
      </c>
    </row>
    <row r="116" spans="2:15" ht="14.25" x14ac:dyDescent="0.2">
      <c r="B116" s="50"/>
      <c r="C116" s="8"/>
      <c r="D116" s="8"/>
      <c r="E116" s="8"/>
      <c r="F116" s="58">
        <v>613700</v>
      </c>
      <c r="G116" s="69"/>
      <c r="H116" s="9" t="s">
        <v>9</v>
      </c>
      <c r="I116" s="100">
        <v>1200</v>
      </c>
      <c r="J116" s="84">
        <v>0</v>
      </c>
      <c r="K116" s="163">
        <f t="shared" si="53"/>
        <v>1200</v>
      </c>
      <c r="L116" s="100"/>
      <c r="M116" s="84"/>
      <c r="N116" s="203">
        <f t="shared" si="54"/>
        <v>0</v>
      </c>
      <c r="O116" s="224">
        <f t="shared" si="24"/>
        <v>0</v>
      </c>
    </row>
    <row r="117" spans="2:15" ht="14.25" x14ac:dyDescent="0.2">
      <c r="B117" s="50"/>
      <c r="C117" s="8"/>
      <c r="D117" s="8"/>
      <c r="E117" s="8"/>
      <c r="F117" s="58">
        <v>613800</v>
      </c>
      <c r="G117" s="69"/>
      <c r="H117" s="9" t="s">
        <v>60</v>
      </c>
      <c r="I117" s="100">
        <v>0</v>
      </c>
      <c r="J117" s="84">
        <v>0</v>
      </c>
      <c r="K117" s="163">
        <f t="shared" si="53"/>
        <v>0</v>
      </c>
      <c r="L117" s="100"/>
      <c r="M117" s="84"/>
      <c r="N117" s="203">
        <f t="shared" si="54"/>
        <v>0</v>
      </c>
      <c r="O117" s="224" t="str">
        <f t="shared" si="24"/>
        <v/>
      </c>
    </row>
    <row r="118" spans="2:15" ht="14.25" x14ac:dyDescent="0.2">
      <c r="B118" s="50"/>
      <c r="C118" s="8"/>
      <c r="D118" s="8"/>
      <c r="E118" s="8"/>
      <c r="F118" s="58">
        <v>613900</v>
      </c>
      <c r="G118" s="69"/>
      <c r="H118" s="9" t="s">
        <v>61</v>
      </c>
      <c r="I118" s="100">
        <v>1200</v>
      </c>
      <c r="J118" s="84">
        <v>0</v>
      </c>
      <c r="K118" s="163">
        <f t="shared" si="53"/>
        <v>1200</v>
      </c>
      <c r="L118" s="100"/>
      <c r="M118" s="84"/>
      <c r="N118" s="203">
        <f t="shared" si="54"/>
        <v>0</v>
      </c>
      <c r="O118" s="224">
        <f t="shared" ref="O118:O176" si="55">IF(K118=0,"",N118/K118*100)</f>
        <v>0</v>
      </c>
    </row>
    <row r="119" spans="2:15" ht="14.25" x14ac:dyDescent="0.2">
      <c r="B119" s="51"/>
      <c r="C119" s="4"/>
      <c r="D119" s="4"/>
      <c r="E119" s="135"/>
      <c r="F119" s="66"/>
      <c r="G119" s="78"/>
      <c r="H119" s="10"/>
      <c r="I119" s="116"/>
      <c r="J119" s="54"/>
      <c r="K119" s="164"/>
      <c r="L119" s="116"/>
      <c r="M119" s="54"/>
      <c r="N119" s="204"/>
      <c r="O119" s="224" t="str">
        <f t="shared" si="55"/>
        <v/>
      </c>
    </row>
    <row r="120" spans="2:15" ht="15" x14ac:dyDescent="0.25">
      <c r="B120" s="51"/>
      <c r="C120" s="4"/>
      <c r="D120" s="4"/>
      <c r="E120" s="4"/>
      <c r="F120" s="57">
        <v>821000</v>
      </c>
      <c r="G120" s="68"/>
      <c r="H120" s="10" t="s">
        <v>12</v>
      </c>
      <c r="I120" s="110">
        <f t="shared" ref="I120" si="56">SUM(I121:I122)</f>
        <v>2000</v>
      </c>
      <c r="J120" s="52">
        <f t="shared" ref="J120:N120" si="57">SUM(J121:J122)</f>
        <v>0</v>
      </c>
      <c r="K120" s="165">
        <f t="shared" si="57"/>
        <v>2000</v>
      </c>
      <c r="L120" s="110">
        <f t="shared" si="57"/>
        <v>0</v>
      </c>
      <c r="M120" s="52">
        <f t="shared" si="57"/>
        <v>0</v>
      </c>
      <c r="N120" s="205">
        <f t="shared" si="57"/>
        <v>0</v>
      </c>
      <c r="O120" s="228">
        <f t="shared" si="55"/>
        <v>0</v>
      </c>
    </row>
    <row r="121" spans="2:15" ht="14.25" x14ac:dyDescent="0.2">
      <c r="B121" s="50"/>
      <c r="C121" s="8"/>
      <c r="D121" s="8"/>
      <c r="E121" s="8"/>
      <c r="F121" s="58">
        <v>821200</v>
      </c>
      <c r="G121" s="69"/>
      <c r="H121" s="9" t="s">
        <v>13</v>
      </c>
      <c r="I121" s="116">
        <v>0</v>
      </c>
      <c r="J121" s="54">
        <v>0</v>
      </c>
      <c r="K121" s="163">
        <f t="shared" ref="K121:K122" si="58">SUM(I121:J121)</f>
        <v>0</v>
      </c>
      <c r="L121" s="116"/>
      <c r="M121" s="54"/>
      <c r="N121" s="203">
        <f t="shared" ref="N121:N122" si="59">SUM(L121:M121)</f>
        <v>0</v>
      </c>
      <c r="O121" s="224" t="str">
        <f t="shared" si="55"/>
        <v/>
      </c>
    </row>
    <row r="122" spans="2:15" ht="14.25" x14ac:dyDescent="0.2">
      <c r="B122" s="50"/>
      <c r="C122" s="8"/>
      <c r="D122" s="8"/>
      <c r="E122" s="8"/>
      <c r="F122" s="58">
        <v>821300</v>
      </c>
      <c r="G122" s="69"/>
      <c r="H122" s="9" t="s">
        <v>14</v>
      </c>
      <c r="I122" s="116">
        <v>2000</v>
      </c>
      <c r="J122" s="54">
        <v>0</v>
      </c>
      <c r="K122" s="163">
        <f t="shared" si="58"/>
        <v>2000</v>
      </c>
      <c r="L122" s="116"/>
      <c r="M122" s="54"/>
      <c r="N122" s="203">
        <f t="shared" si="59"/>
        <v>0</v>
      </c>
      <c r="O122" s="224">
        <f t="shared" si="55"/>
        <v>0</v>
      </c>
    </row>
    <row r="123" spans="2:15" ht="14.25" x14ac:dyDescent="0.2">
      <c r="B123" s="50"/>
      <c r="C123" s="8"/>
      <c r="D123" s="8"/>
      <c r="E123" s="8"/>
      <c r="F123" s="58"/>
      <c r="G123" s="69"/>
      <c r="H123" s="9"/>
      <c r="I123" s="116"/>
      <c r="J123" s="54"/>
      <c r="K123" s="164"/>
      <c r="L123" s="116"/>
      <c r="M123" s="54"/>
      <c r="N123" s="204"/>
      <c r="O123" s="224" t="str">
        <f t="shared" si="55"/>
        <v/>
      </c>
    </row>
    <row r="124" spans="2:15" ht="15" x14ac:dyDescent="0.25">
      <c r="B124" s="51"/>
      <c r="C124" s="4"/>
      <c r="D124" s="4"/>
      <c r="E124" s="4"/>
      <c r="F124" s="57"/>
      <c r="G124" s="68"/>
      <c r="H124" s="10" t="s">
        <v>15</v>
      </c>
      <c r="I124" s="110">
        <v>2</v>
      </c>
      <c r="J124" s="52"/>
      <c r="K124" s="165">
        <v>2</v>
      </c>
      <c r="L124" s="110"/>
      <c r="M124" s="52"/>
      <c r="N124" s="205"/>
      <c r="O124" s="224"/>
    </row>
    <row r="125" spans="2:15" ht="15" x14ac:dyDescent="0.25">
      <c r="B125" s="51"/>
      <c r="C125" s="4"/>
      <c r="D125" s="4"/>
      <c r="E125" s="4"/>
      <c r="F125" s="57"/>
      <c r="G125" s="68"/>
      <c r="H125" s="4" t="s">
        <v>24</v>
      </c>
      <c r="I125" s="110">
        <f t="shared" ref="I125:N125" si="60">I102+I106+I109+I120</f>
        <v>102610</v>
      </c>
      <c r="J125" s="52">
        <f t="shared" si="60"/>
        <v>0</v>
      </c>
      <c r="K125" s="165">
        <f t="shared" si="60"/>
        <v>102610</v>
      </c>
      <c r="L125" s="110">
        <f t="shared" si="60"/>
        <v>0</v>
      </c>
      <c r="M125" s="52">
        <f t="shared" si="60"/>
        <v>0</v>
      </c>
      <c r="N125" s="205">
        <f t="shared" si="60"/>
        <v>0</v>
      </c>
      <c r="O125" s="228">
        <f t="shared" si="55"/>
        <v>0</v>
      </c>
    </row>
    <row r="126" spans="2:15" ht="15" x14ac:dyDescent="0.25">
      <c r="B126" s="51"/>
      <c r="C126" s="4"/>
      <c r="D126" s="4"/>
      <c r="E126" s="4"/>
      <c r="F126" s="57"/>
      <c r="G126" s="68"/>
      <c r="H126" s="4" t="s">
        <v>16</v>
      </c>
      <c r="I126" s="110">
        <f t="shared" ref="I126:N126" si="61">I125+I96</f>
        <v>167860</v>
      </c>
      <c r="J126" s="52">
        <f t="shared" si="61"/>
        <v>0</v>
      </c>
      <c r="K126" s="165">
        <f t="shared" si="61"/>
        <v>167860</v>
      </c>
      <c r="L126" s="110">
        <f t="shared" si="61"/>
        <v>0</v>
      </c>
      <c r="M126" s="52">
        <f t="shared" si="61"/>
        <v>0</v>
      </c>
      <c r="N126" s="205">
        <f t="shared" si="61"/>
        <v>0</v>
      </c>
      <c r="O126" s="228">
        <f t="shared" si="55"/>
        <v>0</v>
      </c>
    </row>
    <row r="127" spans="2:15" ht="15" x14ac:dyDescent="0.25">
      <c r="B127" s="51"/>
      <c r="C127" s="4"/>
      <c r="D127" s="4"/>
      <c r="E127" s="4"/>
      <c r="F127" s="57"/>
      <c r="G127" s="68"/>
      <c r="H127" s="4" t="s">
        <v>17</v>
      </c>
      <c r="I127" s="110"/>
      <c r="J127" s="52"/>
      <c r="K127" s="165"/>
      <c r="L127" s="110"/>
      <c r="M127" s="52"/>
      <c r="N127" s="205"/>
      <c r="O127" s="224" t="str">
        <f t="shared" si="55"/>
        <v/>
      </c>
    </row>
    <row r="128" spans="2:15" ht="15" thickBot="1" x14ac:dyDescent="0.25">
      <c r="B128" s="6"/>
      <c r="C128" s="7"/>
      <c r="D128" s="7"/>
      <c r="E128" s="7"/>
      <c r="F128" s="59"/>
      <c r="G128" s="70"/>
      <c r="H128" s="7"/>
      <c r="I128" s="112"/>
      <c r="J128" s="13"/>
      <c r="K128" s="167"/>
      <c r="L128" s="112"/>
      <c r="M128" s="13"/>
      <c r="N128" s="207"/>
      <c r="O128" s="227" t="str">
        <f t="shared" si="55"/>
        <v/>
      </c>
    </row>
    <row r="129" spans="2:15" x14ac:dyDescent="0.2">
      <c r="O129" s="230" t="str">
        <f t="shared" si="55"/>
        <v/>
      </c>
    </row>
    <row r="130" spans="2:15" ht="15" x14ac:dyDescent="0.25">
      <c r="B130" s="2" t="s">
        <v>36</v>
      </c>
      <c r="C130" s="3" t="s">
        <v>67</v>
      </c>
      <c r="D130" s="3" t="s">
        <v>4</v>
      </c>
      <c r="E130" s="136" t="s">
        <v>140</v>
      </c>
      <c r="F130" s="49"/>
      <c r="G130" s="49"/>
      <c r="H130" s="182" t="s">
        <v>189</v>
      </c>
      <c r="I130" s="115"/>
      <c r="J130" s="23"/>
      <c r="K130" s="168"/>
      <c r="L130" s="115"/>
      <c r="M130" s="23"/>
      <c r="N130" s="217"/>
      <c r="O130" s="224" t="str">
        <f t="shared" si="55"/>
        <v/>
      </c>
    </row>
    <row r="131" spans="2:15" ht="15" x14ac:dyDescent="0.25">
      <c r="B131" s="51"/>
      <c r="C131" s="4"/>
      <c r="D131" s="4"/>
      <c r="E131" s="4"/>
      <c r="F131" s="57">
        <v>611000</v>
      </c>
      <c r="G131" s="68"/>
      <c r="H131" s="10" t="s">
        <v>57</v>
      </c>
      <c r="I131" s="106">
        <f>SUM(I132:I134)</f>
        <v>114360</v>
      </c>
      <c r="J131" s="32">
        <f t="shared" ref="J131:N131" si="62">SUM(J132:J134)</f>
        <v>0</v>
      </c>
      <c r="K131" s="162">
        <f t="shared" si="62"/>
        <v>114360</v>
      </c>
      <c r="L131" s="106">
        <f t="shared" si="62"/>
        <v>0</v>
      </c>
      <c r="M131" s="32">
        <f t="shared" si="62"/>
        <v>0</v>
      </c>
      <c r="N131" s="202">
        <f t="shared" si="62"/>
        <v>0</v>
      </c>
      <c r="O131" s="228">
        <f t="shared" si="55"/>
        <v>0</v>
      </c>
    </row>
    <row r="132" spans="2:15" ht="14.25" x14ac:dyDescent="0.2">
      <c r="B132" s="50"/>
      <c r="C132" s="8"/>
      <c r="D132" s="8"/>
      <c r="E132" s="8"/>
      <c r="F132" s="58">
        <v>611100</v>
      </c>
      <c r="G132" s="69"/>
      <c r="H132" s="9" t="s">
        <v>68</v>
      </c>
      <c r="I132" s="119">
        <f>85440+12*800+4870</f>
        <v>99910</v>
      </c>
      <c r="J132" s="34">
        <v>0</v>
      </c>
      <c r="K132" s="163">
        <f>SUM(I132:J132)</f>
        <v>99910</v>
      </c>
      <c r="L132" s="119"/>
      <c r="M132" s="34"/>
      <c r="N132" s="203">
        <f>SUM(L132:M132)</f>
        <v>0</v>
      </c>
      <c r="O132" s="224">
        <f t="shared" si="55"/>
        <v>0</v>
      </c>
    </row>
    <row r="133" spans="2:15" ht="14.25" x14ac:dyDescent="0.2">
      <c r="B133" s="50"/>
      <c r="C133" s="8"/>
      <c r="D133" s="8"/>
      <c r="E133" s="8"/>
      <c r="F133" s="58">
        <v>611200</v>
      </c>
      <c r="G133" s="69"/>
      <c r="H133" s="9" t="s">
        <v>69</v>
      </c>
      <c r="I133" s="119">
        <f>14450</f>
        <v>14450</v>
      </c>
      <c r="J133" s="34">
        <v>0</v>
      </c>
      <c r="K133" s="163">
        <f t="shared" ref="K133" si="63">SUM(I133:J133)</f>
        <v>14450</v>
      </c>
      <c r="L133" s="119"/>
      <c r="M133" s="34"/>
      <c r="N133" s="203">
        <f t="shared" ref="N133" si="64">SUM(L133:M133)</f>
        <v>0</v>
      </c>
      <c r="O133" s="224">
        <f t="shared" si="55"/>
        <v>0</v>
      </c>
    </row>
    <row r="134" spans="2:15" ht="14.25" x14ac:dyDescent="0.2">
      <c r="B134" s="50"/>
      <c r="C134" s="8"/>
      <c r="D134" s="8"/>
      <c r="E134" s="8"/>
      <c r="F134" s="58"/>
      <c r="G134" s="69"/>
      <c r="H134" s="9"/>
      <c r="I134" s="119"/>
      <c r="J134" s="34"/>
      <c r="K134" s="163"/>
      <c r="L134" s="119"/>
      <c r="M134" s="34"/>
      <c r="N134" s="203"/>
      <c r="O134" s="224" t="str">
        <f t="shared" si="55"/>
        <v/>
      </c>
    </row>
    <row r="135" spans="2:15" ht="15" x14ac:dyDescent="0.25">
      <c r="B135" s="51"/>
      <c r="C135" s="4"/>
      <c r="D135" s="4"/>
      <c r="E135" s="4"/>
      <c r="F135" s="57">
        <v>612000</v>
      </c>
      <c r="G135" s="68"/>
      <c r="H135" s="10" t="s">
        <v>56</v>
      </c>
      <c r="I135" s="106">
        <f t="shared" ref="I135" si="65">I136</f>
        <v>5530</v>
      </c>
      <c r="J135" s="32">
        <f t="shared" ref="J135:N135" si="66">J136</f>
        <v>0</v>
      </c>
      <c r="K135" s="162">
        <f t="shared" si="66"/>
        <v>5530</v>
      </c>
      <c r="L135" s="106">
        <f t="shared" si="66"/>
        <v>0</v>
      </c>
      <c r="M135" s="32">
        <f t="shared" si="66"/>
        <v>0</v>
      </c>
      <c r="N135" s="202">
        <f t="shared" si="66"/>
        <v>0</v>
      </c>
      <c r="O135" s="228">
        <f t="shared" si="55"/>
        <v>0</v>
      </c>
    </row>
    <row r="136" spans="2:15" ht="14.25" x14ac:dyDescent="0.2">
      <c r="B136" s="50"/>
      <c r="C136" s="8"/>
      <c r="D136" s="8"/>
      <c r="E136" s="8"/>
      <c r="F136" s="58">
        <v>612100</v>
      </c>
      <c r="G136" s="69"/>
      <c r="H136" s="145" t="s">
        <v>5</v>
      </c>
      <c r="I136" s="119">
        <f>4770+12*40+280</f>
        <v>5530</v>
      </c>
      <c r="J136" s="34">
        <v>0</v>
      </c>
      <c r="K136" s="163">
        <f>SUM(I136:J136)</f>
        <v>5530</v>
      </c>
      <c r="L136" s="119"/>
      <c r="M136" s="34"/>
      <c r="N136" s="203">
        <f>SUM(L136:M136)</f>
        <v>0</v>
      </c>
      <c r="O136" s="224">
        <f t="shared" si="55"/>
        <v>0</v>
      </c>
    </row>
    <row r="137" spans="2:15" ht="14.25" x14ac:dyDescent="0.2">
      <c r="B137" s="50"/>
      <c r="C137" s="8"/>
      <c r="D137" s="8"/>
      <c r="E137" s="8"/>
      <c r="F137" s="58"/>
      <c r="G137" s="69"/>
      <c r="H137" s="9"/>
      <c r="I137" s="116"/>
      <c r="J137" s="54"/>
      <c r="K137" s="164"/>
      <c r="L137" s="116"/>
      <c r="M137" s="54"/>
      <c r="N137" s="204"/>
      <c r="O137" s="224" t="str">
        <f t="shared" si="55"/>
        <v/>
      </c>
    </row>
    <row r="138" spans="2:15" ht="15" x14ac:dyDescent="0.25">
      <c r="B138" s="51"/>
      <c r="C138" s="4"/>
      <c r="D138" s="4"/>
      <c r="E138" s="4"/>
      <c r="F138" s="57">
        <v>613000</v>
      </c>
      <c r="G138" s="68"/>
      <c r="H138" s="10" t="s">
        <v>58</v>
      </c>
      <c r="I138" s="109">
        <f>SUM(I139:I147)</f>
        <v>8700</v>
      </c>
      <c r="J138" s="55">
        <f t="shared" ref="J138:N138" si="67">SUM(J139:J147)</f>
        <v>0</v>
      </c>
      <c r="K138" s="165">
        <f t="shared" si="67"/>
        <v>8700</v>
      </c>
      <c r="L138" s="109">
        <f t="shared" si="67"/>
        <v>0</v>
      </c>
      <c r="M138" s="55">
        <f t="shared" si="67"/>
        <v>0</v>
      </c>
      <c r="N138" s="205">
        <f t="shared" si="67"/>
        <v>0</v>
      </c>
      <c r="O138" s="228">
        <f t="shared" si="55"/>
        <v>0</v>
      </c>
    </row>
    <row r="139" spans="2:15" ht="14.25" x14ac:dyDescent="0.2">
      <c r="B139" s="50"/>
      <c r="C139" s="8"/>
      <c r="D139" s="8"/>
      <c r="E139" s="8"/>
      <c r="F139" s="58">
        <v>613100</v>
      </c>
      <c r="G139" s="69"/>
      <c r="H139" s="9" t="s">
        <v>6</v>
      </c>
      <c r="I139" s="100">
        <v>1600</v>
      </c>
      <c r="J139" s="84">
        <v>0</v>
      </c>
      <c r="K139" s="163">
        <f t="shared" ref="K139:K147" si="68">SUM(I139:J139)</f>
        <v>1600</v>
      </c>
      <c r="L139" s="100"/>
      <c r="M139" s="84"/>
      <c r="N139" s="203">
        <f t="shared" ref="N139:N147" si="69">SUM(L139:M139)</f>
        <v>0</v>
      </c>
      <c r="O139" s="224">
        <f t="shared" si="55"/>
        <v>0</v>
      </c>
    </row>
    <row r="140" spans="2:15" ht="14.25" x14ac:dyDescent="0.2">
      <c r="B140" s="50"/>
      <c r="C140" s="8"/>
      <c r="D140" s="8"/>
      <c r="E140" s="8"/>
      <c r="F140" s="58">
        <v>613200</v>
      </c>
      <c r="G140" s="69"/>
      <c r="H140" s="9" t="s">
        <v>7</v>
      </c>
      <c r="I140" s="100">
        <v>0</v>
      </c>
      <c r="J140" s="84">
        <v>0</v>
      </c>
      <c r="K140" s="163">
        <f t="shared" si="68"/>
        <v>0</v>
      </c>
      <c r="L140" s="100"/>
      <c r="M140" s="84"/>
      <c r="N140" s="203">
        <f t="shared" si="69"/>
        <v>0</v>
      </c>
      <c r="O140" s="224" t="str">
        <f t="shared" si="55"/>
        <v/>
      </c>
    </row>
    <row r="141" spans="2:15" ht="14.25" x14ac:dyDescent="0.2">
      <c r="B141" s="50"/>
      <c r="C141" s="8"/>
      <c r="D141" s="8"/>
      <c r="E141" s="8"/>
      <c r="F141" s="58">
        <v>613300</v>
      </c>
      <c r="G141" s="69"/>
      <c r="H141" s="9" t="s">
        <v>70</v>
      </c>
      <c r="I141" s="100">
        <v>2300</v>
      </c>
      <c r="J141" s="84">
        <v>0</v>
      </c>
      <c r="K141" s="163">
        <f t="shared" si="68"/>
        <v>2300</v>
      </c>
      <c r="L141" s="100"/>
      <c r="M141" s="84"/>
      <c r="N141" s="203">
        <f t="shared" si="69"/>
        <v>0</v>
      </c>
      <c r="O141" s="224">
        <f t="shared" si="55"/>
        <v>0</v>
      </c>
    </row>
    <row r="142" spans="2:15" ht="14.25" x14ac:dyDescent="0.2">
      <c r="B142" s="50"/>
      <c r="C142" s="8"/>
      <c r="D142" s="8"/>
      <c r="E142" s="8"/>
      <c r="F142" s="58">
        <v>613400</v>
      </c>
      <c r="G142" s="69"/>
      <c r="H142" s="9" t="s">
        <v>59</v>
      </c>
      <c r="I142" s="100">
        <v>1300</v>
      </c>
      <c r="J142" s="84">
        <v>0</v>
      </c>
      <c r="K142" s="163">
        <f t="shared" si="68"/>
        <v>1300</v>
      </c>
      <c r="L142" s="100"/>
      <c r="M142" s="84"/>
      <c r="N142" s="203">
        <f t="shared" si="69"/>
        <v>0</v>
      </c>
      <c r="O142" s="224">
        <f t="shared" si="55"/>
        <v>0</v>
      </c>
    </row>
    <row r="143" spans="2:15" ht="14.25" x14ac:dyDescent="0.2">
      <c r="B143" s="50"/>
      <c r="C143" s="8"/>
      <c r="D143" s="8"/>
      <c r="E143" s="8"/>
      <c r="F143" s="58">
        <v>613500</v>
      </c>
      <c r="G143" s="69"/>
      <c r="H143" s="9" t="s">
        <v>8</v>
      </c>
      <c r="I143" s="100">
        <v>0</v>
      </c>
      <c r="J143" s="84">
        <v>0</v>
      </c>
      <c r="K143" s="163">
        <f t="shared" si="68"/>
        <v>0</v>
      </c>
      <c r="L143" s="100"/>
      <c r="M143" s="84"/>
      <c r="N143" s="203">
        <f t="shared" si="69"/>
        <v>0</v>
      </c>
      <c r="O143" s="224" t="str">
        <f t="shared" si="55"/>
        <v/>
      </c>
    </row>
    <row r="144" spans="2:15" ht="14.25" x14ac:dyDescent="0.2">
      <c r="B144" s="50"/>
      <c r="C144" s="8"/>
      <c r="D144" s="8"/>
      <c r="E144" s="8"/>
      <c r="F144" s="58">
        <v>613600</v>
      </c>
      <c r="G144" s="69"/>
      <c r="H144" s="9" t="s">
        <v>71</v>
      </c>
      <c r="I144" s="100">
        <v>0</v>
      </c>
      <c r="J144" s="84">
        <v>0</v>
      </c>
      <c r="K144" s="163">
        <f t="shared" si="68"/>
        <v>0</v>
      </c>
      <c r="L144" s="100"/>
      <c r="M144" s="84"/>
      <c r="N144" s="203">
        <f t="shared" si="69"/>
        <v>0</v>
      </c>
      <c r="O144" s="224" t="str">
        <f t="shared" si="55"/>
        <v/>
      </c>
    </row>
    <row r="145" spans="2:15" ht="14.25" x14ac:dyDescent="0.2">
      <c r="B145" s="50"/>
      <c r="C145" s="8"/>
      <c r="D145" s="8"/>
      <c r="E145" s="8"/>
      <c r="F145" s="58">
        <v>613700</v>
      </c>
      <c r="G145" s="69"/>
      <c r="H145" s="9" t="s">
        <v>9</v>
      </c>
      <c r="I145" s="100">
        <v>1500</v>
      </c>
      <c r="J145" s="84">
        <v>0</v>
      </c>
      <c r="K145" s="163">
        <f t="shared" si="68"/>
        <v>1500</v>
      </c>
      <c r="L145" s="100"/>
      <c r="M145" s="84"/>
      <c r="N145" s="203">
        <f t="shared" si="69"/>
        <v>0</v>
      </c>
      <c r="O145" s="224">
        <f t="shared" si="55"/>
        <v>0</v>
      </c>
    </row>
    <row r="146" spans="2:15" ht="14.25" x14ac:dyDescent="0.2">
      <c r="B146" s="50"/>
      <c r="C146" s="8"/>
      <c r="D146" s="8"/>
      <c r="E146" s="8"/>
      <c r="F146" s="58">
        <v>613800</v>
      </c>
      <c r="G146" s="69"/>
      <c r="H146" s="9" t="s">
        <v>60</v>
      </c>
      <c r="I146" s="100">
        <v>0</v>
      </c>
      <c r="J146" s="84">
        <v>0</v>
      </c>
      <c r="K146" s="163">
        <f t="shared" si="68"/>
        <v>0</v>
      </c>
      <c r="L146" s="100"/>
      <c r="M146" s="84"/>
      <c r="N146" s="203">
        <f t="shared" si="69"/>
        <v>0</v>
      </c>
      <c r="O146" s="224" t="str">
        <f t="shared" si="55"/>
        <v/>
      </c>
    </row>
    <row r="147" spans="2:15" ht="14.25" x14ac:dyDescent="0.2">
      <c r="B147" s="50"/>
      <c r="C147" s="8"/>
      <c r="D147" s="8"/>
      <c r="E147" s="8"/>
      <c r="F147" s="58">
        <v>613900</v>
      </c>
      <c r="G147" s="69"/>
      <c r="H147" s="9" t="s">
        <v>61</v>
      </c>
      <c r="I147" s="100">
        <v>2000</v>
      </c>
      <c r="J147" s="84">
        <v>0</v>
      </c>
      <c r="K147" s="163">
        <f t="shared" si="68"/>
        <v>2000</v>
      </c>
      <c r="L147" s="100"/>
      <c r="M147" s="84"/>
      <c r="N147" s="203">
        <f t="shared" si="69"/>
        <v>0</v>
      </c>
      <c r="O147" s="224">
        <f t="shared" si="55"/>
        <v>0</v>
      </c>
    </row>
    <row r="148" spans="2:15" ht="14.25" x14ac:dyDescent="0.2">
      <c r="B148" s="51"/>
      <c r="C148" s="4"/>
      <c r="D148" s="4"/>
      <c r="E148" s="135"/>
      <c r="F148" s="66"/>
      <c r="G148" s="78"/>
      <c r="H148" s="10"/>
      <c r="I148" s="116"/>
      <c r="J148" s="54"/>
      <c r="K148" s="164"/>
      <c r="L148" s="116"/>
      <c r="M148" s="54"/>
      <c r="N148" s="204"/>
      <c r="O148" s="224" t="str">
        <f t="shared" si="55"/>
        <v/>
      </c>
    </row>
    <row r="149" spans="2:15" ht="15" x14ac:dyDescent="0.25">
      <c r="B149" s="51"/>
      <c r="C149" s="4"/>
      <c r="D149" s="4"/>
      <c r="E149" s="4"/>
      <c r="F149" s="57">
        <v>821000</v>
      </c>
      <c r="G149" s="68"/>
      <c r="H149" s="10" t="s">
        <v>12</v>
      </c>
      <c r="I149" s="110">
        <f t="shared" ref="I149" si="70">I150+I151</f>
        <v>2000</v>
      </c>
      <c r="J149" s="52">
        <f t="shared" ref="J149:N149" si="71">J150+J151</f>
        <v>0</v>
      </c>
      <c r="K149" s="165">
        <f t="shared" si="71"/>
        <v>2000</v>
      </c>
      <c r="L149" s="110">
        <f t="shared" si="71"/>
        <v>0</v>
      </c>
      <c r="M149" s="52">
        <f t="shared" si="71"/>
        <v>0</v>
      </c>
      <c r="N149" s="205">
        <f t="shared" si="71"/>
        <v>0</v>
      </c>
      <c r="O149" s="228">
        <f t="shared" si="55"/>
        <v>0</v>
      </c>
    </row>
    <row r="150" spans="2:15" ht="14.25" x14ac:dyDescent="0.2">
      <c r="B150" s="50"/>
      <c r="C150" s="8"/>
      <c r="D150" s="8"/>
      <c r="E150" s="8"/>
      <c r="F150" s="58">
        <v>821200</v>
      </c>
      <c r="G150" s="69"/>
      <c r="H150" s="9" t="s">
        <v>13</v>
      </c>
      <c r="I150" s="116">
        <v>0</v>
      </c>
      <c r="J150" s="54">
        <v>0</v>
      </c>
      <c r="K150" s="163">
        <f t="shared" ref="K150:K151" si="72">SUM(I150:J150)</f>
        <v>0</v>
      </c>
      <c r="L150" s="116"/>
      <c r="M150" s="54"/>
      <c r="N150" s="203">
        <f t="shared" ref="N150:N151" si="73">SUM(L150:M150)</f>
        <v>0</v>
      </c>
      <c r="O150" s="224" t="str">
        <f t="shared" si="55"/>
        <v/>
      </c>
    </row>
    <row r="151" spans="2:15" ht="14.25" x14ac:dyDescent="0.2">
      <c r="B151" s="50"/>
      <c r="C151" s="8"/>
      <c r="D151" s="8"/>
      <c r="E151" s="8"/>
      <c r="F151" s="58">
        <v>821300</v>
      </c>
      <c r="G151" s="69"/>
      <c r="H151" s="9" t="s">
        <v>14</v>
      </c>
      <c r="I151" s="116">
        <v>2000</v>
      </c>
      <c r="J151" s="54">
        <v>0</v>
      </c>
      <c r="K151" s="163">
        <f t="shared" si="72"/>
        <v>2000</v>
      </c>
      <c r="L151" s="116"/>
      <c r="M151" s="54"/>
      <c r="N151" s="203">
        <f t="shared" si="73"/>
        <v>0</v>
      </c>
      <c r="O151" s="224">
        <f t="shared" si="55"/>
        <v>0</v>
      </c>
    </row>
    <row r="152" spans="2:15" ht="14.25" x14ac:dyDescent="0.2">
      <c r="B152" s="50"/>
      <c r="C152" s="8"/>
      <c r="D152" s="8"/>
      <c r="E152" s="8"/>
      <c r="F152" s="58"/>
      <c r="G152" s="69"/>
      <c r="H152" s="9"/>
      <c r="I152" s="116"/>
      <c r="J152" s="54"/>
      <c r="K152" s="164"/>
      <c r="L152" s="116"/>
      <c r="M152" s="54"/>
      <c r="N152" s="204"/>
      <c r="O152" s="224" t="str">
        <f t="shared" si="55"/>
        <v/>
      </c>
    </row>
    <row r="153" spans="2:15" ht="15" x14ac:dyDescent="0.25">
      <c r="B153" s="51"/>
      <c r="C153" s="4"/>
      <c r="D153" s="4"/>
      <c r="E153" s="4"/>
      <c r="F153" s="57"/>
      <c r="G153" s="68"/>
      <c r="H153" s="10" t="s">
        <v>15</v>
      </c>
      <c r="I153" s="110">
        <v>3</v>
      </c>
      <c r="J153" s="52"/>
      <c r="K153" s="165">
        <v>3</v>
      </c>
      <c r="L153" s="110"/>
      <c r="M153" s="52"/>
      <c r="N153" s="205"/>
      <c r="O153" s="224"/>
    </row>
    <row r="154" spans="2:15" ht="15" x14ac:dyDescent="0.25">
      <c r="B154" s="51"/>
      <c r="C154" s="4"/>
      <c r="D154" s="4"/>
      <c r="E154" s="4"/>
      <c r="F154" s="57"/>
      <c r="G154" s="68"/>
      <c r="H154" s="4" t="s">
        <v>24</v>
      </c>
      <c r="I154" s="110">
        <f t="shared" ref="I154:N154" si="74">I131+I135+I138+I149</f>
        <v>130590</v>
      </c>
      <c r="J154" s="52">
        <f t="shared" si="74"/>
        <v>0</v>
      </c>
      <c r="K154" s="165">
        <f t="shared" si="74"/>
        <v>130590</v>
      </c>
      <c r="L154" s="110">
        <f t="shared" si="74"/>
        <v>0</v>
      </c>
      <c r="M154" s="52">
        <f t="shared" si="74"/>
        <v>0</v>
      </c>
      <c r="N154" s="205">
        <f t="shared" si="74"/>
        <v>0</v>
      </c>
      <c r="O154" s="228">
        <f t="shared" si="55"/>
        <v>0</v>
      </c>
    </row>
    <row r="155" spans="2:15" ht="15" x14ac:dyDescent="0.25">
      <c r="B155" s="51"/>
      <c r="C155" s="4"/>
      <c r="D155" s="4"/>
      <c r="E155" s="4"/>
      <c r="F155" s="57"/>
      <c r="G155" s="68"/>
      <c r="H155" s="4" t="s">
        <v>16</v>
      </c>
      <c r="I155" s="110">
        <f t="shared" ref="I155:N155" si="75">I154</f>
        <v>130590</v>
      </c>
      <c r="J155" s="52">
        <f t="shared" si="75"/>
        <v>0</v>
      </c>
      <c r="K155" s="165">
        <f t="shared" si="75"/>
        <v>130590</v>
      </c>
      <c r="L155" s="110">
        <f t="shared" si="75"/>
        <v>0</v>
      </c>
      <c r="M155" s="52">
        <f t="shared" si="75"/>
        <v>0</v>
      </c>
      <c r="N155" s="205">
        <f t="shared" si="75"/>
        <v>0</v>
      </c>
      <c r="O155" s="228">
        <f t="shared" si="55"/>
        <v>0</v>
      </c>
    </row>
    <row r="156" spans="2:15" ht="15" x14ac:dyDescent="0.25">
      <c r="B156" s="51"/>
      <c r="C156" s="4"/>
      <c r="D156" s="4"/>
      <c r="E156" s="4"/>
      <c r="F156" s="57"/>
      <c r="G156" s="68"/>
      <c r="H156" s="4" t="s">
        <v>17</v>
      </c>
      <c r="I156" s="110"/>
      <c r="J156" s="52"/>
      <c r="K156" s="165"/>
      <c r="L156" s="110"/>
      <c r="M156" s="52"/>
      <c r="N156" s="205"/>
      <c r="O156" s="224" t="str">
        <f t="shared" si="55"/>
        <v/>
      </c>
    </row>
    <row r="157" spans="2:15" ht="15" thickBot="1" x14ac:dyDescent="0.25">
      <c r="B157" s="6"/>
      <c r="C157" s="7"/>
      <c r="D157" s="7"/>
      <c r="E157" s="7"/>
      <c r="F157" s="59"/>
      <c r="G157" s="70"/>
      <c r="H157" s="7"/>
      <c r="I157" s="112"/>
      <c r="J157" s="13"/>
      <c r="K157" s="167"/>
      <c r="L157" s="112"/>
      <c r="M157" s="13"/>
      <c r="N157" s="207"/>
      <c r="O157" s="227" t="str">
        <f t="shared" si="55"/>
        <v/>
      </c>
    </row>
    <row r="158" spans="2:15" x14ac:dyDescent="0.2">
      <c r="O158" s="230" t="str">
        <f t="shared" si="55"/>
        <v/>
      </c>
    </row>
    <row r="159" spans="2:15" ht="15" x14ac:dyDescent="0.25">
      <c r="B159" s="2" t="s">
        <v>36</v>
      </c>
      <c r="C159" s="3" t="s">
        <v>236</v>
      </c>
      <c r="D159" s="3" t="s">
        <v>4</v>
      </c>
      <c r="E159" s="136" t="s">
        <v>237</v>
      </c>
      <c r="F159" s="49"/>
      <c r="G159" s="49"/>
      <c r="H159" s="182" t="s">
        <v>238</v>
      </c>
      <c r="I159" s="115"/>
      <c r="J159" s="23"/>
      <c r="K159" s="168"/>
      <c r="L159" s="115"/>
      <c r="M159" s="23"/>
      <c r="N159" s="217"/>
      <c r="O159" s="224" t="str">
        <f t="shared" si="55"/>
        <v/>
      </c>
    </row>
    <row r="160" spans="2:15" ht="15" x14ac:dyDescent="0.25">
      <c r="B160" s="51"/>
      <c r="C160" s="4"/>
      <c r="D160" s="4"/>
      <c r="E160" s="4"/>
      <c r="F160" s="57">
        <v>611000</v>
      </c>
      <c r="G160" s="68"/>
      <c r="H160" s="10" t="s">
        <v>57</v>
      </c>
      <c r="I160" s="106">
        <f>I161+I162</f>
        <v>89500</v>
      </c>
      <c r="J160" s="32">
        <f t="shared" ref="J160:N160" si="76">SUM(J161:J163)</f>
        <v>0</v>
      </c>
      <c r="K160" s="162">
        <f t="shared" si="76"/>
        <v>89500</v>
      </c>
      <c r="L160" s="106">
        <f t="shared" si="76"/>
        <v>0</v>
      </c>
      <c r="M160" s="32">
        <f t="shared" si="76"/>
        <v>0</v>
      </c>
      <c r="N160" s="202">
        <f t="shared" si="76"/>
        <v>0</v>
      </c>
      <c r="O160" s="228">
        <f t="shared" si="55"/>
        <v>0</v>
      </c>
    </row>
    <row r="161" spans="2:15" ht="14.25" x14ac:dyDescent="0.2">
      <c r="B161" s="50"/>
      <c r="C161" s="8"/>
      <c r="D161" s="8"/>
      <c r="E161" s="8"/>
      <c r="F161" s="58">
        <v>611100</v>
      </c>
      <c r="G161" s="69"/>
      <c r="H161" s="9" t="s">
        <v>68</v>
      </c>
      <c r="I161" s="119">
        <f>71950+4110</f>
        <v>76060</v>
      </c>
      <c r="J161" s="34">
        <v>0</v>
      </c>
      <c r="K161" s="163">
        <f>SUM(I161:J161)</f>
        <v>76060</v>
      </c>
      <c r="L161" s="119"/>
      <c r="M161" s="34"/>
      <c r="N161" s="203">
        <f>SUM(L161:M161)</f>
        <v>0</v>
      </c>
      <c r="O161" s="224">
        <f t="shared" si="55"/>
        <v>0</v>
      </c>
    </row>
    <row r="162" spans="2:15" ht="14.25" x14ac:dyDescent="0.2">
      <c r="B162" s="50"/>
      <c r="C162" s="8"/>
      <c r="D162" s="8"/>
      <c r="E162" s="8"/>
      <c r="F162" s="58">
        <v>611200</v>
      </c>
      <c r="G162" s="69"/>
      <c r="H162" s="9" t="s">
        <v>69</v>
      </c>
      <c r="I162" s="119">
        <f>13440</f>
        <v>13440</v>
      </c>
      <c r="J162" s="34">
        <v>0</v>
      </c>
      <c r="K162" s="163">
        <f t="shared" ref="K162" si="77">SUM(I162:J162)</f>
        <v>13440</v>
      </c>
      <c r="L162" s="119"/>
      <c r="M162" s="34"/>
      <c r="N162" s="203">
        <f t="shared" ref="N162" si="78">SUM(L162:M162)</f>
        <v>0</v>
      </c>
      <c r="O162" s="224">
        <f t="shared" si="55"/>
        <v>0</v>
      </c>
    </row>
    <row r="163" spans="2:15" ht="14.25" x14ac:dyDescent="0.2">
      <c r="B163" s="50"/>
      <c r="C163" s="8"/>
      <c r="D163" s="8"/>
      <c r="E163" s="8"/>
      <c r="F163" s="58"/>
      <c r="G163" s="69"/>
      <c r="H163" s="9"/>
      <c r="I163" s="119"/>
      <c r="J163" s="34"/>
      <c r="K163" s="163"/>
      <c r="L163" s="119"/>
      <c r="M163" s="34"/>
      <c r="N163" s="203"/>
      <c r="O163" s="224" t="str">
        <f t="shared" si="55"/>
        <v/>
      </c>
    </row>
    <row r="164" spans="2:15" ht="15" x14ac:dyDescent="0.25">
      <c r="B164" s="51"/>
      <c r="C164" s="4"/>
      <c r="D164" s="4"/>
      <c r="E164" s="4"/>
      <c r="F164" s="57">
        <v>612000</v>
      </c>
      <c r="G164" s="68"/>
      <c r="H164" s="10" t="s">
        <v>56</v>
      </c>
      <c r="I164" s="106">
        <f>I165</f>
        <v>3790</v>
      </c>
      <c r="J164" s="32">
        <f t="shared" ref="J164:N164" si="79">J165</f>
        <v>0</v>
      </c>
      <c r="K164" s="162">
        <f t="shared" si="79"/>
        <v>3790</v>
      </c>
      <c r="L164" s="106">
        <f t="shared" si="79"/>
        <v>0</v>
      </c>
      <c r="M164" s="32">
        <f t="shared" si="79"/>
        <v>0</v>
      </c>
      <c r="N164" s="202">
        <f t="shared" si="79"/>
        <v>0</v>
      </c>
      <c r="O164" s="228">
        <f t="shared" si="55"/>
        <v>0</v>
      </c>
    </row>
    <row r="165" spans="2:15" ht="14.25" x14ac:dyDescent="0.2">
      <c r="B165" s="50"/>
      <c r="C165" s="8"/>
      <c r="D165" s="8"/>
      <c r="E165" s="8"/>
      <c r="F165" s="58">
        <v>612100</v>
      </c>
      <c r="G165" s="69"/>
      <c r="H165" s="145" t="s">
        <v>5</v>
      </c>
      <c r="I165" s="119">
        <f>3580+210</f>
        <v>3790</v>
      </c>
      <c r="J165" s="34">
        <v>0</v>
      </c>
      <c r="K165" s="163">
        <f>SUM(I165:J165)</f>
        <v>3790</v>
      </c>
      <c r="L165" s="119"/>
      <c r="M165" s="34"/>
      <c r="N165" s="203">
        <f>SUM(L165:M165)</f>
        <v>0</v>
      </c>
      <c r="O165" s="224">
        <f t="shared" si="55"/>
        <v>0</v>
      </c>
    </row>
    <row r="166" spans="2:15" ht="14.25" x14ac:dyDescent="0.2">
      <c r="B166" s="50"/>
      <c r="C166" s="8"/>
      <c r="D166" s="8"/>
      <c r="E166" s="8"/>
      <c r="F166" s="58"/>
      <c r="G166" s="69"/>
      <c r="H166" s="9"/>
      <c r="I166" s="116"/>
      <c r="J166" s="54"/>
      <c r="K166" s="164"/>
      <c r="L166" s="116"/>
      <c r="M166" s="54"/>
      <c r="N166" s="204"/>
      <c r="O166" s="224" t="str">
        <f t="shared" si="55"/>
        <v/>
      </c>
    </row>
    <row r="167" spans="2:15" ht="15" x14ac:dyDescent="0.25">
      <c r="B167" s="51"/>
      <c r="C167" s="4"/>
      <c r="D167" s="4"/>
      <c r="E167" s="4"/>
      <c r="F167" s="57">
        <v>613000</v>
      </c>
      <c r="G167" s="68"/>
      <c r="H167" s="10" t="s">
        <v>58</v>
      </c>
      <c r="I167" s="109">
        <f>SUM(I168:I176)</f>
        <v>7600</v>
      </c>
      <c r="J167" s="55">
        <f t="shared" ref="J167:N167" si="80">SUM(J168:J176)</f>
        <v>0</v>
      </c>
      <c r="K167" s="165">
        <f t="shared" si="80"/>
        <v>7600</v>
      </c>
      <c r="L167" s="109">
        <f t="shared" si="80"/>
        <v>0</v>
      </c>
      <c r="M167" s="55">
        <f t="shared" si="80"/>
        <v>0</v>
      </c>
      <c r="N167" s="205">
        <f t="shared" si="80"/>
        <v>0</v>
      </c>
      <c r="O167" s="228">
        <f t="shared" si="55"/>
        <v>0</v>
      </c>
    </row>
    <row r="168" spans="2:15" ht="14.25" x14ac:dyDescent="0.2">
      <c r="B168" s="50"/>
      <c r="C168" s="8"/>
      <c r="D168" s="8"/>
      <c r="E168" s="8"/>
      <c r="F168" s="58">
        <v>613100</v>
      </c>
      <c r="G168" s="69"/>
      <c r="H168" s="9" t="s">
        <v>6</v>
      </c>
      <c r="I168" s="100">
        <v>1500</v>
      </c>
      <c r="J168" s="84">
        <v>0</v>
      </c>
      <c r="K168" s="163">
        <f t="shared" ref="K168:K176" si="81">SUM(I168:J168)</f>
        <v>1500</v>
      </c>
      <c r="L168" s="100"/>
      <c r="M168" s="84"/>
      <c r="N168" s="203">
        <f t="shared" ref="N168:N176" si="82">SUM(L168:M168)</f>
        <v>0</v>
      </c>
      <c r="O168" s="224">
        <f t="shared" si="55"/>
        <v>0</v>
      </c>
    </row>
    <row r="169" spans="2:15" ht="14.25" x14ac:dyDescent="0.2">
      <c r="B169" s="50"/>
      <c r="C169" s="8"/>
      <c r="D169" s="8"/>
      <c r="E169" s="8"/>
      <c r="F169" s="58">
        <v>613200</v>
      </c>
      <c r="G169" s="69"/>
      <c r="H169" s="9" t="s">
        <v>7</v>
      </c>
      <c r="I169" s="100">
        <v>0</v>
      </c>
      <c r="J169" s="84">
        <v>0</v>
      </c>
      <c r="K169" s="163">
        <f t="shared" si="81"/>
        <v>0</v>
      </c>
      <c r="L169" s="100"/>
      <c r="M169" s="84"/>
      <c r="N169" s="203">
        <f t="shared" si="82"/>
        <v>0</v>
      </c>
      <c r="O169" s="224" t="str">
        <f t="shared" si="55"/>
        <v/>
      </c>
    </row>
    <row r="170" spans="2:15" ht="14.25" x14ac:dyDescent="0.2">
      <c r="B170" s="50"/>
      <c r="C170" s="8"/>
      <c r="D170" s="8"/>
      <c r="E170" s="8"/>
      <c r="F170" s="58">
        <v>613300</v>
      </c>
      <c r="G170" s="69"/>
      <c r="H170" s="9" t="s">
        <v>70</v>
      </c>
      <c r="I170" s="100">
        <v>600</v>
      </c>
      <c r="J170" s="84">
        <v>0</v>
      </c>
      <c r="K170" s="163">
        <f t="shared" si="81"/>
        <v>600</v>
      </c>
      <c r="L170" s="100"/>
      <c r="M170" s="84"/>
      <c r="N170" s="203">
        <f t="shared" si="82"/>
        <v>0</v>
      </c>
      <c r="O170" s="224">
        <f t="shared" si="55"/>
        <v>0</v>
      </c>
    </row>
    <row r="171" spans="2:15" ht="14.25" x14ac:dyDescent="0.2">
      <c r="B171" s="50"/>
      <c r="C171" s="8"/>
      <c r="D171" s="8"/>
      <c r="E171" s="8"/>
      <c r="F171" s="58">
        <v>613400</v>
      </c>
      <c r="G171" s="69"/>
      <c r="H171" s="9" t="s">
        <v>59</v>
      </c>
      <c r="I171" s="100">
        <v>1500</v>
      </c>
      <c r="J171" s="84">
        <v>0</v>
      </c>
      <c r="K171" s="163">
        <f t="shared" si="81"/>
        <v>1500</v>
      </c>
      <c r="L171" s="100"/>
      <c r="M171" s="84"/>
      <c r="N171" s="203">
        <f t="shared" si="82"/>
        <v>0</v>
      </c>
      <c r="O171" s="224">
        <f t="shared" si="55"/>
        <v>0</v>
      </c>
    </row>
    <row r="172" spans="2:15" ht="14.25" x14ac:dyDescent="0.2">
      <c r="B172" s="50"/>
      <c r="C172" s="8"/>
      <c r="D172" s="8"/>
      <c r="E172" s="8"/>
      <c r="F172" s="58">
        <v>613500</v>
      </c>
      <c r="G172" s="69"/>
      <c r="H172" s="9" t="s">
        <v>8</v>
      </c>
      <c r="I172" s="100">
        <v>0</v>
      </c>
      <c r="J172" s="84">
        <v>0</v>
      </c>
      <c r="K172" s="163">
        <f t="shared" si="81"/>
        <v>0</v>
      </c>
      <c r="L172" s="100"/>
      <c r="M172" s="84"/>
      <c r="N172" s="203">
        <f t="shared" si="82"/>
        <v>0</v>
      </c>
      <c r="O172" s="224" t="str">
        <f t="shared" si="55"/>
        <v/>
      </c>
    </row>
    <row r="173" spans="2:15" ht="14.25" x14ac:dyDescent="0.2">
      <c r="B173" s="50"/>
      <c r="C173" s="8"/>
      <c r="D173" s="8"/>
      <c r="E173" s="8"/>
      <c r="F173" s="58">
        <v>613600</v>
      </c>
      <c r="G173" s="69"/>
      <c r="H173" s="9" t="s">
        <v>71</v>
      </c>
      <c r="I173" s="100">
        <v>0</v>
      </c>
      <c r="J173" s="84">
        <v>0</v>
      </c>
      <c r="K173" s="163">
        <f t="shared" si="81"/>
        <v>0</v>
      </c>
      <c r="L173" s="100"/>
      <c r="M173" s="84"/>
      <c r="N173" s="203">
        <f t="shared" si="82"/>
        <v>0</v>
      </c>
      <c r="O173" s="224" t="str">
        <f t="shared" si="55"/>
        <v/>
      </c>
    </row>
    <row r="174" spans="2:15" ht="14.25" x14ac:dyDescent="0.2">
      <c r="B174" s="50"/>
      <c r="C174" s="8"/>
      <c r="D174" s="8"/>
      <c r="E174" s="8"/>
      <c r="F174" s="58">
        <v>613700</v>
      </c>
      <c r="G174" s="69"/>
      <c r="H174" s="9" t="s">
        <v>9</v>
      </c>
      <c r="I174" s="100">
        <v>1000</v>
      </c>
      <c r="J174" s="84">
        <v>0</v>
      </c>
      <c r="K174" s="163">
        <f t="shared" si="81"/>
        <v>1000</v>
      </c>
      <c r="L174" s="100"/>
      <c r="M174" s="84"/>
      <c r="N174" s="203">
        <f t="shared" si="82"/>
        <v>0</v>
      </c>
      <c r="O174" s="224">
        <f t="shared" si="55"/>
        <v>0</v>
      </c>
    </row>
    <row r="175" spans="2:15" ht="14.25" x14ac:dyDescent="0.2">
      <c r="B175" s="50"/>
      <c r="C175" s="8"/>
      <c r="D175" s="8"/>
      <c r="E175" s="8"/>
      <c r="F175" s="58">
        <v>613800</v>
      </c>
      <c r="G175" s="69"/>
      <c r="H175" s="9" t="s">
        <v>60</v>
      </c>
      <c r="I175" s="100">
        <v>0</v>
      </c>
      <c r="J175" s="84">
        <v>0</v>
      </c>
      <c r="K175" s="163">
        <f t="shared" si="81"/>
        <v>0</v>
      </c>
      <c r="L175" s="100"/>
      <c r="M175" s="84"/>
      <c r="N175" s="203">
        <f t="shared" si="82"/>
        <v>0</v>
      </c>
      <c r="O175" s="224" t="str">
        <f t="shared" si="55"/>
        <v/>
      </c>
    </row>
    <row r="176" spans="2:15" ht="14.25" x14ac:dyDescent="0.2">
      <c r="B176" s="50"/>
      <c r="C176" s="8"/>
      <c r="D176" s="8"/>
      <c r="E176" s="8"/>
      <c r="F176" s="58">
        <v>613900</v>
      </c>
      <c r="G176" s="69"/>
      <c r="H176" s="9" t="s">
        <v>61</v>
      </c>
      <c r="I176" s="100">
        <v>3000</v>
      </c>
      <c r="J176" s="84">
        <v>0</v>
      </c>
      <c r="K176" s="163">
        <f t="shared" si="81"/>
        <v>3000</v>
      </c>
      <c r="L176" s="100"/>
      <c r="M176" s="84"/>
      <c r="N176" s="203">
        <f t="shared" si="82"/>
        <v>0</v>
      </c>
      <c r="O176" s="224">
        <f t="shared" si="55"/>
        <v>0</v>
      </c>
    </row>
    <row r="177" spans="2:15" ht="14.25" x14ac:dyDescent="0.2">
      <c r="B177" s="51"/>
      <c r="C177" s="4"/>
      <c r="D177" s="4"/>
      <c r="E177" s="135"/>
      <c r="F177" s="66"/>
      <c r="G177" s="78"/>
      <c r="H177" s="10"/>
      <c r="I177" s="116"/>
      <c r="J177" s="54"/>
      <c r="K177" s="164"/>
      <c r="L177" s="116"/>
      <c r="M177" s="54"/>
      <c r="N177" s="204"/>
      <c r="O177" s="224" t="str">
        <f t="shared" ref="O177:O187" si="83">IF(K177=0,"",N177/K177*100)</f>
        <v/>
      </c>
    </row>
    <row r="178" spans="2:15" ht="15" x14ac:dyDescent="0.25">
      <c r="B178" s="51"/>
      <c r="C178" s="4"/>
      <c r="D178" s="4"/>
      <c r="E178" s="4"/>
      <c r="F178" s="57">
        <v>821000</v>
      </c>
      <c r="G178" s="68"/>
      <c r="H178" s="10" t="s">
        <v>12</v>
      </c>
      <c r="I178" s="110">
        <f t="shared" ref="I178" si="84">SUM(I179:I180)</f>
        <v>10000</v>
      </c>
      <c r="J178" s="52">
        <f t="shared" ref="J178:N178" si="85">J179+J180</f>
        <v>0</v>
      </c>
      <c r="K178" s="165">
        <f t="shared" si="85"/>
        <v>10000</v>
      </c>
      <c r="L178" s="110">
        <f t="shared" si="85"/>
        <v>0</v>
      </c>
      <c r="M178" s="52">
        <f t="shared" si="85"/>
        <v>0</v>
      </c>
      <c r="N178" s="205">
        <f t="shared" si="85"/>
        <v>0</v>
      </c>
      <c r="O178" s="228">
        <f t="shared" si="83"/>
        <v>0</v>
      </c>
    </row>
    <row r="179" spans="2:15" ht="14.25" x14ac:dyDescent="0.2">
      <c r="B179" s="50"/>
      <c r="C179" s="8"/>
      <c r="D179" s="8"/>
      <c r="E179" s="8"/>
      <c r="F179" s="58">
        <v>821200</v>
      </c>
      <c r="G179" s="69"/>
      <c r="H179" s="9" t="s">
        <v>13</v>
      </c>
      <c r="I179" s="116">
        <v>0</v>
      </c>
      <c r="J179" s="54">
        <v>0</v>
      </c>
      <c r="K179" s="163">
        <f t="shared" ref="K179:K180" si="86">SUM(I179:J179)</f>
        <v>0</v>
      </c>
      <c r="L179" s="116"/>
      <c r="M179" s="54"/>
      <c r="N179" s="203">
        <f t="shared" ref="N179:N180" si="87">SUM(L179:M179)</f>
        <v>0</v>
      </c>
      <c r="O179" s="224" t="str">
        <f t="shared" si="83"/>
        <v/>
      </c>
    </row>
    <row r="180" spans="2:15" ht="14.25" x14ac:dyDescent="0.2">
      <c r="B180" s="50"/>
      <c r="C180" s="8"/>
      <c r="D180" s="8"/>
      <c r="E180" s="8"/>
      <c r="F180" s="58">
        <v>821300</v>
      </c>
      <c r="G180" s="69"/>
      <c r="H180" s="9" t="s">
        <v>14</v>
      </c>
      <c r="I180" s="116">
        <v>10000</v>
      </c>
      <c r="J180" s="54">
        <v>0</v>
      </c>
      <c r="K180" s="163">
        <f t="shared" si="86"/>
        <v>10000</v>
      </c>
      <c r="L180" s="116"/>
      <c r="M180" s="54"/>
      <c r="N180" s="203">
        <f t="shared" si="87"/>
        <v>0</v>
      </c>
      <c r="O180" s="224">
        <f t="shared" si="83"/>
        <v>0</v>
      </c>
    </row>
    <row r="181" spans="2:15" ht="14.25" x14ac:dyDescent="0.2">
      <c r="B181" s="50"/>
      <c r="C181" s="8"/>
      <c r="D181" s="8"/>
      <c r="E181" s="8"/>
      <c r="F181" s="58"/>
      <c r="G181" s="69"/>
      <c r="H181" s="9"/>
      <c r="I181" s="116"/>
      <c r="J181" s="54"/>
      <c r="K181" s="164"/>
      <c r="L181" s="116"/>
      <c r="M181" s="54"/>
      <c r="N181" s="204"/>
      <c r="O181" s="224" t="str">
        <f t="shared" si="83"/>
        <v/>
      </c>
    </row>
    <row r="182" spans="2:15" ht="15" x14ac:dyDescent="0.25">
      <c r="B182" s="51"/>
      <c r="C182" s="4"/>
      <c r="D182" s="4"/>
      <c r="E182" s="4"/>
      <c r="F182" s="57"/>
      <c r="G182" s="68"/>
      <c r="H182" s="10" t="s">
        <v>15</v>
      </c>
      <c r="I182" s="111">
        <v>2</v>
      </c>
      <c r="J182" s="52"/>
      <c r="K182" s="166">
        <v>2</v>
      </c>
      <c r="L182" s="110"/>
      <c r="M182" s="52"/>
      <c r="N182" s="205"/>
      <c r="O182" s="224"/>
    </row>
    <row r="183" spans="2:15" ht="15" x14ac:dyDescent="0.25">
      <c r="B183" s="51"/>
      <c r="C183" s="4"/>
      <c r="D183" s="4"/>
      <c r="E183" s="4"/>
      <c r="F183" s="57"/>
      <c r="G183" s="68"/>
      <c r="H183" s="4" t="s">
        <v>24</v>
      </c>
      <c r="I183" s="110">
        <f t="shared" ref="I183:N183" si="88">I160+I164+I167+I178</f>
        <v>110890</v>
      </c>
      <c r="J183" s="52">
        <f t="shared" si="88"/>
        <v>0</v>
      </c>
      <c r="K183" s="165">
        <f t="shared" si="88"/>
        <v>110890</v>
      </c>
      <c r="L183" s="110">
        <f t="shared" si="88"/>
        <v>0</v>
      </c>
      <c r="M183" s="52">
        <f t="shared" si="88"/>
        <v>0</v>
      </c>
      <c r="N183" s="205">
        <f t="shared" si="88"/>
        <v>0</v>
      </c>
      <c r="O183" s="228">
        <f t="shared" si="83"/>
        <v>0</v>
      </c>
    </row>
    <row r="184" spans="2:15" ht="15" x14ac:dyDescent="0.25">
      <c r="B184" s="51"/>
      <c r="C184" s="4"/>
      <c r="D184" s="4"/>
      <c r="E184" s="4"/>
      <c r="F184" s="57"/>
      <c r="G184" s="68"/>
      <c r="H184" s="4" t="s">
        <v>16</v>
      </c>
      <c r="I184" s="110">
        <f t="shared" ref="I184:N184" si="89">I183</f>
        <v>110890</v>
      </c>
      <c r="J184" s="52">
        <f t="shared" si="89"/>
        <v>0</v>
      </c>
      <c r="K184" s="165">
        <f t="shared" si="89"/>
        <v>110890</v>
      </c>
      <c r="L184" s="110">
        <f t="shared" si="89"/>
        <v>0</v>
      </c>
      <c r="M184" s="52">
        <f t="shared" si="89"/>
        <v>0</v>
      </c>
      <c r="N184" s="205">
        <f t="shared" si="89"/>
        <v>0</v>
      </c>
      <c r="O184" s="228">
        <f t="shared" si="83"/>
        <v>0</v>
      </c>
    </row>
    <row r="185" spans="2:15" ht="15" x14ac:dyDescent="0.25">
      <c r="B185" s="51"/>
      <c r="C185" s="4"/>
      <c r="D185" s="4"/>
      <c r="E185" s="4"/>
      <c r="F185" s="57"/>
      <c r="G185" s="68"/>
      <c r="H185" s="4" t="s">
        <v>17</v>
      </c>
      <c r="I185" s="110"/>
      <c r="J185" s="52"/>
      <c r="K185" s="165"/>
      <c r="L185" s="110"/>
      <c r="M185" s="52"/>
      <c r="N185" s="205"/>
      <c r="O185" s="224" t="str">
        <f t="shared" si="83"/>
        <v/>
      </c>
    </row>
    <row r="186" spans="2:15" ht="15" thickBot="1" x14ac:dyDescent="0.25">
      <c r="B186" s="6"/>
      <c r="C186" s="7"/>
      <c r="D186" s="7"/>
      <c r="E186" s="7"/>
      <c r="F186" s="59"/>
      <c r="G186" s="70"/>
      <c r="H186" s="7"/>
      <c r="I186" s="112"/>
      <c r="J186" s="13"/>
      <c r="K186" s="167"/>
      <c r="L186" s="112"/>
      <c r="M186" s="13"/>
      <c r="N186" s="207"/>
      <c r="O186" s="227" t="str">
        <f t="shared" si="83"/>
        <v/>
      </c>
    </row>
    <row r="187" spans="2:15" x14ac:dyDescent="0.2">
      <c r="O187" s="233" t="str">
        <f t="shared" si="83"/>
        <v/>
      </c>
    </row>
  </sheetData>
  <mergeCells count="14">
    <mergeCell ref="H7:H8"/>
    <mergeCell ref="I7:K7"/>
    <mergeCell ref="L7:N7"/>
    <mergeCell ref="O7:O8"/>
    <mergeCell ref="B1:N1"/>
    <mergeCell ref="F3:K3"/>
    <mergeCell ref="D5:E5"/>
    <mergeCell ref="H6:I6"/>
    <mergeCell ref="B7:B8"/>
    <mergeCell ref="C7:C8"/>
    <mergeCell ref="D7:D8"/>
    <mergeCell ref="E7:E8"/>
    <mergeCell ref="F7:F8"/>
    <mergeCell ref="G7:G8"/>
  </mergeCells>
  <pageMargins left="0.39370078740157483" right="0.39370078740157483" top="0.39370078740157483" bottom="0.39370078740157483" header="0.31496062992125984" footer="0.31496062992125984"/>
  <pageSetup paperSize="9" scale="75" orientation="landscape" r:id="rId1"/>
  <rowBreaks count="5" manualBreakCount="5">
    <brk id="40" max="16383" man="1"/>
    <brk id="71" max="16383" man="1"/>
    <brk id="100" max="16383" man="1"/>
    <brk id="129" max="16383" man="1"/>
    <brk id="15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8"/>
  <dimension ref="B1:O47"/>
  <sheetViews>
    <sheetView topLeftCell="B1" zoomScaleNormal="100" workbookViewId="0">
      <selection activeCell="L9" sqref="L9:O9"/>
    </sheetView>
  </sheetViews>
  <sheetFormatPr defaultColWidth="9.140625" defaultRowHeight="12.75" x14ac:dyDescent="0.2"/>
  <cols>
    <col min="1" max="1" width="6.140625" style="17" customWidth="1"/>
    <col min="2" max="2" width="4.7109375" style="17" customWidth="1"/>
    <col min="3" max="3" width="5.140625" style="17" customWidth="1"/>
    <col min="4" max="5" width="5" style="17" customWidth="1"/>
    <col min="6" max="7" width="8.7109375" style="53" customWidth="1"/>
    <col min="8" max="8" width="50.7109375" style="17" customWidth="1"/>
    <col min="9" max="9" width="11.7109375" style="17" customWidth="1"/>
    <col min="10" max="10" width="11.85546875" style="17" customWidth="1"/>
    <col min="11" max="11" width="13.5703125" style="17" customWidth="1"/>
    <col min="12" max="13" width="14.7109375" style="17" customWidth="1"/>
    <col min="14" max="14" width="15.7109375" style="17" customWidth="1"/>
    <col min="15" max="15" width="9.140625" style="17"/>
    <col min="16" max="16" width="9.5703125" style="17" bestFit="1" customWidth="1"/>
    <col min="17" max="16384" width="9.140625" style="17"/>
  </cols>
  <sheetData>
    <row r="1" spans="2:15" ht="15.75" x14ac:dyDescent="0.25">
      <c r="B1" s="428" t="s">
        <v>374</v>
      </c>
      <c r="C1" s="429"/>
      <c r="D1" s="429"/>
      <c r="E1" s="429"/>
      <c r="F1" s="429"/>
      <c r="G1" s="429"/>
      <c r="H1" s="429"/>
      <c r="I1" s="430"/>
      <c r="J1" s="430"/>
      <c r="K1" s="430"/>
      <c r="L1" s="430"/>
      <c r="M1" s="430"/>
      <c r="N1" s="430"/>
    </row>
    <row r="2" spans="2:15" x14ac:dyDescent="0.2">
      <c r="M2" s="126" t="s">
        <v>232</v>
      </c>
      <c r="N2" s="196"/>
    </row>
    <row r="3" spans="2:15" ht="15.75" x14ac:dyDescent="0.25">
      <c r="B3" s="180" t="s">
        <v>173</v>
      </c>
      <c r="F3" s="431" t="s">
        <v>205</v>
      </c>
      <c r="G3" s="432"/>
      <c r="H3" s="432"/>
      <c r="I3" s="432"/>
      <c r="J3" s="432"/>
      <c r="K3" s="432"/>
    </row>
    <row r="4" spans="2:15" x14ac:dyDescent="0.2">
      <c r="B4" s="180"/>
      <c r="G4"/>
      <c r="H4"/>
      <c r="I4"/>
      <c r="J4"/>
      <c r="K4"/>
    </row>
    <row r="5" spans="2:15" ht="15.75" x14ac:dyDescent="0.25">
      <c r="B5" s="180" t="s">
        <v>172</v>
      </c>
      <c r="D5" s="433">
        <v>15</v>
      </c>
      <c r="E5" s="434"/>
      <c r="F5" s="181"/>
      <c r="G5" s="181"/>
      <c r="I5" s="180"/>
      <c r="L5" s="411"/>
    </row>
    <row r="6" spans="2:15" s="22" customFormat="1" ht="16.5" thickBot="1" x14ac:dyDescent="0.3">
      <c r="F6" s="48"/>
      <c r="G6" s="48"/>
      <c r="H6" s="435"/>
      <c r="I6" s="435"/>
      <c r="J6" s="26"/>
      <c r="K6" s="26"/>
      <c r="L6" s="26"/>
      <c r="M6" s="26"/>
      <c r="N6" s="26"/>
    </row>
    <row r="7" spans="2:15" s="22" customFormat="1" ht="31.5" customHeight="1" x14ac:dyDescent="0.2">
      <c r="B7" s="436" t="s">
        <v>0</v>
      </c>
      <c r="C7" s="438" t="s">
        <v>1</v>
      </c>
      <c r="D7" s="438" t="s">
        <v>21</v>
      </c>
      <c r="E7" s="438" t="s">
        <v>135</v>
      </c>
      <c r="F7" s="421" t="s">
        <v>85</v>
      </c>
      <c r="G7" s="440" t="s">
        <v>88</v>
      </c>
      <c r="H7" s="421" t="s">
        <v>2</v>
      </c>
      <c r="I7" s="423" t="s">
        <v>375</v>
      </c>
      <c r="J7" s="424"/>
      <c r="K7" s="425"/>
      <c r="L7" s="423" t="s">
        <v>373</v>
      </c>
      <c r="M7" s="424"/>
      <c r="N7" s="424"/>
      <c r="O7" s="426" t="s">
        <v>258</v>
      </c>
    </row>
    <row r="8" spans="2:15" s="22" customFormat="1" ht="25.5" x14ac:dyDescent="0.2">
      <c r="B8" s="437"/>
      <c r="C8" s="439"/>
      <c r="D8" s="439"/>
      <c r="E8" s="439"/>
      <c r="F8" s="422"/>
      <c r="G8" s="439"/>
      <c r="H8" s="422"/>
      <c r="I8" s="105" t="s">
        <v>117</v>
      </c>
      <c r="J8" s="85" t="s">
        <v>118</v>
      </c>
      <c r="K8" s="159" t="s">
        <v>81</v>
      </c>
      <c r="L8" s="105" t="s">
        <v>117</v>
      </c>
      <c r="M8" s="85" t="s">
        <v>118</v>
      </c>
      <c r="N8" s="200" t="s">
        <v>81</v>
      </c>
      <c r="O8" s="427"/>
    </row>
    <row r="9" spans="2:15" s="48" customFormat="1" x14ac:dyDescent="0.2">
      <c r="B9" s="97">
        <v>1</v>
      </c>
      <c r="C9" s="68">
        <v>2</v>
      </c>
      <c r="D9" s="68">
        <v>3</v>
      </c>
      <c r="E9" s="68">
        <v>4</v>
      </c>
      <c r="F9" s="68">
        <v>5</v>
      </c>
      <c r="G9" s="68">
        <v>6</v>
      </c>
      <c r="H9" s="68">
        <v>7</v>
      </c>
      <c r="I9" s="97">
        <v>8</v>
      </c>
      <c r="J9" s="68">
        <v>9</v>
      </c>
      <c r="K9" s="160" t="s">
        <v>171</v>
      </c>
      <c r="L9" s="97">
        <v>11</v>
      </c>
      <c r="M9" s="68">
        <v>12</v>
      </c>
      <c r="N9" s="68" t="s">
        <v>394</v>
      </c>
      <c r="O9" s="232" t="s">
        <v>395</v>
      </c>
    </row>
    <row r="10" spans="2:15" ht="15" x14ac:dyDescent="0.25">
      <c r="B10" s="2" t="s">
        <v>39</v>
      </c>
      <c r="C10" s="3" t="s">
        <v>3</v>
      </c>
      <c r="D10" s="3" t="s">
        <v>4</v>
      </c>
      <c r="E10" s="136" t="s">
        <v>141</v>
      </c>
      <c r="F10" s="49"/>
      <c r="G10" s="49"/>
      <c r="H10" s="182" t="s">
        <v>190</v>
      </c>
      <c r="I10" s="115"/>
      <c r="J10" s="23"/>
      <c r="K10" s="168"/>
      <c r="L10" s="115"/>
      <c r="M10" s="23"/>
      <c r="N10" s="217"/>
      <c r="O10" s="224" t="str">
        <f t="shared" ref="O10:O47" si="0">IF(K10=0,"",N10/K10*100)</f>
        <v/>
      </c>
    </row>
    <row r="11" spans="2:15" ht="15" x14ac:dyDescent="0.25">
      <c r="B11" s="51"/>
      <c r="C11" s="4"/>
      <c r="D11" s="4"/>
      <c r="E11" s="4"/>
      <c r="F11" s="57">
        <v>611000</v>
      </c>
      <c r="G11" s="68"/>
      <c r="H11" s="10" t="s">
        <v>57</v>
      </c>
      <c r="I11" s="106">
        <f t="shared" ref="I11:N11" si="1">SUM(I12:I13)</f>
        <v>522540</v>
      </c>
      <c r="J11" s="32">
        <f t="shared" si="1"/>
        <v>0</v>
      </c>
      <c r="K11" s="162">
        <f t="shared" si="1"/>
        <v>522540</v>
      </c>
      <c r="L11" s="106">
        <f t="shared" si="1"/>
        <v>0</v>
      </c>
      <c r="M11" s="32">
        <f t="shared" si="1"/>
        <v>0</v>
      </c>
      <c r="N11" s="202">
        <f t="shared" si="1"/>
        <v>0</v>
      </c>
      <c r="O11" s="228">
        <f t="shared" si="0"/>
        <v>0</v>
      </c>
    </row>
    <row r="12" spans="2:15" ht="14.25" x14ac:dyDescent="0.2">
      <c r="B12" s="50"/>
      <c r="C12" s="8"/>
      <c r="D12" s="8"/>
      <c r="E12" s="8"/>
      <c r="F12" s="58">
        <v>611100</v>
      </c>
      <c r="G12" s="69"/>
      <c r="H12" s="9" t="s">
        <v>68</v>
      </c>
      <c r="I12" s="119">
        <v>448900</v>
      </c>
      <c r="J12" s="34">
        <v>0</v>
      </c>
      <c r="K12" s="163">
        <f>SUM(I12:J12)</f>
        <v>448900</v>
      </c>
      <c r="L12" s="119"/>
      <c r="M12" s="34"/>
      <c r="N12" s="203">
        <f>SUM(L12:M12)</f>
        <v>0</v>
      </c>
      <c r="O12" s="224">
        <f t="shared" si="0"/>
        <v>0</v>
      </c>
    </row>
    <row r="13" spans="2:15" ht="14.25" x14ac:dyDescent="0.2">
      <c r="B13" s="50"/>
      <c r="C13" s="8"/>
      <c r="D13" s="8"/>
      <c r="E13" s="8"/>
      <c r="F13" s="58">
        <v>611200</v>
      </c>
      <c r="G13" s="69"/>
      <c r="H13" s="9" t="s">
        <v>69</v>
      </c>
      <c r="I13" s="119">
        <v>73640</v>
      </c>
      <c r="J13" s="34">
        <v>0</v>
      </c>
      <c r="K13" s="163">
        <f t="shared" ref="K13" si="2">SUM(I13:J13)</f>
        <v>73640</v>
      </c>
      <c r="L13" s="119"/>
      <c r="M13" s="34"/>
      <c r="N13" s="203">
        <f t="shared" ref="N13" si="3">SUM(L13:M13)</f>
        <v>0</v>
      </c>
      <c r="O13" s="224">
        <f t="shared" si="0"/>
        <v>0</v>
      </c>
    </row>
    <row r="14" spans="2:15" ht="15" x14ac:dyDescent="0.25">
      <c r="B14" s="50"/>
      <c r="C14" s="8"/>
      <c r="D14" s="8"/>
      <c r="E14" s="8"/>
      <c r="F14" s="58"/>
      <c r="G14" s="69"/>
      <c r="H14" s="9"/>
      <c r="I14" s="106"/>
      <c r="J14" s="32"/>
      <c r="K14" s="162"/>
      <c r="L14" s="106"/>
      <c r="M14" s="32"/>
      <c r="N14" s="202"/>
      <c r="O14" s="224" t="str">
        <f t="shared" si="0"/>
        <v/>
      </c>
    </row>
    <row r="15" spans="2:15" ht="15" x14ac:dyDescent="0.25">
      <c r="B15" s="51"/>
      <c r="C15" s="4"/>
      <c r="D15" s="4"/>
      <c r="E15" s="4"/>
      <c r="F15" s="57">
        <v>612000</v>
      </c>
      <c r="G15" s="68"/>
      <c r="H15" s="10" t="s">
        <v>56</v>
      </c>
      <c r="I15" s="106">
        <f t="shared" ref="I15:N15" si="4">I16</f>
        <v>21980</v>
      </c>
      <c r="J15" s="32">
        <f t="shared" si="4"/>
        <v>0</v>
      </c>
      <c r="K15" s="162">
        <f t="shared" si="4"/>
        <v>21980</v>
      </c>
      <c r="L15" s="106">
        <f t="shared" si="4"/>
        <v>0</v>
      </c>
      <c r="M15" s="32">
        <f t="shared" si="4"/>
        <v>0</v>
      </c>
      <c r="N15" s="202">
        <f t="shared" si="4"/>
        <v>0</v>
      </c>
      <c r="O15" s="228">
        <f t="shared" si="0"/>
        <v>0</v>
      </c>
    </row>
    <row r="16" spans="2:15" ht="14.25" x14ac:dyDescent="0.2">
      <c r="B16" s="50"/>
      <c r="C16" s="8"/>
      <c r="D16" s="8"/>
      <c r="E16" s="8"/>
      <c r="F16" s="58">
        <v>612100</v>
      </c>
      <c r="G16" s="69"/>
      <c r="H16" s="145" t="s">
        <v>5</v>
      </c>
      <c r="I16" s="119">
        <v>21980</v>
      </c>
      <c r="J16" s="34">
        <v>0</v>
      </c>
      <c r="K16" s="163">
        <f>SUM(I16:J16)</f>
        <v>21980</v>
      </c>
      <c r="L16" s="119"/>
      <c r="M16" s="34"/>
      <c r="N16" s="203">
        <f>SUM(L16:M16)</f>
        <v>0</v>
      </c>
      <c r="O16" s="224">
        <f t="shared" si="0"/>
        <v>0</v>
      </c>
    </row>
    <row r="17" spans="2:15" ht="15" x14ac:dyDescent="0.25">
      <c r="B17" s="50"/>
      <c r="C17" s="8"/>
      <c r="D17" s="8"/>
      <c r="E17" s="8"/>
      <c r="F17" s="58"/>
      <c r="G17" s="69"/>
      <c r="H17" s="9"/>
      <c r="I17" s="110"/>
      <c r="J17" s="52"/>
      <c r="K17" s="165"/>
      <c r="L17" s="110"/>
      <c r="M17" s="52"/>
      <c r="N17" s="205"/>
      <c r="O17" s="224" t="str">
        <f t="shared" si="0"/>
        <v/>
      </c>
    </row>
    <row r="18" spans="2:15" ht="15" x14ac:dyDescent="0.25">
      <c r="B18" s="51"/>
      <c r="C18" s="4"/>
      <c r="D18" s="4"/>
      <c r="E18" s="4"/>
      <c r="F18" s="57">
        <v>613000</v>
      </c>
      <c r="G18" s="68"/>
      <c r="H18" s="10" t="s">
        <v>58</v>
      </c>
      <c r="I18" s="109">
        <f t="shared" ref="I18:N18" si="5">SUM(I19:I28)</f>
        <v>50600</v>
      </c>
      <c r="J18" s="55">
        <f t="shared" si="5"/>
        <v>0</v>
      </c>
      <c r="K18" s="165">
        <f t="shared" si="5"/>
        <v>50600</v>
      </c>
      <c r="L18" s="109">
        <f t="shared" si="5"/>
        <v>0</v>
      </c>
      <c r="M18" s="55">
        <f t="shared" si="5"/>
        <v>0</v>
      </c>
      <c r="N18" s="205">
        <f t="shared" si="5"/>
        <v>0</v>
      </c>
      <c r="O18" s="228">
        <f t="shared" si="0"/>
        <v>0</v>
      </c>
    </row>
    <row r="19" spans="2:15" ht="14.25" x14ac:dyDescent="0.2">
      <c r="B19" s="50"/>
      <c r="C19" s="8"/>
      <c r="D19" s="8"/>
      <c r="E19" s="8"/>
      <c r="F19" s="58">
        <v>613100</v>
      </c>
      <c r="G19" s="69"/>
      <c r="H19" s="9" t="s">
        <v>6</v>
      </c>
      <c r="I19" s="100">
        <v>4500</v>
      </c>
      <c r="J19" s="84">
        <v>0</v>
      </c>
      <c r="K19" s="163">
        <f t="shared" ref="K19:K28" si="6">SUM(I19:J19)</f>
        <v>4500</v>
      </c>
      <c r="L19" s="100"/>
      <c r="M19" s="84"/>
      <c r="N19" s="203">
        <f t="shared" ref="N19:N28" si="7">SUM(L19:M19)</f>
        <v>0</v>
      </c>
      <c r="O19" s="224">
        <f t="shared" si="0"/>
        <v>0</v>
      </c>
    </row>
    <row r="20" spans="2:15" ht="14.25" x14ac:dyDescent="0.2">
      <c r="B20" s="50"/>
      <c r="C20" s="8"/>
      <c r="D20" s="8"/>
      <c r="E20" s="8"/>
      <c r="F20" s="58">
        <v>613200</v>
      </c>
      <c r="G20" s="69"/>
      <c r="H20" s="9" t="s">
        <v>7</v>
      </c>
      <c r="I20" s="100">
        <v>0</v>
      </c>
      <c r="J20" s="84">
        <v>0</v>
      </c>
      <c r="K20" s="163">
        <f t="shared" si="6"/>
        <v>0</v>
      </c>
      <c r="L20" s="100"/>
      <c r="M20" s="84"/>
      <c r="N20" s="203">
        <f t="shared" si="7"/>
        <v>0</v>
      </c>
      <c r="O20" s="224" t="str">
        <f t="shared" si="0"/>
        <v/>
      </c>
    </row>
    <row r="21" spans="2:15" ht="14.25" x14ac:dyDescent="0.2">
      <c r="B21" s="50"/>
      <c r="C21" s="8"/>
      <c r="D21" s="8"/>
      <c r="E21" s="8"/>
      <c r="F21" s="58">
        <v>613300</v>
      </c>
      <c r="G21" s="69"/>
      <c r="H21" s="9" t="s">
        <v>70</v>
      </c>
      <c r="I21" s="100">
        <v>4000</v>
      </c>
      <c r="J21" s="84">
        <v>0</v>
      </c>
      <c r="K21" s="163">
        <f t="shared" si="6"/>
        <v>4000</v>
      </c>
      <c r="L21" s="100"/>
      <c r="M21" s="84"/>
      <c r="N21" s="203">
        <f t="shared" si="7"/>
        <v>0</v>
      </c>
      <c r="O21" s="224">
        <f t="shared" si="0"/>
        <v>0</v>
      </c>
    </row>
    <row r="22" spans="2:15" ht="14.25" x14ac:dyDescent="0.2">
      <c r="B22" s="50"/>
      <c r="C22" s="8"/>
      <c r="D22" s="8"/>
      <c r="E22" s="8"/>
      <c r="F22" s="58">
        <v>613400</v>
      </c>
      <c r="G22" s="69"/>
      <c r="H22" s="9" t="s">
        <v>59</v>
      </c>
      <c r="I22" s="100">
        <v>100</v>
      </c>
      <c r="J22" s="84">
        <v>0</v>
      </c>
      <c r="K22" s="163">
        <f t="shared" si="6"/>
        <v>100</v>
      </c>
      <c r="L22" s="100"/>
      <c r="M22" s="84"/>
      <c r="N22" s="203">
        <f t="shared" si="7"/>
        <v>0</v>
      </c>
      <c r="O22" s="224">
        <f t="shared" si="0"/>
        <v>0</v>
      </c>
    </row>
    <row r="23" spans="2:15" ht="14.25" x14ac:dyDescent="0.2">
      <c r="B23" s="50"/>
      <c r="C23" s="8"/>
      <c r="D23" s="8"/>
      <c r="E23" s="8"/>
      <c r="F23" s="58">
        <v>613500</v>
      </c>
      <c r="G23" s="69"/>
      <c r="H23" s="9" t="s">
        <v>8</v>
      </c>
      <c r="I23" s="100">
        <v>0</v>
      </c>
      <c r="J23" s="84">
        <v>0</v>
      </c>
      <c r="K23" s="163">
        <f t="shared" si="6"/>
        <v>0</v>
      </c>
      <c r="L23" s="100"/>
      <c r="M23" s="84"/>
      <c r="N23" s="203">
        <f t="shared" si="7"/>
        <v>0</v>
      </c>
      <c r="O23" s="224" t="str">
        <f t="shared" si="0"/>
        <v/>
      </c>
    </row>
    <row r="24" spans="2:15" ht="14.25" x14ac:dyDescent="0.2">
      <c r="B24" s="50"/>
      <c r="C24" s="8"/>
      <c r="D24" s="8"/>
      <c r="E24" s="8"/>
      <c r="F24" s="58">
        <v>613600</v>
      </c>
      <c r="G24" s="69"/>
      <c r="H24" s="9" t="s">
        <v>71</v>
      </c>
      <c r="I24" s="100">
        <v>0</v>
      </c>
      <c r="J24" s="84">
        <v>0</v>
      </c>
      <c r="K24" s="163">
        <f t="shared" si="6"/>
        <v>0</v>
      </c>
      <c r="L24" s="100"/>
      <c r="M24" s="84"/>
      <c r="N24" s="203">
        <f t="shared" si="7"/>
        <v>0</v>
      </c>
      <c r="O24" s="224" t="str">
        <f t="shared" si="0"/>
        <v/>
      </c>
    </row>
    <row r="25" spans="2:15" ht="14.25" x14ac:dyDescent="0.2">
      <c r="B25" s="50"/>
      <c r="C25" s="8"/>
      <c r="D25" s="8"/>
      <c r="E25" s="8"/>
      <c r="F25" s="58">
        <v>613700</v>
      </c>
      <c r="G25" s="69"/>
      <c r="H25" s="9" t="s">
        <v>9</v>
      </c>
      <c r="I25" s="100">
        <v>1000</v>
      </c>
      <c r="J25" s="84">
        <v>0</v>
      </c>
      <c r="K25" s="163">
        <f t="shared" si="6"/>
        <v>1000</v>
      </c>
      <c r="L25" s="100"/>
      <c r="M25" s="84"/>
      <c r="N25" s="203">
        <f t="shared" si="7"/>
        <v>0</v>
      </c>
      <c r="O25" s="224">
        <f t="shared" si="0"/>
        <v>0</v>
      </c>
    </row>
    <row r="26" spans="2:15" ht="14.25" x14ac:dyDescent="0.2">
      <c r="B26" s="50"/>
      <c r="C26" s="8"/>
      <c r="D26" s="8"/>
      <c r="E26" s="8"/>
      <c r="F26" s="58">
        <v>613800</v>
      </c>
      <c r="G26" s="69"/>
      <c r="H26" s="9" t="s">
        <v>60</v>
      </c>
      <c r="I26" s="100">
        <v>0</v>
      </c>
      <c r="J26" s="84">
        <v>0</v>
      </c>
      <c r="K26" s="163">
        <f t="shared" si="6"/>
        <v>0</v>
      </c>
      <c r="L26" s="100"/>
      <c r="M26" s="84"/>
      <c r="N26" s="203">
        <f t="shared" si="7"/>
        <v>0</v>
      </c>
      <c r="O26" s="224" t="str">
        <f t="shared" si="0"/>
        <v/>
      </c>
    </row>
    <row r="27" spans="2:15" ht="14.25" x14ac:dyDescent="0.2">
      <c r="B27" s="50"/>
      <c r="C27" s="8"/>
      <c r="D27" s="8"/>
      <c r="E27" s="8"/>
      <c r="F27" s="58">
        <v>613900</v>
      </c>
      <c r="G27" s="69"/>
      <c r="H27" s="9" t="s">
        <v>61</v>
      </c>
      <c r="I27" s="100">
        <v>41000</v>
      </c>
      <c r="J27" s="84">
        <v>0</v>
      </c>
      <c r="K27" s="163">
        <f t="shared" si="6"/>
        <v>41000</v>
      </c>
      <c r="L27" s="100"/>
      <c r="M27" s="84"/>
      <c r="N27" s="203">
        <f t="shared" si="7"/>
        <v>0</v>
      </c>
      <c r="O27" s="224">
        <f t="shared" si="0"/>
        <v>0</v>
      </c>
    </row>
    <row r="28" spans="2:15" ht="14.25" x14ac:dyDescent="0.2">
      <c r="B28" s="50"/>
      <c r="C28" s="8"/>
      <c r="D28" s="8"/>
      <c r="E28" s="8"/>
      <c r="F28" s="58">
        <v>613900</v>
      </c>
      <c r="G28" s="69" t="s">
        <v>95</v>
      </c>
      <c r="H28" s="9" t="s">
        <v>84</v>
      </c>
      <c r="I28" s="100">
        <v>0</v>
      </c>
      <c r="J28" s="84">
        <v>0</v>
      </c>
      <c r="K28" s="163">
        <f t="shared" si="6"/>
        <v>0</v>
      </c>
      <c r="L28" s="100"/>
      <c r="M28" s="84"/>
      <c r="N28" s="203">
        <f t="shared" si="7"/>
        <v>0</v>
      </c>
      <c r="O28" s="224" t="str">
        <f t="shared" si="0"/>
        <v/>
      </c>
    </row>
    <row r="29" spans="2:15" ht="15" x14ac:dyDescent="0.25">
      <c r="B29" s="50"/>
      <c r="C29" s="8"/>
      <c r="D29" s="8"/>
      <c r="E29" s="8"/>
      <c r="F29" s="58"/>
      <c r="G29" s="69"/>
      <c r="H29" s="9"/>
      <c r="I29" s="110"/>
      <c r="J29" s="52"/>
      <c r="K29" s="165"/>
      <c r="L29" s="110"/>
      <c r="M29" s="52"/>
      <c r="N29" s="205"/>
      <c r="O29" s="224" t="str">
        <f t="shared" si="0"/>
        <v/>
      </c>
    </row>
    <row r="30" spans="2:15" ht="15" x14ac:dyDescent="0.25">
      <c r="B30" s="51"/>
      <c r="C30" s="4"/>
      <c r="D30" s="4"/>
      <c r="E30" s="4"/>
      <c r="F30" s="57">
        <v>614000</v>
      </c>
      <c r="G30" s="68"/>
      <c r="H30" s="10" t="s">
        <v>72</v>
      </c>
      <c r="I30" s="110">
        <f t="shared" ref="I30:N30" si="8">SUM(I31:I32)</f>
        <v>1590000</v>
      </c>
      <c r="J30" s="52">
        <f t="shared" si="8"/>
        <v>0</v>
      </c>
      <c r="K30" s="165">
        <f t="shared" si="8"/>
        <v>1590000</v>
      </c>
      <c r="L30" s="110">
        <f t="shared" si="8"/>
        <v>0</v>
      </c>
      <c r="M30" s="52">
        <f t="shared" si="8"/>
        <v>0</v>
      </c>
      <c r="N30" s="205">
        <f t="shared" si="8"/>
        <v>0</v>
      </c>
      <c r="O30" s="228">
        <f t="shared" si="0"/>
        <v>0</v>
      </c>
    </row>
    <row r="31" spans="2:15" ht="14.25" x14ac:dyDescent="0.2">
      <c r="B31" s="51"/>
      <c r="C31" s="4"/>
      <c r="D31" s="16"/>
      <c r="E31" s="16"/>
      <c r="F31" s="62">
        <v>614100</v>
      </c>
      <c r="G31" s="73" t="s">
        <v>123</v>
      </c>
      <c r="H31" s="152" t="s">
        <v>75</v>
      </c>
      <c r="I31" s="116">
        <v>90000</v>
      </c>
      <c r="J31" s="54">
        <v>0</v>
      </c>
      <c r="K31" s="163">
        <f>SUM(I31:J31)</f>
        <v>90000</v>
      </c>
      <c r="L31" s="116"/>
      <c r="M31" s="54"/>
      <c r="N31" s="203">
        <f>SUM(L31:M31)</f>
        <v>0</v>
      </c>
      <c r="O31" s="224">
        <f t="shared" si="0"/>
        <v>0</v>
      </c>
    </row>
    <row r="32" spans="2:15" ht="14.25" x14ac:dyDescent="0.2">
      <c r="B32" s="51"/>
      <c r="C32" s="4"/>
      <c r="D32" s="16"/>
      <c r="E32" s="16"/>
      <c r="F32" s="62">
        <v>614500</v>
      </c>
      <c r="G32" s="73" t="s">
        <v>96</v>
      </c>
      <c r="H32" s="152" t="s">
        <v>87</v>
      </c>
      <c r="I32" s="116">
        <v>1500000</v>
      </c>
      <c r="J32" s="54">
        <v>0</v>
      </c>
      <c r="K32" s="163">
        <f>SUM(I32:J32)</f>
        <v>1500000</v>
      </c>
      <c r="L32" s="116"/>
      <c r="M32" s="54"/>
      <c r="N32" s="203">
        <f>SUM(L32:M32)</f>
        <v>0</v>
      </c>
      <c r="O32" s="224">
        <f t="shared" si="0"/>
        <v>0</v>
      </c>
    </row>
    <row r="33" spans="2:15" ht="15" x14ac:dyDescent="0.25">
      <c r="B33" s="50"/>
      <c r="C33" s="8"/>
      <c r="D33" s="8"/>
      <c r="E33" s="8"/>
      <c r="F33" s="58"/>
      <c r="G33" s="69"/>
      <c r="H33" s="9"/>
      <c r="I33" s="110"/>
      <c r="J33" s="52"/>
      <c r="K33" s="165"/>
      <c r="L33" s="110"/>
      <c r="M33" s="52"/>
      <c r="N33" s="205"/>
      <c r="O33" s="224" t="str">
        <f t="shared" si="0"/>
        <v/>
      </c>
    </row>
    <row r="34" spans="2:15" ht="15" x14ac:dyDescent="0.25">
      <c r="B34" s="51"/>
      <c r="C34" s="4"/>
      <c r="D34" s="4"/>
      <c r="E34" s="4"/>
      <c r="F34" s="57">
        <v>615000</v>
      </c>
      <c r="G34" s="68"/>
      <c r="H34" s="10" t="s">
        <v>11</v>
      </c>
      <c r="I34" s="110">
        <f>I35+I36</f>
        <v>800000</v>
      </c>
      <c r="J34" s="52">
        <f t="shared" ref="J34:N34" si="9">J35+J36</f>
        <v>500000</v>
      </c>
      <c r="K34" s="165">
        <f t="shared" si="9"/>
        <v>1300000</v>
      </c>
      <c r="L34" s="110">
        <f t="shared" si="9"/>
        <v>0</v>
      </c>
      <c r="M34" s="52">
        <f t="shared" si="9"/>
        <v>0</v>
      </c>
      <c r="N34" s="205">
        <f t="shared" si="9"/>
        <v>0</v>
      </c>
      <c r="O34" s="228">
        <f t="shared" si="0"/>
        <v>0</v>
      </c>
    </row>
    <row r="35" spans="2:15" ht="14.25" x14ac:dyDescent="0.2">
      <c r="B35" s="51"/>
      <c r="C35" s="4"/>
      <c r="D35" s="16"/>
      <c r="E35" s="16"/>
      <c r="F35" s="62">
        <v>615100</v>
      </c>
      <c r="G35" s="73" t="s">
        <v>239</v>
      </c>
      <c r="H35" s="157" t="s">
        <v>240</v>
      </c>
      <c r="I35" s="116">
        <v>0</v>
      </c>
      <c r="J35" s="54">
        <v>0</v>
      </c>
      <c r="K35" s="163">
        <f>SUM(I35:J35)</f>
        <v>0</v>
      </c>
      <c r="L35" s="116"/>
      <c r="M35" s="54"/>
      <c r="N35" s="203">
        <f>SUM(L35:M35)</f>
        <v>0</v>
      </c>
      <c r="O35" s="224" t="str">
        <f t="shared" si="0"/>
        <v/>
      </c>
    </row>
    <row r="36" spans="2:15" ht="14.25" x14ac:dyDescent="0.2">
      <c r="B36" s="51"/>
      <c r="C36" s="4"/>
      <c r="D36" s="16"/>
      <c r="E36" s="16"/>
      <c r="F36" s="62">
        <v>615500</v>
      </c>
      <c r="G36" s="73" t="s">
        <v>124</v>
      </c>
      <c r="H36" s="152" t="s">
        <v>132</v>
      </c>
      <c r="I36" s="116">
        <v>800000</v>
      </c>
      <c r="J36" s="54">
        <v>500000</v>
      </c>
      <c r="K36" s="163">
        <f>SUM(I36:J36)</f>
        <v>1300000</v>
      </c>
      <c r="L36" s="116"/>
      <c r="M36" s="54"/>
      <c r="N36" s="203">
        <f>SUM(L36:M36)</f>
        <v>0</v>
      </c>
      <c r="O36" s="224">
        <f t="shared" si="0"/>
        <v>0</v>
      </c>
    </row>
    <row r="37" spans="2:15" ht="14.25" x14ac:dyDescent="0.2">
      <c r="B37" s="50"/>
      <c r="C37" s="8"/>
      <c r="D37" s="8"/>
      <c r="E37" s="8"/>
      <c r="F37" s="58"/>
      <c r="G37" s="69"/>
      <c r="H37" s="9"/>
      <c r="I37" s="116"/>
      <c r="J37" s="54"/>
      <c r="K37" s="164"/>
      <c r="L37" s="116"/>
      <c r="M37" s="54"/>
      <c r="N37" s="204"/>
      <c r="O37" s="224" t="str">
        <f t="shared" si="0"/>
        <v/>
      </c>
    </row>
    <row r="38" spans="2:15" ht="15" x14ac:dyDescent="0.25">
      <c r="B38" s="51"/>
      <c r="C38" s="4"/>
      <c r="D38" s="4"/>
      <c r="E38" s="4"/>
      <c r="F38" s="57">
        <v>821000</v>
      </c>
      <c r="G38" s="68"/>
      <c r="H38" s="10" t="s">
        <v>12</v>
      </c>
      <c r="I38" s="110">
        <f t="shared" ref="I38:N38" si="10">SUM(I39:I40)</f>
        <v>5000</v>
      </c>
      <c r="J38" s="52">
        <f t="shared" si="10"/>
        <v>0</v>
      </c>
      <c r="K38" s="165">
        <f t="shared" si="10"/>
        <v>5000</v>
      </c>
      <c r="L38" s="110">
        <f t="shared" si="10"/>
        <v>0</v>
      </c>
      <c r="M38" s="52">
        <f t="shared" si="10"/>
        <v>0</v>
      </c>
      <c r="N38" s="205">
        <f t="shared" si="10"/>
        <v>0</v>
      </c>
      <c r="O38" s="228">
        <f t="shared" si="0"/>
        <v>0</v>
      </c>
    </row>
    <row r="39" spans="2:15" ht="14.25" x14ac:dyDescent="0.2">
      <c r="B39" s="50"/>
      <c r="C39" s="8"/>
      <c r="D39" s="8"/>
      <c r="E39" s="8"/>
      <c r="F39" s="58">
        <v>821200</v>
      </c>
      <c r="G39" s="69"/>
      <c r="H39" s="9" t="s">
        <v>13</v>
      </c>
      <c r="I39" s="116">
        <v>0</v>
      </c>
      <c r="J39" s="54">
        <v>0</v>
      </c>
      <c r="K39" s="86">
        <f t="shared" ref="K39:K40" si="11">SUM(I39:J39)</f>
        <v>0</v>
      </c>
      <c r="L39" s="116"/>
      <c r="M39" s="54"/>
      <c r="N39" s="203">
        <f t="shared" ref="N39:N40" si="12">SUM(L39:M39)</f>
        <v>0</v>
      </c>
      <c r="O39" s="224" t="str">
        <f t="shared" si="0"/>
        <v/>
      </c>
    </row>
    <row r="40" spans="2:15" ht="14.25" x14ac:dyDescent="0.2">
      <c r="B40" s="50"/>
      <c r="C40" s="8"/>
      <c r="D40" s="8"/>
      <c r="E40" s="8"/>
      <c r="F40" s="58">
        <v>821300</v>
      </c>
      <c r="G40" s="69"/>
      <c r="H40" s="9" t="s">
        <v>14</v>
      </c>
      <c r="I40" s="116">
        <v>5000</v>
      </c>
      <c r="J40" s="54">
        <v>0</v>
      </c>
      <c r="K40" s="86">
        <f t="shared" si="11"/>
        <v>5000</v>
      </c>
      <c r="L40" s="116"/>
      <c r="M40" s="54"/>
      <c r="N40" s="203">
        <f t="shared" si="12"/>
        <v>0</v>
      </c>
      <c r="O40" s="224">
        <f t="shared" si="0"/>
        <v>0</v>
      </c>
    </row>
    <row r="41" spans="2:15" ht="14.25" x14ac:dyDescent="0.2">
      <c r="B41" s="50"/>
      <c r="C41" s="8"/>
      <c r="D41" s="8"/>
      <c r="E41" s="8"/>
      <c r="F41" s="58"/>
      <c r="G41" s="69"/>
      <c r="H41" s="9"/>
      <c r="I41" s="116"/>
      <c r="J41" s="54"/>
      <c r="K41" s="87"/>
      <c r="L41" s="116"/>
      <c r="M41" s="54"/>
      <c r="N41" s="204"/>
      <c r="O41" s="224" t="str">
        <f t="shared" si="0"/>
        <v/>
      </c>
    </row>
    <row r="42" spans="2:15" ht="15" x14ac:dyDescent="0.25">
      <c r="B42" s="51"/>
      <c r="C42" s="4"/>
      <c r="D42" s="4"/>
      <c r="E42" s="4"/>
      <c r="F42" s="57"/>
      <c r="G42" s="68"/>
      <c r="H42" s="10" t="s">
        <v>15</v>
      </c>
      <c r="I42" s="111" t="s">
        <v>378</v>
      </c>
      <c r="J42" s="52"/>
      <c r="K42" s="89" t="s">
        <v>378</v>
      </c>
      <c r="L42" s="111"/>
      <c r="M42" s="52"/>
      <c r="N42" s="206"/>
      <c r="O42" s="224"/>
    </row>
    <row r="43" spans="2:15" ht="15" x14ac:dyDescent="0.25">
      <c r="B43" s="51"/>
      <c r="C43" s="4"/>
      <c r="D43" s="4"/>
      <c r="E43" s="4"/>
      <c r="F43" s="57"/>
      <c r="G43" s="68"/>
      <c r="H43" s="4" t="s">
        <v>24</v>
      </c>
      <c r="I43" s="110">
        <f t="shared" ref="I43:N43" si="13">I11+I15+I18+I30+I34+I38</f>
        <v>2990120</v>
      </c>
      <c r="J43" s="52">
        <f t="shared" si="13"/>
        <v>500000</v>
      </c>
      <c r="K43" s="88">
        <f t="shared" si="13"/>
        <v>3490120</v>
      </c>
      <c r="L43" s="110">
        <f t="shared" si="13"/>
        <v>0</v>
      </c>
      <c r="M43" s="52">
        <f t="shared" si="13"/>
        <v>0</v>
      </c>
      <c r="N43" s="205">
        <f t="shared" si="13"/>
        <v>0</v>
      </c>
      <c r="O43" s="228">
        <f t="shared" si="0"/>
        <v>0</v>
      </c>
    </row>
    <row r="44" spans="2:15" ht="15" x14ac:dyDescent="0.25">
      <c r="B44" s="51"/>
      <c r="C44" s="4"/>
      <c r="D44" s="4"/>
      <c r="E44" s="4"/>
      <c r="F44" s="57"/>
      <c r="G44" s="68"/>
      <c r="H44" s="4" t="s">
        <v>16</v>
      </c>
      <c r="I44" s="110">
        <f t="shared" ref="I44:N45" si="14">I43</f>
        <v>2990120</v>
      </c>
      <c r="J44" s="52">
        <f t="shared" si="14"/>
        <v>500000</v>
      </c>
      <c r="K44" s="88">
        <f t="shared" si="14"/>
        <v>3490120</v>
      </c>
      <c r="L44" s="110">
        <f t="shared" si="14"/>
        <v>0</v>
      </c>
      <c r="M44" s="52">
        <f t="shared" si="14"/>
        <v>0</v>
      </c>
      <c r="N44" s="205">
        <f t="shared" si="14"/>
        <v>0</v>
      </c>
      <c r="O44" s="228">
        <f t="shared" si="0"/>
        <v>0</v>
      </c>
    </row>
    <row r="45" spans="2:15" ht="15" x14ac:dyDescent="0.25">
      <c r="B45" s="51"/>
      <c r="C45" s="4"/>
      <c r="D45" s="4"/>
      <c r="E45" s="4"/>
      <c r="F45" s="57"/>
      <c r="G45" s="68"/>
      <c r="H45" s="4" t="s">
        <v>17</v>
      </c>
      <c r="I45" s="110">
        <f t="shared" si="14"/>
        <v>2990120</v>
      </c>
      <c r="J45" s="52">
        <f t="shared" si="14"/>
        <v>500000</v>
      </c>
      <c r="K45" s="88">
        <f t="shared" si="14"/>
        <v>3490120</v>
      </c>
      <c r="L45" s="110">
        <f t="shared" si="14"/>
        <v>0</v>
      </c>
      <c r="M45" s="52">
        <f t="shared" si="14"/>
        <v>0</v>
      </c>
      <c r="N45" s="205">
        <f t="shared" si="14"/>
        <v>0</v>
      </c>
      <c r="O45" s="228">
        <f t="shared" si="0"/>
        <v>0</v>
      </c>
    </row>
    <row r="46" spans="2:15" ht="15" thickBot="1" x14ac:dyDescent="0.25">
      <c r="B46" s="6"/>
      <c r="C46" s="7"/>
      <c r="D46" s="7"/>
      <c r="E46" s="7"/>
      <c r="F46" s="59"/>
      <c r="G46" s="70"/>
      <c r="H46" s="7"/>
      <c r="I46" s="112"/>
      <c r="J46" s="13"/>
      <c r="K46" s="90"/>
      <c r="L46" s="184"/>
      <c r="M46" s="13"/>
      <c r="N46" s="207"/>
      <c r="O46" s="227"/>
    </row>
    <row r="47" spans="2:15" ht="14.25" x14ac:dyDescent="0.2">
      <c r="F47" s="60"/>
      <c r="G47" s="71"/>
      <c r="I47" s="20"/>
      <c r="J47" s="20"/>
      <c r="K47" s="92"/>
      <c r="L47" s="20"/>
      <c r="M47" s="20"/>
      <c r="N47" s="92"/>
      <c r="O47" s="233" t="str">
        <f t="shared" si="0"/>
        <v/>
      </c>
    </row>
  </sheetData>
  <mergeCells count="14">
    <mergeCell ref="H7:H8"/>
    <mergeCell ref="I7:K7"/>
    <mergeCell ref="L7:N7"/>
    <mergeCell ref="O7:O8"/>
    <mergeCell ref="B1:N1"/>
    <mergeCell ref="F3:K3"/>
    <mergeCell ref="D5:E5"/>
    <mergeCell ref="H6:I6"/>
    <mergeCell ref="B7:B8"/>
    <mergeCell ref="C7:C8"/>
    <mergeCell ref="D7:D8"/>
    <mergeCell ref="E7:E8"/>
    <mergeCell ref="F7:F8"/>
    <mergeCell ref="G7:G8"/>
  </mergeCells>
  <pageMargins left="0.39370078740157483" right="0.39370078740157483" top="0.39370078740157483" bottom="0.39370078740157483" header="0.31496062992125984" footer="0.31496062992125984"/>
  <pageSetup paperSize="9"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9"/>
  <dimension ref="B1:O55"/>
  <sheetViews>
    <sheetView topLeftCell="B3" zoomScaleNormal="100" workbookViewId="0">
      <selection activeCell="L9" sqref="L9:O9"/>
    </sheetView>
  </sheetViews>
  <sheetFormatPr defaultColWidth="9.140625" defaultRowHeight="12.75" x14ac:dyDescent="0.2"/>
  <cols>
    <col min="1" max="1" width="6.140625" style="17" customWidth="1"/>
    <col min="2" max="2" width="4.7109375" style="17" customWidth="1"/>
    <col min="3" max="3" width="5.140625" style="17" customWidth="1"/>
    <col min="4" max="5" width="5" style="17" customWidth="1"/>
    <col min="6" max="7" width="8.7109375" style="53" customWidth="1"/>
    <col min="8" max="8" width="50.7109375" style="17" customWidth="1"/>
    <col min="9" max="9" width="11.7109375" style="17" customWidth="1"/>
    <col min="10" max="10" width="11.85546875" style="17" customWidth="1"/>
    <col min="11" max="11" width="13.5703125" style="17" customWidth="1"/>
    <col min="12" max="13" width="14.7109375" style="17" customWidth="1"/>
    <col min="14" max="14" width="15.7109375" style="17" customWidth="1"/>
    <col min="15" max="15" width="9.140625" style="17"/>
    <col min="16" max="16" width="9.5703125" style="17" bestFit="1" customWidth="1"/>
    <col min="17" max="16384" width="9.140625" style="17"/>
  </cols>
  <sheetData>
    <row r="1" spans="2:15" ht="15.75" x14ac:dyDescent="0.25">
      <c r="B1" s="428" t="s">
        <v>374</v>
      </c>
      <c r="C1" s="429"/>
      <c r="D1" s="429"/>
      <c r="E1" s="429"/>
      <c r="F1" s="429"/>
      <c r="G1" s="429"/>
      <c r="H1" s="429"/>
      <c r="I1" s="430"/>
      <c r="J1" s="430"/>
      <c r="K1" s="430"/>
      <c r="L1" s="430"/>
      <c r="M1" s="430"/>
      <c r="N1" s="430"/>
    </row>
    <row r="2" spans="2:15" x14ac:dyDescent="0.2">
      <c r="M2" s="126" t="s">
        <v>232</v>
      </c>
      <c r="N2" s="196"/>
    </row>
    <row r="3" spans="2:15" ht="15.75" x14ac:dyDescent="0.25">
      <c r="B3" s="180" t="s">
        <v>173</v>
      </c>
      <c r="F3" s="431" t="s">
        <v>206</v>
      </c>
      <c r="G3" s="432"/>
      <c r="H3" s="432"/>
      <c r="I3" s="432"/>
      <c r="J3" s="432"/>
      <c r="K3" s="432"/>
    </row>
    <row r="4" spans="2:15" x14ac:dyDescent="0.2">
      <c r="B4" s="180"/>
      <c r="G4"/>
      <c r="H4"/>
      <c r="I4"/>
      <c r="J4"/>
      <c r="K4"/>
    </row>
    <row r="5" spans="2:15" ht="15.75" x14ac:dyDescent="0.25">
      <c r="B5" s="180" t="s">
        <v>172</v>
      </c>
      <c r="D5" s="433">
        <v>16</v>
      </c>
      <c r="E5" s="434"/>
      <c r="F5" s="181"/>
      <c r="G5" s="181"/>
      <c r="I5" s="180"/>
      <c r="L5" s="411"/>
    </row>
    <row r="6" spans="2:15" s="22" customFormat="1" ht="16.5" thickBot="1" x14ac:dyDescent="0.3">
      <c r="F6" s="48"/>
      <c r="G6" s="48"/>
      <c r="H6" s="435"/>
      <c r="I6" s="435"/>
      <c r="J6" s="26"/>
      <c r="K6" s="26"/>
      <c r="L6" s="26"/>
      <c r="M6" s="26"/>
      <c r="N6" s="26"/>
    </row>
    <row r="7" spans="2:15" s="22" customFormat="1" ht="30" customHeight="1" x14ac:dyDescent="0.2">
      <c r="B7" s="436" t="s">
        <v>0</v>
      </c>
      <c r="C7" s="438" t="s">
        <v>1</v>
      </c>
      <c r="D7" s="438" t="s">
        <v>21</v>
      </c>
      <c r="E7" s="438" t="s">
        <v>135</v>
      </c>
      <c r="F7" s="421" t="s">
        <v>85</v>
      </c>
      <c r="G7" s="440" t="s">
        <v>88</v>
      </c>
      <c r="H7" s="421" t="s">
        <v>2</v>
      </c>
      <c r="I7" s="423" t="s">
        <v>375</v>
      </c>
      <c r="J7" s="424"/>
      <c r="K7" s="425"/>
      <c r="L7" s="423" t="s">
        <v>373</v>
      </c>
      <c r="M7" s="424"/>
      <c r="N7" s="424"/>
      <c r="O7" s="426" t="s">
        <v>258</v>
      </c>
    </row>
    <row r="8" spans="2:15" s="22" customFormat="1" ht="25.5" x14ac:dyDescent="0.2">
      <c r="B8" s="437"/>
      <c r="C8" s="439"/>
      <c r="D8" s="439"/>
      <c r="E8" s="439"/>
      <c r="F8" s="422"/>
      <c r="G8" s="439"/>
      <c r="H8" s="422"/>
      <c r="I8" s="105" t="s">
        <v>117</v>
      </c>
      <c r="J8" s="85" t="s">
        <v>118</v>
      </c>
      <c r="K8" s="159" t="s">
        <v>81</v>
      </c>
      <c r="L8" s="105" t="s">
        <v>117</v>
      </c>
      <c r="M8" s="85" t="s">
        <v>118</v>
      </c>
      <c r="N8" s="200" t="s">
        <v>81</v>
      </c>
      <c r="O8" s="427"/>
    </row>
    <row r="9" spans="2:15" s="48" customFormat="1" x14ac:dyDescent="0.2">
      <c r="B9" s="97">
        <v>1</v>
      </c>
      <c r="C9" s="68">
        <v>2</v>
      </c>
      <c r="D9" s="68">
        <v>3</v>
      </c>
      <c r="E9" s="68">
        <v>4</v>
      </c>
      <c r="F9" s="68">
        <v>5</v>
      </c>
      <c r="G9" s="68">
        <v>6</v>
      </c>
      <c r="H9" s="68">
        <v>7</v>
      </c>
      <c r="I9" s="97">
        <v>8</v>
      </c>
      <c r="J9" s="68">
        <v>9</v>
      </c>
      <c r="K9" s="160" t="s">
        <v>171</v>
      </c>
      <c r="L9" s="97">
        <v>11</v>
      </c>
      <c r="M9" s="68">
        <v>12</v>
      </c>
      <c r="N9" s="68" t="s">
        <v>394</v>
      </c>
      <c r="O9" s="232" t="s">
        <v>395</v>
      </c>
    </row>
    <row r="10" spans="2:15" ht="15" x14ac:dyDescent="0.25">
      <c r="B10" s="2" t="s">
        <v>40</v>
      </c>
      <c r="C10" s="3" t="s">
        <v>3</v>
      </c>
      <c r="D10" s="3" t="s">
        <v>4</v>
      </c>
      <c r="E10" s="136" t="s">
        <v>142</v>
      </c>
      <c r="F10" s="49"/>
      <c r="G10" s="49"/>
      <c r="H10" s="182" t="s">
        <v>180</v>
      </c>
      <c r="I10" s="1"/>
      <c r="J10" s="49"/>
      <c r="K10" s="161"/>
      <c r="L10" s="1"/>
      <c r="M10" s="49"/>
      <c r="N10" s="201"/>
      <c r="O10" s="224" t="str">
        <f t="shared" ref="O10:O21" si="0">IF(K10=0,"",N10/K10*100)</f>
        <v/>
      </c>
    </row>
    <row r="11" spans="2:15" ht="15" x14ac:dyDescent="0.25">
      <c r="B11" s="2"/>
      <c r="C11" s="3"/>
      <c r="D11" s="3"/>
      <c r="E11" s="3"/>
      <c r="F11" s="57">
        <v>600000</v>
      </c>
      <c r="G11" s="68"/>
      <c r="H11" s="142" t="s">
        <v>30</v>
      </c>
      <c r="I11" s="111">
        <f t="shared" ref="I11" si="1">I12</f>
        <v>20000</v>
      </c>
      <c r="J11" s="47">
        <f t="shared" ref="J11:N11" si="2">J12</f>
        <v>0</v>
      </c>
      <c r="K11" s="166">
        <f t="shared" si="2"/>
        <v>20000</v>
      </c>
      <c r="L11" s="111">
        <f t="shared" si="2"/>
        <v>0</v>
      </c>
      <c r="M11" s="47">
        <f t="shared" si="2"/>
        <v>0</v>
      </c>
      <c r="N11" s="206">
        <f t="shared" si="2"/>
        <v>0</v>
      </c>
      <c r="O11" s="228">
        <f t="shared" si="0"/>
        <v>0</v>
      </c>
    </row>
    <row r="12" spans="2:15" ht="14.25" x14ac:dyDescent="0.2">
      <c r="B12" s="2"/>
      <c r="C12" s="3"/>
      <c r="D12" s="3"/>
      <c r="E12" s="3"/>
      <c r="F12" s="58">
        <v>600000</v>
      </c>
      <c r="G12" s="69"/>
      <c r="H12" s="143" t="s">
        <v>20</v>
      </c>
      <c r="I12" s="108">
        <v>20000</v>
      </c>
      <c r="J12" s="46">
        <v>0</v>
      </c>
      <c r="K12" s="164">
        <f>SUM(I12:J12)</f>
        <v>20000</v>
      </c>
      <c r="L12" s="108"/>
      <c r="M12" s="46">
        <v>0</v>
      </c>
      <c r="N12" s="204">
        <f>SUM(L12:M12)</f>
        <v>0</v>
      </c>
      <c r="O12" s="224">
        <f t="shared" si="0"/>
        <v>0</v>
      </c>
    </row>
    <row r="13" spans="2:15" ht="14.25" x14ac:dyDescent="0.2">
      <c r="B13" s="2"/>
      <c r="C13" s="3"/>
      <c r="D13" s="3"/>
      <c r="E13" s="3"/>
      <c r="F13" s="57"/>
      <c r="G13" s="68"/>
      <c r="H13" s="104"/>
      <c r="I13" s="108"/>
      <c r="J13" s="46"/>
      <c r="K13" s="164"/>
      <c r="L13" s="108"/>
      <c r="M13" s="46"/>
      <c r="N13" s="204"/>
      <c r="O13" s="224" t="str">
        <f t="shared" si="0"/>
        <v/>
      </c>
    </row>
    <row r="14" spans="2:15" ht="15" x14ac:dyDescent="0.25">
      <c r="B14" s="51"/>
      <c r="C14" s="4"/>
      <c r="D14" s="4"/>
      <c r="E14" s="4"/>
      <c r="F14" s="57">
        <v>611000</v>
      </c>
      <c r="G14" s="68"/>
      <c r="H14" s="10" t="s">
        <v>57</v>
      </c>
      <c r="I14" s="106">
        <f>SUM(I15:I16)</f>
        <v>790790</v>
      </c>
      <c r="J14" s="32">
        <f t="shared" ref="J14:N14" si="3">SUM(J15:J16)</f>
        <v>0</v>
      </c>
      <c r="K14" s="162">
        <f t="shared" si="3"/>
        <v>790790</v>
      </c>
      <c r="L14" s="106">
        <f t="shared" si="3"/>
        <v>0</v>
      </c>
      <c r="M14" s="32">
        <f t="shared" si="3"/>
        <v>0</v>
      </c>
      <c r="N14" s="202">
        <f t="shared" si="3"/>
        <v>0</v>
      </c>
      <c r="O14" s="228">
        <f t="shared" si="0"/>
        <v>0</v>
      </c>
    </row>
    <row r="15" spans="2:15" ht="14.25" x14ac:dyDescent="0.2">
      <c r="B15" s="50"/>
      <c r="C15" s="8"/>
      <c r="D15" s="8"/>
      <c r="E15" s="8"/>
      <c r="F15" s="58">
        <v>611100</v>
      </c>
      <c r="G15" s="69"/>
      <c r="H15" s="9" t="s">
        <v>68</v>
      </c>
      <c r="I15" s="119">
        <f>584810+12*2300+1280+2*730+1160+7*1800+35000</f>
        <v>663910</v>
      </c>
      <c r="J15" s="34">
        <v>0</v>
      </c>
      <c r="K15" s="164">
        <f t="shared" ref="K15:K16" si="4">SUM(I15:J15)</f>
        <v>663910</v>
      </c>
      <c r="L15" s="119"/>
      <c r="M15" s="34">
        <v>0</v>
      </c>
      <c r="N15" s="204">
        <f t="shared" ref="N15:N16" si="5">SUM(L15:M15)</f>
        <v>0</v>
      </c>
      <c r="O15" s="224">
        <f t="shared" si="0"/>
        <v>0</v>
      </c>
    </row>
    <row r="16" spans="2:15" ht="14.25" x14ac:dyDescent="0.2">
      <c r="B16" s="50"/>
      <c r="C16" s="8"/>
      <c r="D16" s="8"/>
      <c r="E16" s="8"/>
      <c r="F16" s="58">
        <v>611200</v>
      </c>
      <c r="G16" s="69"/>
      <c r="H16" s="9" t="s">
        <v>69</v>
      </c>
      <c r="I16" s="107">
        <f>96260+850+5300+9000+2840+2*1620+2*1620+850+5300</f>
        <v>126880</v>
      </c>
      <c r="J16" s="31">
        <v>0</v>
      </c>
      <c r="K16" s="164">
        <f t="shared" si="4"/>
        <v>126880</v>
      </c>
      <c r="L16" s="107"/>
      <c r="M16" s="31">
        <v>0</v>
      </c>
      <c r="N16" s="204">
        <f t="shared" si="5"/>
        <v>0</v>
      </c>
      <c r="O16" s="224">
        <f t="shared" si="0"/>
        <v>0</v>
      </c>
    </row>
    <row r="17" spans="2:15" ht="14.25" x14ac:dyDescent="0.2">
      <c r="B17" s="50"/>
      <c r="C17" s="8"/>
      <c r="D17" s="8"/>
      <c r="E17" s="8"/>
      <c r="F17" s="58"/>
      <c r="G17" s="69"/>
      <c r="H17" s="9"/>
      <c r="I17" s="107"/>
      <c r="J17" s="31"/>
      <c r="K17" s="163"/>
      <c r="L17" s="107"/>
      <c r="M17" s="31"/>
      <c r="N17" s="203"/>
      <c r="O17" s="224" t="str">
        <f t="shared" si="0"/>
        <v/>
      </c>
    </row>
    <row r="18" spans="2:15" ht="15" x14ac:dyDescent="0.25">
      <c r="B18" s="51"/>
      <c r="C18" s="4"/>
      <c r="D18" s="4"/>
      <c r="E18" s="4"/>
      <c r="F18" s="57">
        <v>612000</v>
      </c>
      <c r="G18" s="68"/>
      <c r="H18" s="10" t="s">
        <v>56</v>
      </c>
      <c r="I18" s="106">
        <f t="shared" ref="I18" si="6">I19+I20</f>
        <v>33420</v>
      </c>
      <c r="J18" s="32">
        <f t="shared" ref="J18:N18" si="7">J19+J20</f>
        <v>0</v>
      </c>
      <c r="K18" s="162">
        <f t="shared" si="7"/>
        <v>33420</v>
      </c>
      <c r="L18" s="106">
        <f t="shared" si="7"/>
        <v>0</v>
      </c>
      <c r="M18" s="32">
        <f t="shared" si="7"/>
        <v>0</v>
      </c>
      <c r="N18" s="202">
        <f t="shared" si="7"/>
        <v>0</v>
      </c>
      <c r="O18" s="228">
        <f t="shared" si="0"/>
        <v>0</v>
      </c>
    </row>
    <row r="19" spans="2:15" ht="14.25" x14ac:dyDescent="0.2">
      <c r="B19" s="50"/>
      <c r="C19" s="8"/>
      <c r="D19" s="8"/>
      <c r="E19" s="8"/>
      <c r="F19" s="58">
        <v>612100</v>
      </c>
      <c r="G19" s="69"/>
      <c r="H19" s="145" t="s">
        <v>5</v>
      </c>
      <c r="I19" s="107">
        <f>29210+12*120+210+2*120+7*90+1690</f>
        <v>33420</v>
      </c>
      <c r="J19" s="31">
        <v>0</v>
      </c>
      <c r="K19" s="164">
        <f>SUM(I19:J19)</f>
        <v>33420</v>
      </c>
      <c r="L19" s="107"/>
      <c r="M19" s="31">
        <v>0</v>
      </c>
      <c r="N19" s="204">
        <f>SUM(L19:M19)</f>
        <v>0</v>
      </c>
      <c r="O19" s="224">
        <f t="shared" si="0"/>
        <v>0</v>
      </c>
    </row>
    <row r="20" spans="2:15" ht="14.25" x14ac:dyDescent="0.2">
      <c r="B20" s="50"/>
      <c r="C20" s="8"/>
      <c r="D20" s="8"/>
      <c r="E20" s="8"/>
      <c r="F20" s="58"/>
      <c r="G20" s="69"/>
      <c r="H20" s="9"/>
      <c r="I20" s="108"/>
      <c r="J20" s="46"/>
      <c r="K20" s="164"/>
      <c r="L20" s="108"/>
      <c r="M20" s="46"/>
      <c r="N20" s="204"/>
      <c r="O20" s="224" t="str">
        <f t="shared" si="0"/>
        <v/>
      </c>
    </row>
    <row r="21" spans="2:15" ht="15" x14ac:dyDescent="0.25">
      <c r="B21" s="51"/>
      <c r="C21" s="4"/>
      <c r="D21" s="4"/>
      <c r="E21" s="4"/>
      <c r="F21" s="57">
        <v>613000</v>
      </c>
      <c r="G21" s="68"/>
      <c r="H21" s="10" t="s">
        <v>58</v>
      </c>
      <c r="I21" s="109">
        <f>SUM(I22:I31)</f>
        <v>257300</v>
      </c>
      <c r="J21" s="55">
        <f t="shared" ref="J21:N21" si="8">SUM(J22:J31)</f>
        <v>0</v>
      </c>
      <c r="K21" s="165">
        <f t="shared" si="8"/>
        <v>257300</v>
      </c>
      <c r="L21" s="109">
        <f t="shared" si="8"/>
        <v>0</v>
      </c>
      <c r="M21" s="55">
        <f t="shared" si="8"/>
        <v>0</v>
      </c>
      <c r="N21" s="205">
        <f t="shared" si="8"/>
        <v>0</v>
      </c>
      <c r="O21" s="228">
        <f t="shared" si="0"/>
        <v>0</v>
      </c>
    </row>
    <row r="22" spans="2:15" ht="14.25" x14ac:dyDescent="0.2">
      <c r="B22" s="50"/>
      <c r="C22" s="8"/>
      <c r="D22" s="8"/>
      <c r="E22" s="8"/>
      <c r="F22" s="58">
        <v>613100</v>
      </c>
      <c r="G22" s="69"/>
      <c r="H22" s="9" t="s">
        <v>6</v>
      </c>
      <c r="I22" s="99">
        <v>7000</v>
      </c>
      <c r="J22" s="46">
        <v>0</v>
      </c>
      <c r="K22" s="164">
        <f t="shared" ref="K22:K31" si="9">SUM(I22:J22)</f>
        <v>7000</v>
      </c>
      <c r="L22" s="108"/>
      <c r="M22" s="46"/>
      <c r="N22" s="204">
        <f t="shared" ref="N22:N31" si="10">SUM(L22:M22)</f>
        <v>0</v>
      </c>
      <c r="O22" s="224">
        <f t="shared" ref="O22:O55" si="11">IF(K22=0,"",N22/K22*100)</f>
        <v>0</v>
      </c>
    </row>
    <row r="23" spans="2:15" ht="14.25" x14ac:dyDescent="0.2">
      <c r="B23" s="50"/>
      <c r="C23" s="8"/>
      <c r="D23" s="8"/>
      <c r="E23" s="8"/>
      <c r="F23" s="58">
        <v>613200</v>
      </c>
      <c r="G23" s="69"/>
      <c r="H23" s="9" t="s">
        <v>7</v>
      </c>
      <c r="I23" s="99">
        <v>0</v>
      </c>
      <c r="J23" s="46">
        <v>0</v>
      </c>
      <c r="K23" s="164">
        <f t="shared" si="9"/>
        <v>0</v>
      </c>
      <c r="L23" s="108"/>
      <c r="M23" s="46"/>
      <c r="N23" s="204">
        <f t="shared" si="10"/>
        <v>0</v>
      </c>
      <c r="O23" s="224" t="str">
        <f t="shared" si="11"/>
        <v/>
      </c>
    </row>
    <row r="24" spans="2:15" ht="14.25" x14ac:dyDescent="0.2">
      <c r="B24" s="50"/>
      <c r="C24" s="8"/>
      <c r="D24" s="8"/>
      <c r="E24" s="8"/>
      <c r="F24" s="58">
        <v>613300</v>
      </c>
      <c r="G24" s="69"/>
      <c r="H24" s="9" t="s">
        <v>70</v>
      </c>
      <c r="I24" s="99">
        <v>10300</v>
      </c>
      <c r="J24" s="46">
        <v>0</v>
      </c>
      <c r="K24" s="164">
        <f t="shared" si="9"/>
        <v>10300</v>
      </c>
      <c r="L24" s="108"/>
      <c r="M24" s="46"/>
      <c r="N24" s="204">
        <f t="shared" si="10"/>
        <v>0</v>
      </c>
      <c r="O24" s="224">
        <f t="shared" si="11"/>
        <v>0</v>
      </c>
    </row>
    <row r="25" spans="2:15" ht="14.25" x14ac:dyDescent="0.2">
      <c r="B25" s="50"/>
      <c r="C25" s="8"/>
      <c r="D25" s="8"/>
      <c r="E25" s="8"/>
      <c r="F25" s="58">
        <v>613400</v>
      </c>
      <c r="G25" s="69"/>
      <c r="H25" s="9" t="s">
        <v>59</v>
      </c>
      <c r="I25" s="99">
        <v>3500</v>
      </c>
      <c r="J25" s="46">
        <v>0</v>
      </c>
      <c r="K25" s="164">
        <f t="shared" si="9"/>
        <v>3500</v>
      </c>
      <c r="L25" s="108"/>
      <c r="M25" s="46"/>
      <c r="N25" s="204">
        <f t="shared" si="10"/>
        <v>0</v>
      </c>
      <c r="O25" s="224">
        <f t="shared" si="11"/>
        <v>0</v>
      </c>
    </row>
    <row r="26" spans="2:15" ht="14.25" x14ac:dyDescent="0.2">
      <c r="B26" s="50"/>
      <c r="C26" s="8"/>
      <c r="D26" s="8"/>
      <c r="E26" s="8"/>
      <c r="F26" s="58">
        <v>613500</v>
      </c>
      <c r="G26" s="69"/>
      <c r="H26" s="9" t="s">
        <v>8</v>
      </c>
      <c r="I26" s="99">
        <v>0</v>
      </c>
      <c r="J26" s="46">
        <v>0</v>
      </c>
      <c r="K26" s="164">
        <f t="shared" si="9"/>
        <v>0</v>
      </c>
      <c r="L26" s="108"/>
      <c r="M26" s="46"/>
      <c r="N26" s="204">
        <f t="shared" si="10"/>
        <v>0</v>
      </c>
      <c r="O26" s="224" t="str">
        <f t="shared" si="11"/>
        <v/>
      </c>
    </row>
    <row r="27" spans="2:15" ht="14.25" x14ac:dyDescent="0.2">
      <c r="B27" s="50"/>
      <c r="C27" s="8"/>
      <c r="D27" s="8"/>
      <c r="E27" s="8"/>
      <c r="F27" s="58">
        <v>613600</v>
      </c>
      <c r="G27" s="69"/>
      <c r="H27" s="9" t="s">
        <v>71</v>
      </c>
      <c r="I27" s="99">
        <v>0</v>
      </c>
      <c r="J27" s="46">
        <v>0</v>
      </c>
      <c r="K27" s="164">
        <f t="shared" si="9"/>
        <v>0</v>
      </c>
      <c r="L27" s="108"/>
      <c r="M27" s="46"/>
      <c r="N27" s="204">
        <f t="shared" si="10"/>
        <v>0</v>
      </c>
      <c r="O27" s="224" t="str">
        <f t="shared" si="11"/>
        <v/>
      </c>
    </row>
    <row r="28" spans="2:15" ht="14.25" x14ac:dyDescent="0.2">
      <c r="B28" s="50"/>
      <c r="C28" s="8"/>
      <c r="D28" s="8"/>
      <c r="E28" s="8"/>
      <c r="F28" s="58">
        <v>613700</v>
      </c>
      <c r="G28" s="69"/>
      <c r="H28" s="9" t="s">
        <v>9</v>
      </c>
      <c r="I28" s="100">
        <v>5000</v>
      </c>
      <c r="J28" s="54">
        <v>0</v>
      </c>
      <c r="K28" s="164">
        <f t="shared" si="9"/>
        <v>5000</v>
      </c>
      <c r="L28" s="116"/>
      <c r="M28" s="54"/>
      <c r="N28" s="204">
        <f t="shared" si="10"/>
        <v>0</v>
      </c>
      <c r="O28" s="224">
        <f t="shared" si="11"/>
        <v>0</v>
      </c>
    </row>
    <row r="29" spans="2:15" ht="14.25" x14ac:dyDescent="0.2">
      <c r="B29" s="50"/>
      <c r="C29" s="8"/>
      <c r="D29" s="8"/>
      <c r="E29" s="8"/>
      <c r="F29" s="58">
        <v>613800</v>
      </c>
      <c r="G29" s="69"/>
      <c r="H29" s="9" t="s">
        <v>60</v>
      </c>
      <c r="I29" s="99">
        <v>15500</v>
      </c>
      <c r="J29" s="46">
        <v>0</v>
      </c>
      <c r="K29" s="164">
        <f t="shared" si="9"/>
        <v>15500</v>
      </c>
      <c r="L29" s="108"/>
      <c r="M29" s="46"/>
      <c r="N29" s="204">
        <f t="shared" si="10"/>
        <v>0</v>
      </c>
      <c r="O29" s="224">
        <f t="shared" si="11"/>
        <v>0</v>
      </c>
    </row>
    <row r="30" spans="2:15" ht="14.25" x14ac:dyDescent="0.2">
      <c r="B30" s="50"/>
      <c r="C30" s="8"/>
      <c r="D30" s="8"/>
      <c r="E30" s="8"/>
      <c r="F30" s="58">
        <v>613900</v>
      </c>
      <c r="G30" s="69"/>
      <c r="H30" s="9" t="s">
        <v>61</v>
      </c>
      <c r="I30" s="99">
        <v>21000</v>
      </c>
      <c r="J30" s="46">
        <v>0</v>
      </c>
      <c r="K30" s="164">
        <f t="shared" si="9"/>
        <v>21000</v>
      </c>
      <c r="L30" s="108"/>
      <c r="M30" s="46"/>
      <c r="N30" s="204">
        <f t="shared" si="10"/>
        <v>0</v>
      </c>
      <c r="O30" s="224">
        <f t="shared" si="11"/>
        <v>0</v>
      </c>
    </row>
    <row r="31" spans="2:15" ht="14.25" x14ac:dyDescent="0.2">
      <c r="B31" s="50"/>
      <c r="C31" s="8"/>
      <c r="D31" s="8"/>
      <c r="E31" s="132"/>
      <c r="F31" s="63">
        <v>613900</v>
      </c>
      <c r="G31" s="74" t="s">
        <v>97</v>
      </c>
      <c r="H31" s="9" t="s">
        <v>83</v>
      </c>
      <c r="I31" s="99">
        <v>195000</v>
      </c>
      <c r="J31" s="46">
        <v>0</v>
      </c>
      <c r="K31" s="164">
        <f t="shared" si="9"/>
        <v>195000</v>
      </c>
      <c r="L31" s="108"/>
      <c r="M31" s="46"/>
      <c r="N31" s="204">
        <f t="shared" si="10"/>
        <v>0</v>
      </c>
      <c r="O31" s="224">
        <f t="shared" si="11"/>
        <v>0</v>
      </c>
    </row>
    <row r="32" spans="2:15" ht="14.25" x14ac:dyDescent="0.2">
      <c r="B32" s="50"/>
      <c r="C32" s="8"/>
      <c r="D32" s="8"/>
      <c r="E32" s="132"/>
      <c r="F32" s="63"/>
      <c r="G32" s="74"/>
      <c r="H32" s="9"/>
      <c r="I32" s="108"/>
      <c r="J32" s="46"/>
      <c r="K32" s="164"/>
      <c r="L32" s="108"/>
      <c r="M32" s="46"/>
      <c r="N32" s="204"/>
      <c r="O32" s="224" t="str">
        <f t="shared" si="11"/>
        <v/>
      </c>
    </row>
    <row r="33" spans="2:15" ht="15" x14ac:dyDescent="0.25">
      <c r="B33" s="51"/>
      <c r="C33" s="4"/>
      <c r="D33" s="10"/>
      <c r="E33" s="10"/>
      <c r="F33" s="57">
        <v>614000</v>
      </c>
      <c r="G33" s="68"/>
      <c r="H33" s="10" t="s">
        <v>72</v>
      </c>
      <c r="I33" s="110">
        <f t="shared" ref="I33" si="12">SUM(I34:I36)</f>
        <v>1135000</v>
      </c>
      <c r="J33" s="52">
        <f t="shared" ref="J33:N33" si="13">SUM(J34:J36)</f>
        <v>0</v>
      </c>
      <c r="K33" s="165">
        <f t="shared" si="13"/>
        <v>1135000</v>
      </c>
      <c r="L33" s="110">
        <f t="shared" si="13"/>
        <v>0</v>
      </c>
      <c r="M33" s="52">
        <f t="shared" si="13"/>
        <v>0</v>
      </c>
      <c r="N33" s="205">
        <f t="shared" si="13"/>
        <v>0</v>
      </c>
      <c r="O33" s="228">
        <f t="shared" si="11"/>
        <v>0</v>
      </c>
    </row>
    <row r="34" spans="2:15" ht="14.25" x14ac:dyDescent="0.2">
      <c r="B34" s="50"/>
      <c r="C34" s="8"/>
      <c r="D34" s="9"/>
      <c r="E34" s="9"/>
      <c r="F34" s="58">
        <v>614100</v>
      </c>
      <c r="G34" s="67" t="s">
        <v>98</v>
      </c>
      <c r="H34" s="198" t="s">
        <v>243</v>
      </c>
      <c r="I34" s="108">
        <v>1000000</v>
      </c>
      <c r="J34" s="46">
        <v>0</v>
      </c>
      <c r="K34" s="164">
        <f t="shared" ref="K34:K36" si="14">SUM(I34:J34)</f>
        <v>1000000</v>
      </c>
      <c r="L34" s="108"/>
      <c r="M34" s="46"/>
      <c r="N34" s="204">
        <f t="shared" ref="N34:N36" si="15">SUM(L34:M34)</f>
        <v>0</v>
      </c>
      <c r="O34" s="224">
        <f t="shared" si="11"/>
        <v>0</v>
      </c>
    </row>
    <row r="35" spans="2:15" ht="14.25" x14ac:dyDescent="0.2">
      <c r="B35" s="50"/>
      <c r="C35" s="8"/>
      <c r="D35" s="9"/>
      <c r="E35" s="9"/>
      <c r="F35" s="79">
        <v>614800</v>
      </c>
      <c r="G35" s="75" t="s">
        <v>99</v>
      </c>
      <c r="H35" s="153" t="s">
        <v>22</v>
      </c>
      <c r="I35" s="108">
        <v>130000</v>
      </c>
      <c r="J35" s="46">
        <v>0</v>
      </c>
      <c r="K35" s="164">
        <f t="shared" si="14"/>
        <v>130000</v>
      </c>
      <c r="L35" s="108"/>
      <c r="M35" s="46"/>
      <c r="N35" s="204">
        <f t="shared" si="15"/>
        <v>0</v>
      </c>
      <c r="O35" s="224">
        <f t="shared" si="11"/>
        <v>0</v>
      </c>
    </row>
    <row r="36" spans="2:15" ht="25.5" x14ac:dyDescent="0.2">
      <c r="B36" s="50"/>
      <c r="C36" s="8"/>
      <c r="D36" s="9"/>
      <c r="E36" s="9"/>
      <c r="F36" s="79">
        <v>614800</v>
      </c>
      <c r="G36" s="75" t="s">
        <v>100</v>
      </c>
      <c r="H36" s="154" t="s">
        <v>86</v>
      </c>
      <c r="I36" s="108">
        <v>5000</v>
      </c>
      <c r="J36" s="46">
        <v>0</v>
      </c>
      <c r="K36" s="164">
        <f t="shared" si="14"/>
        <v>5000</v>
      </c>
      <c r="L36" s="108"/>
      <c r="M36" s="46"/>
      <c r="N36" s="204">
        <f t="shared" si="15"/>
        <v>0</v>
      </c>
      <c r="O36" s="224">
        <f t="shared" si="11"/>
        <v>0</v>
      </c>
    </row>
    <row r="37" spans="2:15" ht="14.25" x14ac:dyDescent="0.2">
      <c r="B37" s="50"/>
      <c r="C37" s="8"/>
      <c r="D37" s="9"/>
      <c r="E37" s="133"/>
      <c r="F37" s="80"/>
      <c r="G37" s="76"/>
      <c r="H37" s="14"/>
      <c r="I37" s="108"/>
      <c r="J37" s="46"/>
      <c r="K37" s="164"/>
      <c r="L37" s="108"/>
      <c r="M37" s="46"/>
      <c r="N37" s="204"/>
      <c r="O37" s="224" t="str">
        <f t="shared" si="11"/>
        <v/>
      </c>
    </row>
    <row r="38" spans="2:15" ht="15" x14ac:dyDescent="0.25">
      <c r="B38" s="50"/>
      <c r="C38" s="8"/>
      <c r="D38" s="8"/>
      <c r="E38" s="134"/>
      <c r="F38" s="65">
        <v>616000</v>
      </c>
      <c r="G38" s="77"/>
      <c r="H38" s="11" t="s">
        <v>73</v>
      </c>
      <c r="I38" s="121">
        <f t="shared" ref="I38" si="16">SUM(I39:I40)</f>
        <v>10850</v>
      </c>
      <c r="J38" s="44">
        <f t="shared" ref="J38:N38" si="17">SUM(J39:J40)</f>
        <v>0</v>
      </c>
      <c r="K38" s="88">
        <f t="shared" si="17"/>
        <v>10850</v>
      </c>
      <c r="L38" s="121">
        <f t="shared" si="17"/>
        <v>0</v>
      </c>
      <c r="M38" s="44">
        <f t="shared" si="17"/>
        <v>0</v>
      </c>
      <c r="N38" s="205">
        <f t="shared" si="17"/>
        <v>0</v>
      </c>
      <c r="O38" s="228">
        <f t="shared" si="11"/>
        <v>0</v>
      </c>
    </row>
    <row r="39" spans="2:15" ht="14.25" x14ac:dyDescent="0.2">
      <c r="B39" s="50"/>
      <c r="C39" s="8"/>
      <c r="D39" s="8"/>
      <c r="E39" s="98"/>
      <c r="F39" s="64">
        <v>616200</v>
      </c>
      <c r="G39" s="67" t="s">
        <v>101</v>
      </c>
      <c r="H39" s="15" t="s">
        <v>162</v>
      </c>
      <c r="I39" s="108">
        <v>10850</v>
      </c>
      <c r="J39" s="46">
        <v>0</v>
      </c>
      <c r="K39" s="87">
        <f t="shared" ref="K39:K40" si="18">SUM(I39:J39)</f>
        <v>10850</v>
      </c>
      <c r="L39" s="108"/>
      <c r="M39" s="46"/>
      <c r="N39" s="204">
        <f t="shared" ref="N39:N40" si="19">SUM(L39:M39)</f>
        <v>0</v>
      </c>
      <c r="O39" s="224">
        <f t="shared" si="11"/>
        <v>0</v>
      </c>
    </row>
    <row r="40" spans="2:15" ht="14.25" x14ac:dyDescent="0.2">
      <c r="B40" s="50"/>
      <c r="C40" s="8"/>
      <c r="D40" s="8"/>
      <c r="E40" s="98"/>
      <c r="F40" s="64">
        <v>616200</v>
      </c>
      <c r="G40" s="67" t="s">
        <v>102</v>
      </c>
      <c r="H40" s="15" t="s">
        <v>163</v>
      </c>
      <c r="I40" s="108">
        <v>0</v>
      </c>
      <c r="J40" s="46">
        <v>0</v>
      </c>
      <c r="K40" s="87">
        <f t="shared" si="18"/>
        <v>0</v>
      </c>
      <c r="L40" s="108"/>
      <c r="M40" s="46"/>
      <c r="N40" s="204">
        <f t="shared" si="19"/>
        <v>0</v>
      </c>
      <c r="O40" s="224" t="str">
        <f t="shared" si="11"/>
        <v/>
      </c>
    </row>
    <row r="41" spans="2:15" ht="15" x14ac:dyDescent="0.25">
      <c r="B41" s="50"/>
      <c r="C41" s="8"/>
      <c r="D41" s="8"/>
      <c r="E41" s="8"/>
      <c r="F41" s="58"/>
      <c r="G41" s="69"/>
      <c r="H41" s="8"/>
      <c r="I41" s="110"/>
      <c r="J41" s="52"/>
      <c r="K41" s="88"/>
      <c r="L41" s="110"/>
      <c r="M41" s="52"/>
      <c r="N41" s="205"/>
      <c r="O41" s="224" t="str">
        <f t="shared" si="11"/>
        <v/>
      </c>
    </row>
    <row r="42" spans="2:15" ht="15" x14ac:dyDescent="0.25">
      <c r="B42" s="51"/>
      <c r="C42" s="4"/>
      <c r="D42" s="4"/>
      <c r="E42" s="4"/>
      <c r="F42" s="57">
        <v>821000</v>
      </c>
      <c r="G42" s="68"/>
      <c r="H42" s="4" t="s">
        <v>12</v>
      </c>
      <c r="I42" s="110">
        <f t="shared" ref="I42" si="20">SUM(I43:I44)</f>
        <v>15000</v>
      </c>
      <c r="J42" s="52">
        <f t="shared" ref="J42:N42" si="21">SUM(J43:J44)</f>
        <v>0</v>
      </c>
      <c r="K42" s="88">
        <f t="shared" si="21"/>
        <v>15000</v>
      </c>
      <c r="L42" s="110">
        <f t="shared" si="21"/>
        <v>0</v>
      </c>
      <c r="M42" s="52">
        <f t="shared" si="21"/>
        <v>0</v>
      </c>
      <c r="N42" s="205">
        <f t="shared" si="21"/>
        <v>0</v>
      </c>
      <c r="O42" s="228">
        <f t="shared" si="11"/>
        <v>0</v>
      </c>
    </row>
    <row r="43" spans="2:15" ht="14.25" x14ac:dyDescent="0.2">
      <c r="B43" s="50"/>
      <c r="C43" s="8"/>
      <c r="D43" s="8"/>
      <c r="E43" s="8"/>
      <c r="F43" s="58">
        <v>821200</v>
      </c>
      <c r="G43" s="69"/>
      <c r="H43" s="8" t="s">
        <v>13</v>
      </c>
      <c r="I43" s="116">
        <v>0</v>
      </c>
      <c r="J43" s="54">
        <v>0</v>
      </c>
      <c r="K43" s="87">
        <f t="shared" ref="K43:K44" si="22">SUM(I43:J43)</f>
        <v>0</v>
      </c>
      <c r="L43" s="116"/>
      <c r="M43" s="54"/>
      <c r="N43" s="204">
        <f t="shared" ref="N43:N44" si="23">SUM(L43:M43)</f>
        <v>0</v>
      </c>
      <c r="O43" s="224" t="str">
        <f t="shared" si="11"/>
        <v/>
      </c>
    </row>
    <row r="44" spans="2:15" ht="14.25" x14ac:dyDescent="0.2">
      <c r="B44" s="50"/>
      <c r="C44" s="8"/>
      <c r="D44" s="8"/>
      <c r="E44" s="8"/>
      <c r="F44" s="58">
        <v>821300</v>
      </c>
      <c r="G44" s="69"/>
      <c r="H44" s="8" t="s">
        <v>14</v>
      </c>
      <c r="I44" s="116">
        <v>15000</v>
      </c>
      <c r="J44" s="54">
        <v>0</v>
      </c>
      <c r="K44" s="87">
        <f t="shared" si="22"/>
        <v>15000</v>
      </c>
      <c r="L44" s="116"/>
      <c r="M44" s="54"/>
      <c r="N44" s="204">
        <f t="shared" si="23"/>
        <v>0</v>
      </c>
      <c r="O44" s="224">
        <f t="shared" si="11"/>
        <v>0</v>
      </c>
    </row>
    <row r="45" spans="2:15" ht="14.25" x14ac:dyDescent="0.2">
      <c r="B45" s="50"/>
      <c r="C45" s="8"/>
      <c r="D45" s="8"/>
      <c r="E45" s="8"/>
      <c r="F45" s="58"/>
      <c r="G45" s="69"/>
      <c r="H45" s="8"/>
      <c r="I45" s="108"/>
      <c r="J45" s="46"/>
      <c r="K45" s="87"/>
      <c r="L45" s="108"/>
      <c r="M45" s="46"/>
      <c r="N45" s="204"/>
      <c r="O45" s="224" t="str">
        <f t="shared" si="11"/>
        <v/>
      </c>
    </row>
    <row r="46" spans="2:15" ht="15" x14ac:dyDescent="0.25">
      <c r="B46" s="51"/>
      <c r="C46" s="4"/>
      <c r="D46" s="4"/>
      <c r="E46" s="4"/>
      <c r="F46" s="57">
        <v>823000</v>
      </c>
      <c r="G46" s="68"/>
      <c r="H46" s="4" t="s">
        <v>74</v>
      </c>
      <c r="I46" s="110">
        <f t="shared" ref="I46" si="24">SUM(I47:I48)</f>
        <v>512990</v>
      </c>
      <c r="J46" s="52">
        <f t="shared" ref="J46:N46" si="25">SUM(J47:J48)</f>
        <v>0</v>
      </c>
      <c r="K46" s="88">
        <f t="shared" si="25"/>
        <v>512990</v>
      </c>
      <c r="L46" s="110">
        <f t="shared" si="25"/>
        <v>0</v>
      </c>
      <c r="M46" s="52">
        <f t="shared" si="25"/>
        <v>0</v>
      </c>
      <c r="N46" s="205">
        <f t="shared" si="25"/>
        <v>0</v>
      </c>
      <c r="O46" s="228">
        <f t="shared" si="11"/>
        <v>0</v>
      </c>
    </row>
    <row r="47" spans="2:15" ht="14.25" x14ac:dyDescent="0.2">
      <c r="B47" s="50"/>
      <c r="C47" s="8"/>
      <c r="D47" s="8"/>
      <c r="E47" s="8"/>
      <c r="F47" s="58">
        <v>823200</v>
      </c>
      <c r="G47" s="69" t="s">
        <v>101</v>
      </c>
      <c r="H47" s="120" t="s">
        <v>164</v>
      </c>
      <c r="I47" s="116">
        <v>82700</v>
      </c>
      <c r="J47" s="54">
        <v>0</v>
      </c>
      <c r="K47" s="87">
        <f t="shared" ref="K47:K48" si="26">SUM(I47:J47)</f>
        <v>82700</v>
      </c>
      <c r="L47" s="116"/>
      <c r="M47" s="54"/>
      <c r="N47" s="204">
        <f t="shared" ref="N47:N48" si="27">SUM(L47:M47)</f>
        <v>0</v>
      </c>
      <c r="O47" s="224">
        <f t="shared" si="11"/>
        <v>0</v>
      </c>
    </row>
    <row r="48" spans="2:15" ht="14.25" x14ac:dyDescent="0.2">
      <c r="B48" s="50"/>
      <c r="C48" s="8"/>
      <c r="D48" s="8"/>
      <c r="E48" s="8"/>
      <c r="F48" s="58">
        <v>823200</v>
      </c>
      <c r="G48" s="69" t="s">
        <v>102</v>
      </c>
      <c r="H48" s="120" t="s">
        <v>165</v>
      </c>
      <c r="I48" s="116">
        <v>430290</v>
      </c>
      <c r="J48" s="54">
        <v>0</v>
      </c>
      <c r="K48" s="87">
        <f t="shared" si="26"/>
        <v>430290</v>
      </c>
      <c r="L48" s="116"/>
      <c r="M48" s="54"/>
      <c r="N48" s="204">
        <f t="shared" si="27"/>
        <v>0</v>
      </c>
      <c r="O48" s="224">
        <f t="shared" si="11"/>
        <v>0</v>
      </c>
    </row>
    <row r="49" spans="2:15" ht="14.25" x14ac:dyDescent="0.2">
      <c r="B49" s="50"/>
      <c r="C49" s="8"/>
      <c r="D49" s="8"/>
      <c r="E49" s="8"/>
      <c r="F49" s="58"/>
      <c r="G49" s="69"/>
      <c r="H49" s="8"/>
      <c r="I49" s="50"/>
      <c r="J49" s="8"/>
      <c r="K49" s="96"/>
      <c r="L49" s="50"/>
      <c r="M49" s="8"/>
      <c r="N49" s="220"/>
      <c r="O49" s="224" t="str">
        <f t="shared" si="11"/>
        <v/>
      </c>
    </row>
    <row r="50" spans="2:15" ht="15" x14ac:dyDescent="0.25">
      <c r="B50" s="51"/>
      <c r="C50" s="4"/>
      <c r="D50" s="4"/>
      <c r="E50" s="4"/>
      <c r="F50" s="57"/>
      <c r="G50" s="68"/>
      <c r="H50" s="4" t="s">
        <v>15</v>
      </c>
      <c r="I50" s="127" t="s">
        <v>379</v>
      </c>
      <c r="J50" s="128"/>
      <c r="K50" s="129" t="s">
        <v>379</v>
      </c>
      <c r="L50" s="127"/>
      <c r="M50" s="128"/>
      <c r="N50" s="221"/>
      <c r="O50" s="224"/>
    </row>
    <row r="51" spans="2:15" ht="15" x14ac:dyDescent="0.25">
      <c r="B51" s="51"/>
      <c r="C51" s="4"/>
      <c r="D51" s="4"/>
      <c r="E51" s="4"/>
      <c r="F51" s="57"/>
      <c r="G51" s="68"/>
      <c r="H51" s="4" t="s">
        <v>24</v>
      </c>
      <c r="I51" s="110">
        <f t="shared" ref="I51:N51" si="28">I11+I14+I18+I21+I33+I38+I42+I46</f>
        <v>2775350</v>
      </c>
      <c r="J51" s="52">
        <f t="shared" si="28"/>
        <v>0</v>
      </c>
      <c r="K51" s="88">
        <f t="shared" si="28"/>
        <v>2775350</v>
      </c>
      <c r="L51" s="110">
        <f t="shared" si="28"/>
        <v>0</v>
      </c>
      <c r="M51" s="52">
        <f t="shared" si="28"/>
        <v>0</v>
      </c>
      <c r="N51" s="205">
        <f t="shared" si="28"/>
        <v>0</v>
      </c>
      <c r="O51" s="228">
        <f t="shared" si="11"/>
        <v>0</v>
      </c>
    </row>
    <row r="52" spans="2:15" ht="15" x14ac:dyDescent="0.25">
      <c r="B52" s="51"/>
      <c r="C52" s="4"/>
      <c r="D52" s="4"/>
      <c r="E52" s="4"/>
      <c r="F52" s="57"/>
      <c r="G52" s="68"/>
      <c r="H52" s="4" t="s">
        <v>16</v>
      </c>
      <c r="I52" s="110">
        <f t="shared" ref="I52:N53" si="29">I51</f>
        <v>2775350</v>
      </c>
      <c r="J52" s="52">
        <f t="shared" si="29"/>
        <v>0</v>
      </c>
      <c r="K52" s="88">
        <f t="shared" si="29"/>
        <v>2775350</v>
      </c>
      <c r="L52" s="110">
        <f t="shared" si="29"/>
        <v>0</v>
      </c>
      <c r="M52" s="52">
        <f t="shared" si="29"/>
        <v>0</v>
      </c>
      <c r="N52" s="205">
        <f t="shared" si="29"/>
        <v>0</v>
      </c>
      <c r="O52" s="228">
        <f t="shared" si="11"/>
        <v>0</v>
      </c>
    </row>
    <row r="53" spans="2:15" ht="15" x14ac:dyDescent="0.25">
      <c r="B53" s="51"/>
      <c r="C53" s="4"/>
      <c r="D53" s="4"/>
      <c r="E53" s="4"/>
      <c r="F53" s="57"/>
      <c r="G53" s="68"/>
      <c r="H53" s="4" t="s">
        <v>17</v>
      </c>
      <c r="I53" s="110">
        <f t="shared" si="29"/>
        <v>2775350</v>
      </c>
      <c r="J53" s="52">
        <f t="shared" si="29"/>
        <v>0</v>
      </c>
      <c r="K53" s="88">
        <f t="shared" si="29"/>
        <v>2775350</v>
      </c>
      <c r="L53" s="110">
        <f t="shared" si="29"/>
        <v>0</v>
      </c>
      <c r="M53" s="52">
        <f t="shared" si="29"/>
        <v>0</v>
      </c>
      <c r="N53" s="205">
        <f t="shared" si="29"/>
        <v>0</v>
      </c>
      <c r="O53" s="228">
        <f t="shared" si="11"/>
        <v>0</v>
      </c>
    </row>
    <row r="54" spans="2:15" ht="15" thickBot="1" x14ac:dyDescent="0.25">
      <c r="B54" s="6"/>
      <c r="C54" s="7"/>
      <c r="D54" s="7"/>
      <c r="E54" s="7"/>
      <c r="F54" s="59"/>
      <c r="G54" s="70"/>
      <c r="H54" s="7"/>
      <c r="I54" s="6"/>
      <c r="J54" s="7"/>
      <c r="K54" s="93"/>
      <c r="L54" s="184"/>
      <c r="M54" s="7"/>
      <c r="N54" s="215"/>
      <c r="O54" s="227"/>
    </row>
    <row r="55" spans="2:15" ht="14.25" x14ac:dyDescent="0.2">
      <c r="F55" s="60"/>
      <c r="G55" s="71"/>
      <c r="K55" s="91"/>
      <c r="N55" s="91"/>
      <c r="O55" s="233" t="str">
        <f t="shared" si="11"/>
        <v/>
      </c>
    </row>
  </sheetData>
  <mergeCells count="14">
    <mergeCell ref="H7:H8"/>
    <mergeCell ref="I7:K7"/>
    <mergeCell ref="L7:N7"/>
    <mergeCell ref="O7:O8"/>
    <mergeCell ref="B1:N1"/>
    <mergeCell ref="F3:K3"/>
    <mergeCell ref="D5:E5"/>
    <mergeCell ref="H6:I6"/>
    <mergeCell ref="B7:B8"/>
    <mergeCell ref="C7:C8"/>
    <mergeCell ref="D7:D8"/>
    <mergeCell ref="E7:E8"/>
    <mergeCell ref="F7:F8"/>
    <mergeCell ref="G7:G8"/>
  </mergeCells>
  <pageMargins left="0.39370078740157483" right="0.39370078740157483" top="0.39370078740157483" bottom="0.39370078740157483" header="0.31496062992125984" footer="0.31496062992125984"/>
  <pageSetup paperSize="9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0"/>
  <dimension ref="B1:O45"/>
  <sheetViews>
    <sheetView topLeftCell="C1" zoomScaleNormal="100" workbookViewId="0">
      <selection activeCell="L9" sqref="L9:O9"/>
    </sheetView>
  </sheetViews>
  <sheetFormatPr defaultColWidth="9.140625" defaultRowHeight="12.75" x14ac:dyDescent="0.2"/>
  <cols>
    <col min="1" max="1" width="6.140625" style="17" customWidth="1"/>
    <col min="2" max="2" width="4.7109375" style="17" customWidth="1"/>
    <col min="3" max="3" width="5.140625" style="17" customWidth="1"/>
    <col min="4" max="5" width="5" style="17" customWidth="1"/>
    <col min="6" max="7" width="8.7109375" style="53" customWidth="1"/>
    <col min="8" max="8" width="50.7109375" style="17" customWidth="1"/>
    <col min="9" max="9" width="11.7109375" style="17" customWidth="1"/>
    <col min="10" max="10" width="11.85546875" style="17" customWidth="1"/>
    <col min="11" max="11" width="13.5703125" style="17" customWidth="1"/>
    <col min="12" max="13" width="14.7109375" style="17" customWidth="1"/>
    <col min="14" max="14" width="15.7109375" style="17" customWidth="1"/>
    <col min="15" max="15" width="9.140625" style="17"/>
    <col min="16" max="16" width="9.5703125" style="17" bestFit="1" customWidth="1"/>
    <col min="17" max="16384" width="9.140625" style="17"/>
  </cols>
  <sheetData>
    <row r="1" spans="2:15" ht="15.75" x14ac:dyDescent="0.25">
      <c r="B1" s="428" t="s">
        <v>374</v>
      </c>
      <c r="C1" s="429"/>
      <c r="D1" s="429"/>
      <c r="E1" s="429"/>
      <c r="F1" s="429"/>
      <c r="G1" s="429"/>
      <c r="H1" s="429"/>
      <c r="I1" s="430"/>
      <c r="J1" s="430"/>
      <c r="K1" s="430"/>
      <c r="L1" s="430"/>
      <c r="M1" s="430"/>
      <c r="N1" s="430"/>
    </row>
    <row r="2" spans="2:15" x14ac:dyDescent="0.2">
      <c r="M2" s="126" t="s">
        <v>232</v>
      </c>
      <c r="N2" s="196"/>
    </row>
    <row r="3" spans="2:15" ht="15.75" x14ac:dyDescent="0.25">
      <c r="B3" s="180" t="s">
        <v>173</v>
      </c>
      <c r="F3" s="431" t="s">
        <v>207</v>
      </c>
      <c r="G3" s="432"/>
      <c r="H3" s="432"/>
      <c r="I3" s="432"/>
      <c r="J3" s="432"/>
      <c r="K3" s="432"/>
    </row>
    <row r="4" spans="2:15" x14ac:dyDescent="0.2">
      <c r="B4" s="180"/>
      <c r="G4"/>
      <c r="H4"/>
      <c r="I4"/>
      <c r="J4"/>
      <c r="K4"/>
    </row>
    <row r="5" spans="2:15" ht="15.75" x14ac:dyDescent="0.25">
      <c r="B5" s="180" t="s">
        <v>172</v>
      </c>
      <c r="D5" s="433">
        <v>17</v>
      </c>
      <c r="E5" s="434"/>
      <c r="F5" s="181"/>
      <c r="G5" s="181"/>
      <c r="I5" s="180"/>
      <c r="L5" s="411"/>
    </row>
    <row r="6" spans="2:15" s="22" customFormat="1" ht="16.5" thickBot="1" x14ac:dyDescent="0.3">
      <c r="F6" s="48"/>
      <c r="G6" s="48"/>
      <c r="H6" s="435"/>
      <c r="I6" s="435"/>
      <c r="J6" s="26"/>
      <c r="K6" s="26"/>
      <c r="L6" s="26"/>
      <c r="M6" s="26"/>
      <c r="N6" s="26"/>
    </row>
    <row r="7" spans="2:15" s="22" customFormat="1" ht="28.5" customHeight="1" x14ac:dyDescent="0.2">
      <c r="B7" s="436" t="s">
        <v>0</v>
      </c>
      <c r="C7" s="438" t="s">
        <v>1</v>
      </c>
      <c r="D7" s="438" t="s">
        <v>21</v>
      </c>
      <c r="E7" s="438" t="s">
        <v>135</v>
      </c>
      <c r="F7" s="421" t="s">
        <v>85</v>
      </c>
      <c r="G7" s="440" t="s">
        <v>88</v>
      </c>
      <c r="H7" s="421" t="s">
        <v>2</v>
      </c>
      <c r="I7" s="423" t="s">
        <v>375</v>
      </c>
      <c r="J7" s="424"/>
      <c r="K7" s="425"/>
      <c r="L7" s="423" t="s">
        <v>373</v>
      </c>
      <c r="M7" s="424"/>
      <c r="N7" s="424"/>
      <c r="O7" s="426" t="s">
        <v>258</v>
      </c>
    </row>
    <row r="8" spans="2:15" s="22" customFormat="1" ht="25.5" x14ac:dyDescent="0.2">
      <c r="B8" s="437"/>
      <c r="C8" s="439"/>
      <c r="D8" s="439"/>
      <c r="E8" s="439"/>
      <c r="F8" s="422"/>
      <c r="G8" s="439"/>
      <c r="H8" s="422"/>
      <c r="I8" s="105" t="s">
        <v>117</v>
      </c>
      <c r="J8" s="85" t="s">
        <v>118</v>
      </c>
      <c r="K8" s="159" t="s">
        <v>81</v>
      </c>
      <c r="L8" s="105" t="s">
        <v>117</v>
      </c>
      <c r="M8" s="85" t="s">
        <v>118</v>
      </c>
      <c r="N8" s="200" t="s">
        <v>81</v>
      </c>
      <c r="O8" s="427"/>
    </row>
    <row r="9" spans="2:15" s="48" customFormat="1" x14ac:dyDescent="0.2">
      <c r="B9" s="97">
        <v>1</v>
      </c>
      <c r="C9" s="68">
        <v>2</v>
      </c>
      <c r="D9" s="68">
        <v>3</v>
      </c>
      <c r="E9" s="68">
        <v>4</v>
      </c>
      <c r="F9" s="68">
        <v>5</v>
      </c>
      <c r="G9" s="68">
        <v>6</v>
      </c>
      <c r="H9" s="68">
        <v>7</v>
      </c>
      <c r="I9" s="97">
        <v>8</v>
      </c>
      <c r="J9" s="68">
        <v>9</v>
      </c>
      <c r="K9" s="160" t="s">
        <v>171</v>
      </c>
      <c r="L9" s="97">
        <v>11</v>
      </c>
      <c r="M9" s="68">
        <v>12</v>
      </c>
      <c r="N9" s="68" t="s">
        <v>394</v>
      </c>
      <c r="O9" s="232" t="s">
        <v>395</v>
      </c>
    </row>
    <row r="10" spans="2:15" ht="15" x14ac:dyDescent="0.25">
      <c r="B10" s="2" t="s">
        <v>41</v>
      </c>
      <c r="C10" s="3" t="s">
        <v>3</v>
      </c>
      <c r="D10" s="3" t="s">
        <v>4</v>
      </c>
      <c r="E10" s="136" t="s">
        <v>143</v>
      </c>
      <c r="F10" s="49"/>
      <c r="G10" s="49"/>
      <c r="H10" s="182" t="s">
        <v>191</v>
      </c>
      <c r="I10" s="1"/>
      <c r="J10" s="49"/>
      <c r="K10" s="161"/>
      <c r="L10" s="1"/>
      <c r="M10" s="49"/>
      <c r="N10" s="201"/>
      <c r="O10" s="224" t="str">
        <f t="shared" ref="O10:O36" si="0">IF(K10=0,"",N10/K10*100)</f>
        <v/>
      </c>
    </row>
    <row r="11" spans="2:15" ht="15" x14ac:dyDescent="0.25">
      <c r="B11" s="51"/>
      <c r="C11" s="4"/>
      <c r="D11" s="4"/>
      <c r="E11" s="4"/>
      <c r="F11" s="57">
        <v>611000</v>
      </c>
      <c r="G11" s="68"/>
      <c r="H11" s="10" t="s">
        <v>57</v>
      </c>
      <c r="I11" s="106">
        <f>I12+I13</f>
        <v>533370</v>
      </c>
      <c r="J11" s="32">
        <f t="shared" ref="J11:N11" si="1">SUM(J12:J14)</f>
        <v>0</v>
      </c>
      <c r="K11" s="162">
        <f t="shared" si="1"/>
        <v>533370</v>
      </c>
      <c r="L11" s="106">
        <f t="shared" si="1"/>
        <v>0</v>
      </c>
      <c r="M11" s="32">
        <f t="shared" si="1"/>
        <v>0</v>
      </c>
      <c r="N11" s="202">
        <f t="shared" si="1"/>
        <v>0</v>
      </c>
      <c r="O11" s="228">
        <f t="shared" si="0"/>
        <v>0</v>
      </c>
    </row>
    <row r="12" spans="2:15" ht="14.25" x14ac:dyDescent="0.2">
      <c r="B12" s="50"/>
      <c r="C12" s="8"/>
      <c r="D12" s="8"/>
      <c r="E12" s="8"/>
      <c r="F12" s="58">
        <v>611100</v>
      </c>
      <c r="G12" s="69"/>
      <c r="H12" s="9" t="s">
        <v>68</v>
      </c>
      <c r="I12" s="107">
        <f>428540+1280+24430</f>
        <v>454250</v>
      </c>
      <c r="J12" s="31">
        <v>0</v>
      </c>
      <c r="K12" s="163">
        <f>SUM(I12:J12)</f>
        <v>454250</v>
      </c>
      <c r="L12" s="107"/>
      <c r="M12" s="31"/>
      <c r="N12" s="203">
        <f>SUM(L12:M12)</f>
        <v>0</v>
      </c>
      <c r="O12" s="224">
        <f t="shared" si="0"/>
        <v>0</v>
      </c>
    </row>
    <row r="13" spans="2:15" ht="14.25" x14ac:dyDescent="0.2">
      <c r="B13" s="50"/>
      <c r="C13" s="8"/>
      <c r="D13" s="8"/>
      <c r="E13" s="8"/>
      <c r="F13" s="58">
        <v>611200</v>
      </c>
      <c r="G13" s="69"/>
      <c r="H13" s="9" t="s">
        <v>69</v>
      </c>
      <c r="I13" s="107">
        <f>76280+2840</f>
        <v>79120</v>
      </c>
      <c r="J13" s="31">
        <v>0</v>
      </c>
      <c r="K13" s="163">
        <f t="shared" ref="K13" si="2">SUM(I13:J13)</f>
        <v>79120</v>
      </c>
      <c r="L13" s="107"/>
      <c r="M13" s="31"/>
      <c r="N13" s="203">
        <f t="shared" ref="N13" si="3">SUM(L13:M13)</f>
        <v>0</v>
      </c>
      <c r="O13" s="224">
        <f t="shared" si="0"/>
        <v>0</v>
      </c>
    </row>
    <row r="14" spans="2:15" ht="14.25" x14ac:dyDescent="0.2">
      <c r="B14" s="50"/>
      <c r="C14" s="8"/>
      <c r="D14" s="8"/>
      <c r="E14" s="8"/>
      <c r="F14" s="58"/>
      <c r="G14" s="69"/>
      <c r="H14" s="9"/>
      <c r="I14" s="107"/>
      <c r="J14" s="31"/>
      <c r="K14" s="163"/>
      <c r="L14" s="107"/>
      <c r="M14" s="31"/>
      <c r="N14" s="203"/>
      <c r="O14" s="224" t="str">
        <f t="shared" si="0"/>
        <v/>
      </c>
    </row>
    <row r="15" spans="2:15" ht="15" x14ac:dyDescent="0.25">
      <c r="B15" s="51"/>
      <c r="C15" s="4"/>
      <c r="D15" s="4"/>
      <c r="E15" s="4"/>
      <c r="F15" s="57">
        <v>612000</v>
      </c>
      <c r="G15" s="68"/>
      <c r="H15" s="10" t="s">
        <v>56</v>
      </c>
      <c r="I15" s="106">
        <f>I16</f>
        <v>22970</v>
      </c>
      <c r="J15" s="32">
        <f t="shared" ref="J15:N15" si="4">J16</f>
        <v>0</v>
      </c>
      <c r="K15" s="162">
        <f t="shared" si="4"/>
        <v>22970</v>
      </c>
      <c r="L15" s="106">
        <f t="shared" si="4"/>
        <v>0</v>
      </c>
      <c r="M15" s="32">
        <f t="shared" si="4"/>
        <v>0</v>
      </c>
      <c r="N15" s="202">
        <f t="shared" si="4"/>
        <v>0</v>
      </c>
      <c r="O15" s="228">
        <f t="shared" si="0"/>
        <v>0</v>
      </c>
    </row>
    <row r="16" spans="2:15" ht="14.25" x14ac:dyDescent="0.2">
      <c r="B16" s="50"/>
      <c r="C16" s="8"/>
      <c r="D16" s="8"/>
      <c r="E16" s="8"/>
      <c r="F16" s="58">
        <v>612100</v>
      </c>
      <c r="G16" s="69"/>
      <c r="H16" s="145" t="s">
        <v>5</v>
      </c>
      <c r="I16" s="107">
        <f>21530+210+1230</f>
        <v>22970</v>
      </c>
      <c r="J16" s="31">
        <v>0</v>
      </c>
      <c r="K16" s="163">
        <f>SUM(I16:J16)</f>
        <v>22970</v>
      </c>
      <c r="L16" s="107"/>
      <c r="M16" s="31"/>
      <c r="N16" s="203">
        <f>SUM(L16:M16)</f>
        <v>0</v>
      </c>
      <c r="O16" s="224">
        <f t="shared" si="0"/>
        <v>0</v>
      </c>
    </row>
    <row r="17" spans="2:15" ht="14.25" x14ac:dyDescent="0.2">
      <c r="B17" s="50"/>
      <c r="C17" s="8"/>
      <c r="D17" s="8"/>
      <c r="E17" s="8"/>
      <c r="F17" s="58"/>
      <c r="G17" s="69"/>
      <c r="H17" s="9"/>
      <c r="I17" s="108"/>
      <c r="J17" s="46"/>
      <c r="K17" s="164"/>
      <c r="L17" s="108"/>
      <c r="M17" s="46"/>
      <c r="N17" s="204"/>
      <c r="O17" s="224" t="str">
        <f t="shared" si="0"/>
        <v/>
      </c>
    </row>
    <row r="18" spans="2:15" ht="15" x14ac:dyDescent="0.25">
      <c r="B18" s="51"/>
      <c r="C18" s="4"/>
      <c r="D18" s="4"/>
      <c r="E18" s="4"/>
      <c r="F18" s="57">
        <v>613000</v>
      </c>
      <c r="G18" s="68"/>
      <c r="H18" s="10" t="s">
        <v>58</v>
      </c>
      <c r="I18" s="109">
        <f>SUM(I19:I27)</f>
        <v>96500</v>
      </c>
      <c r="J18" s="55">
        <f t="shared" ref="J18:N18" si="5">SUM(J19:J27)</f>
        <v>0</v>
      </c>
      <c r="K18" s="165">
        <f t="shared" si="5"/>
        <v>96500</v>
      </c>
      <c r="L18" s="109">
        <f t="shared" si="5"/>
        <v>0</v>
      </c>
      <c r="M18" s="55">
        <f t="shared" si="5"/>
        <v>0</v>
      </c>
      <c r="N18" s="205">
        <f t="shared" si="5"/>
        <v>0</v>
      </c>
      <c r="O18" s="228">
        <f t="shared" si="0"/>
        <v>0</v>
      </c>
    </row>
    <row r="19" spans="2:15" ht="14.25" x14ac:dyDescent="0.2">
      <c r="B19" s="50"/>
      <c r="C19" s="8"/>
      <c r="D19" s="8"/>
      <c r="E19" s="8"/>
      <c r="F19" s="58">
        <v>613100</v>
      </c>
      <c r="G19" s="69"/>
      <c r="H19" s="9" t="s">
        <v>6</v>
      </c>
      <c r="I19" s="99">
        <v>4500</v>
      </c>
      <c r="J19" s="82">
        <v>0</v>
      </c>
      <c r="K19" s="163">
        <f t="shared" ref="K19:K27" si="6">SUM(I19:J19)</f>
        <v>4500</v>
      </c>
      <c r="L19" s="99"/>
      <c r="M19" s="82"/>
      <c r="N19" s="203">
        <f t="shared" ref="N19:N27" si="7">SUM(L19:M19)</f>
        <v>0</v>
      </c>
      <c r="O19" s="224">
        <f t="shared" si="0"/>
        <v>0</v>
      </c>
    </row>
    <row r="20" spans="2:15" ht="14.25" x14ac:dyDescent="0.2">
      <c r="B20" s="50"/>
      <c r="C20" s="8"/>
      <c r="D20" s="8"/>
      <c r="E20" s="8"/>
      <c r="F20" s="58">
        <v>613200</v>
      </c>
      <c r="G20" s="69"/>
      <c r="H20" s="9" t="s">
        <v>7</v>
      </c>
      <c r="I20" s="99">
        <v>0</v>
      </c>
      <c r="J20" s="82">
        <v>0</v>
      </c>
      <c r="K20" s="163">
        <f t="shared" si="6"/>
        <v>0</v>
      </c>
      <c r="L20" s="99"/>
      <c r="M20" s="82"/>
      <c r="N20" s="203">
        <f t="shared" si="7"/>
        <v>0</v>
      </c>
      <c r="O20" s="224" t="str">
        <f t="shared" si="0"/>
        <v/>
      </c>
    </row>
    <row r="21" spans="2:15" ht="14.25" x14ac:dyDescent="0.2">
      <c r="B21" s="50"/>
      <c r="C21" s="8"/>
      <c r="D21" s="8"/>
      <c r="E21" s="8"/>
      <c r="F21" s="58">
        <v>613300</v>
      </c>
      <c r="G21" s="69"/>
      <c r="H21" s="9" t="s">
        <v>70</v>
      </c>
      <c r="I21" s="99">
        <v>17000</v>
      </c>
      <c r="J21" s="82">
        <v>0</v>
      </c>
      <c r="K21" s="163">
        <f t="shared" si="6"/>
        <v>17000</v>
      </c>
      <c r="L21" s="99"/>
      <c r="M21" s="82"/>
      <c r="N21" s="203">
        <f t="shared" si="7"/>
        <v>0</v>
      </c>
      <c r="O21" s="224">
        <f t="shared" si="0"/>
        <v>0</v>
      </c>
    </row>
    <row r="22" spans="2:15" ht="14.25" x14ac:dyDescent="0.2">
      <c r="B22" s="50"/>
      <c r="C22" s="8"/>
      <c r="D22" s="8"/>
      <c r="E22" s="8"/>
      <c r="F22" s="58">
        <v>613400</v>
      </c>
      <c r="G22" s="69"/>
      <c r="H22" s="9" t="s">
        <v>59</v>
      </c>
      <c r="I22" s="99">
        <v>4000</v>
      </c>
      <c r="J22" s="82">
        <v>0</v>
      </c>
      <c r="K22" s="163">
        <f t="shared" si="6"/>
        <v>4000</v>
      </c>
      <c r="L22" s="99"/>
      <c r="M22" s="82"/>
      <c r="N22" s="203">
        <f t="shared" si="7"/>
        <v>0</v>
      </c>
      <c r="O22" s="224">
        <f t="shared" si="0"/>
        <v>0</v>
      </c>
    </row>
    <row r="23" spans="2:15" ht="14.25" x14ac:dyDescent="0.2">
      <c r="B23" s="50"/>
      <c r="C23" s="8"/>
      <c r="D23" s="8"/>
      <c r="E23" s="8"/>
      <c r="F23" s="58">
        <v>613500</v>
      </c>
      <c r="G23" s="69"/>
      <c r="H23" s="9" t="s">
        <v>8</v>
      </c>
      <c r="I23" s="99">
        <v>0</v>
      </c>
      <c r="J23" s="82">
        <v>0</v>
      </c>
      <c r="K23" s="163">
        <f t="shared" si="6"/>
        <v>0</v>
      </c>
      <c r="L23" s="99"/>
      <c r="M23" s="82"/>
      <c r="N23" s="203">
        <f t="shared" si="7"/>
        <v>0</v>
      </c>
      <c r="O23" s="224" t="str">
        <f t="shared" si="0"/>
        <v/>
      </c>
    </row>
    <row r="24" spans="2:15" ht="14.25" x14ac:dyDescent="0.2">
      <c r="B24" s="50"/>
      <c r="C24" s="8"/>
      <c r="D24" s="8"/>
      <c r="E24" s="8"/>
      <c r="F24" s="58">
        <v>613600</v>
      </c>
      <c r="G24" s="69"/>
      <c r="H24" s="9" t="s">
        <v>71</v>
      </c>
      <c r="I24" s="99">
        <v>0</v>
      </c>
      <c r="J24" s="82">
        <v>0</v>
      </c>
      <c r="K24" s="163">
        <f t="shared" si="6"/>
        <v>0</v>
      </c>
      <c r="L24" s="99"/>
      <c r="M24" s="82"/>
      <c r="N24" s="203">
        <f t="shared" si="7"/>
        <v>0</v>
      </c>
      <c r="O24" s="224" t="str">
        <f t="shared" si="0"/>
        <v/>
      </c>
    </row>
    <row r="25" spans="2:15" ht="14.25" x14ac:dyDescent="0.2">
      <c r="B25" s="50"/>
      <c r="C25" s="8"/>
      <c r="D25" s="8"/>
      <c r="E25" s="8"/>
      <c r="F25" s="58">
        <v>613700</v>
      </c>
      <c r="G25" s="69"/>
      <c r="H25" s="9" t="s">
        <v>9</v>
      </c>
      <c r="I25" s="99">
        <v>1000</v>
      </c>
      <c r="J25" s="82">
        <v>0</v>
      </c>
      <c r="K25" s="163">
        <f t="shared" si="6"/>
        <v>1000</v>
      </c>
      <c r="L25" s="99"/>
      <c r="M25" s="82"/>
      <c r="N25" s="203">
        <f t="shared" si="7"/>
        <v>0</v>
      </c>
      <c r="O25" s="224">
        <f t="shared" si="0"/>
        <v>0</v>
      </c>
    </row>
    <row r="26" spans="2:15" ht="14.25" x14ac:dyDescent="0.2">
      <c r="B26" s="50"/>
      <c r="C26" s="8"/>
      <c r="D26" s="8"/>
      <c r="E26" s="8"/>
      <c r="F26" s="58">
        <v>613800</v>
      </c>
      <c r="G26" s="69"/>
      <c r="H26" s="9" t="s">
        <v>60</v>
      </c>
      <c r="I26" s="99">
        <v>0</v>
      </c>
      <c r="J26" s="82">
        <v>0</v>
      </c>
      <c r="K26" s="163">
        <f t="shared" si="6"/>
        <v>0</v>
      </c>
      <c r="L26" s="99"/>
      <c r="M26" s="82"/>
      <c r="N26" s="203">
        <f t="shared" si="7"/>
        <v>0</v>
      </c>
      <c r="O26" s="224" t="str">
        <f t="shared" si="0"/>
        <v/>
      </c>
    </row>
    <row r="27" spans="2:15" ht="14.25" x14ac:dyDescent="0.2">
      <c r="B27" s="50"/>
      <c r="C27" s="8"/>
      <c r="D27" s="8"/>
      <c r="E27" s="8"/>
      <c r="F27" s="58">
        <v>613900</v>
      </c>
      <c r="G27" s="69"/>
      <c r="H27" s="9" t="s">
        <v>61</v>
      </c>
      <c r="I27" s="100">
        <v>70000</v>
      </c>
      <c r="J27" s="84">
        <v>0</v>
      </c>
      <c r="K27" s="163">
        <f t="shared" si="6"/>
        <v>70000</v>
      </c>
      <c r="L27" s="100"/>
      <c r="M27" s="84"/>
      <c r="N27" s="203">
        <f t="shared" si="7"/>
        <v>0</v>
      </c>
      <c r="O27" s="224">
        <f t="shared" si="0"/>
        <v>0</v>
      </c>
    </row>
    <row r="28" spans="2:15" ht="15" x14ac:dyDescent="0.25">
      <c r="B28" s="50"/>
      <c r="C28" s="8"/>
      <c r="D28" s="8"/>
      <c r="E28" s="8"/>
      <c r="F28" s="58"/>
      <c r="G28" s="69"/>
      <c r="H28" s="9"/>
      <c r="I28" s="110"/>
      <c r="J28" s="52"/>
      <c r="K28" s="165"/>
      <c r="L28" s="110"/>
      <c r="M28" s="52"/>
      <c r="N28" s="205"/>
      <c r="O28" s="224" t="str">
        <f t="shared" si="0"/>
        <v/>
      </c>
    </row>
    <row r="29" spans="2:15" ht="15" x14ac:dyDescent="0.25">
      <c r="B29" s="51"/>
      <c r="C29" s="4"/>
      <c r="D29" s="4"/>
      <c r="E29" s="4"/>
      <c r="F29" s="57">
        <v>614000</v>
      </c>
      <c r="G29" s="68"/>
      <c r="H29" s="10" t="s">
        <v>72</v>
      </c>
      <c r="I29" s="110">
        <f t="shared" ref="I29" si="8">SUM(I30:I33)</f>
        <v>7075000</v>
      </c>
      <c r="J29" s="52">
        <f t="shared" ref="J29:N29" si="9">SUM(J30:J33)</f>
        <v>245000</v>
      </c>
      <c r="K29" s="165">
        <f t="shared" si="9"/>
        <v>7320000</v>
      </c>
      <c r="L29" s="110">
        <f t="shared" si="9"/>
        <v>0</v>
      </c>
      <c r="M29" s="52">
        <f t="shared" si="9"/>
        <v>0</v>
      </c>
      <c r="N29" s="205">
        <f t="shared" si="9"/>
        <v>0</v>
      </c>
      <c r="O29" s="228">
        <f t="shared" si="0"/>
        <v>0</v>
      </c>
    </row>
    <row r="30" spans="2:15" ht="14.25" x14ac:dyDescent="0.2">
      <c r="B30" s="50"/>
      <c r="C30" s="8"/>
      <c r="D30" s="9"/>
      <c r="E30" s="9"/>
      <c r="F30" s="58">
        <v>614100</v>
      </c>
      <c r="G30" s="69"/>
      <c r="H30" s="155" t="s">
        <v>255</v>
      </c>
      <c r="I30" s="116">
        <v>1400000</v>
      </c>
      <c r="J30" s="54">
        <v>0</v>
      </c>
      <c r="K30" s="163">
        <f t="shared" ref="K30:K33" si="10">SUM(I30:J30)</f>
        <v>1400000</v>
      </c>
      <c r="L30" s="116"/>
      <c r="M30" s="54"/>
      <c r="N30" s="203">
        <f t="shared" ref="N30:N33" si="11">SUM(L30:M30)</f>
        <v>0</v>
      </c>
      <c r="O30" s="224">
        <f t="shared" si="0"/>
        <v>0</v>
      </c>
    </row>
    <row r="31" spans="2:15" ht="14.25" x14ac:dyDescent="0.2">
      <c r="B31" s="50"/>
      <c r="C31" s="8"/>
      <c r="D31" s="8"/>
      <c r="E31" s="8"/>
      <c r="F31" s="58">
        <v>614200</v>
      </c>
      <c r="G31" s="69" t="s">
        <v>119</v>
      </c>
      <c r="H31" s="144" t="s">
        <v>256</v>
      </c>
      <c r="I31" s="116">
        <v>200000</v>
      </c>
      <c r="J31" s="54">
        <v>0</v>
      </c>
      <c r="K31" s="163">
        <f t="shared" si="10"/>
        <v>200000</v>
      </c>
      <c r="L31" s="116"/>
      <c r="M31" s="54"/>
      <c r="N31" s="203">
        <f t="shared" si="11"/>
        <v>0</v>
      </c>
      <c r="O31" s="224">
        <f t="shared" si="0"/>
        <v>0</v>
      </c>
    </row>
    <row r="32" spans="2:15" ht="14.25" x14ac:dyDescent="0.2">
      <c r="B32" s="50"/>
      <c r="C32" s="8"/>
      <c r="D32" s="8"/>
      <c r="E32" s="8"/>
      <c r="F32" s="58">
        <v>614200</v>
      </c>
      <c r="G32" s="69" t="s">
        <v>120</v>
      </c>
      <c r="H32" s="144" t="s">
        <v>257</v>
      </c>
      <c r="I32" s="116">
        <f>5065000+100000+160000</f>
        <v>5325000</v>
      </c>
      <c r="J32" s="54">
        <v>245000</v>
      </c>
      <c r="K32" s="163">
        <f t="shared" si="10"/>
        <v>5570000</v>
      </c>
      <c r="L32" s="116"/>
      <c r="M32" s="54"/>
      <c r="N32" s="203">
        <f t="shared" si="11"/>
        <v>0</v>
      </c>
      <c r="O32" s="224">
        <f t="shared" si="0"/>
        <v>0</v>
      </c>
    </row>
    <row r="33" spans="2:15" ht="14.25" x14ac:dyDescent="0.2">
      <c r="B33" s="50"/>
      <c r="C33" s="8"/>
      <c r="D33" s="8"/>
      <c r="E33" s="8"/>
      <c r="F33" s="58">
        <v>614300</v>
      </c>
      <c r="G33" s="69" t="s">
        <v>169</v>
      </c>
      <c r="H33" s="144" t="s">
        <v>168</v>
      </c>
      <c r="I33" s="116">
        <v>150000</v>
      </c>
      <c r="J33" s="54">
        <v>0</v>
      </c>
      <c r="K33" s="163">
        <f t="shared" si="10"/>
        <v>150000</v>
      </c>
      <c r="L33" s="116"/>
      <c r="M33" s="54"/>
      <c r="N33" s="203">
        <f t="shared" si="11"/>
        <v>0</v>
      </c>
      <c r="O33" s="224">
        <f t="shared" si="0"/>
        <v>0</v>
      </c>
    </row>
    <row r="34" spans="2:15" ht="14.25" x14ac:dyDescent="0.2">
      <c r="B34" s="50"/>
      <c r="C34" s="8"/>
      <c r="D34" s="8"/>
      <c r="E34" s="8"/>
      <c r="F34" s="58"/>
      <c r="G34" s="69"/>
      <c r="H34" s="9"/>
      <c r="I34" s="108"/>
      <c r="J34" s="46"/>
      <c r="K34" s="164"/>
      <c r="L34" s="108"/>
      <c r="M34" s="46"/>
      <c r="N34" s="204"/>
      <c r="O34" s="224" t="str">
        <f t="shared" si="0"/>
        <v/>
      </c>
    </row>
    <row r="35" spans="2:15" ht="15" x14ac:dyDescent="0.25">
      <c r="B35" s="51"/>
      <c r="C35" s="4"/>
      <c r="D35" s="4"/>
      <c r="E35" s="4"/>
      <c r="F35" s="57">
        <v>821000</v>
      </c>
      <c r="G35" s="68"/>
      <c r="H35" s="10" t="s">
        <v>12</v>
      </c>
      <c r="I35" s="110">
        <f t="shared" ref="I35" si="12">I36+I37+I38</f>
        <v>227794</v>
      </c>
      <c r="J35" s="52">
        <f t="shared" ref="J35:N35" si="13">J36+J37+J38</f>
        <v>170000</v>
      </c>
      <c r="K35" s="165">
        <f t="shared" si="13"/>
        <v>397794</v>
      </c>
      <c r="L35" s="110">
        <f t="shared" si="13"/>
        <v>0</v>
      </c>
      <c r="M35" s="52">
        <f t="shared" si="13"/>
        <v>0</v>
      </c>
      <c r="N35" s="205">
        <f t="shared" si="13"/>
        <v>0</v>
      </c>
      <c r="O35" s="228">
        <f t="shared" si="0"/>
        <v>0</v>
      </c>
    </row>
    <row r="36" spans="2:15" ht="14.25" x14ac:dyDescent="0.2">
      <c r="B36" s="50"/>
      <c r="C36" s="8"/>
      <c r="D36" s="8"/>
      <c r="E36" s="8"/>
      <c r="F36" s="58">
        <v>821200</v>
      </c>
      <c r="G36" s="69"/>
      <c r="H36" s="9" t="s">
        <v>13</v>
      </c>
      <c r="I36" s="108">
        <v>0</v>
      </c>
      <c r="J36" s="46">
        <v>0</v>
      </c>
      <c r="K36" s="163">
        <f t="shared" ref="K36:K37" si="14">SUM(I36:J36)</f>
        <v>0</v>
      </c>
      <c r="L36" s="108"/>
      <c r="M36" s="46"/>
      <c r="N36" s="203">
        <f t="shared" ref="N36:N37" si="15">SUM(L36:M36)</f>
        <v>0</v>
      </c>
      <c r="O36" s="224" t="str">
        <f t="shared" si="0"/>
        <v/>
      </c>
    </row>
    <row r="37" spans="2:15" ht="14.25" x14ac:dyDescent="0.2">
      <c r="B37" s="50"/>
      <c r="C37" s="8"/>
      <c r="D37" s="8"/>
      <c r="E37" s="8"/>
      <c r="F37" s="58">
        <v>821300</v>
      </c>
      <c r="G37" s="69"/>
      <c r="H37" s="9" t="s">
        <v>14</v>
      </c>
      <c r="I37" s="108">
        <v>4070</v>
      </c>
      <c r="J37" s="46">
        <v>0</v>
      </c>
      <c r="K37" s="163">
        <f t="shared" si="14"/>
        <v>4070</v>
      </c>
      <c r="L37" s="108"/>
      <c r="M37" s="46"/>
      <c r="N37" s="203">
        <f t="shared" si="15"/>
        <v>0</v>
      </c>
      <c r="O37" s="224">
        <f t="shared" ref="O37:O45" si="16">IF(K37=0,"",N37/K37*100)</f>
        <v>0</v>
      </c>
    </row>
    <row r="38" spans="2:15" ht="14.25" x14ac:dyDescent="0.2">
      <c r="B38" s="50"/>
      <c r="C38" s="8"/>
      <c r="D38" s="8"/>
      <c r="E38" s="8"/>
      <c r="F38" s="58">
        <v>821500</v>
      </c>
      <c r="G38" s="69"/>
      <c r="H38" s="144" t="s">
        <v>82</v>
      </c>
      <c r="I38" s="108">
        <f>62860+97934+930+62000</f>
        <v>223724</v>
      </c>
      <c r="J38" s="46">
        <f>100000+70000</f>
        <v>170000</v>
      </c>
      <c r="K38" s="163">
        <f t="shared" ref="K38" si="17">SUM(I38:J38)</f>
        <v>393724</v>
      </c>
      <c r="L38" s="108"/>
      <c r="M38" s="46"/>
      <c r="N38" s="203">
        <f t="shared" ref="N38" si="18">SUM(L38:M38)</f>
        <v>0</v>
      </c>
      <c r="O38" s="224">
        <f t="shared" ref="O38" si="19">IF(K38=0,"",N38/K38*100)</f>
        <v>0</v>
      </c>
    </row>
    <row r="39" spans="2:15" ht="14.25" x14ac:dyDescent="0.2">
      <c r="B39" s="50"/>
      <c r="C39" s="8"/>
      <c r="D39" s="8"/>
      <c r="E39" s="8"/>
      <c r="F39" s="58"/>
      <c r="G39" s="69"/>
      <c r="H39" s="9"/>
      <c r="I39" s="108"/>
      <c r="J39" s="46"/>
      <c r="K39" s="87"/>
      <c r="L39" s="108"/>
      <c r="M39" s="46"/>
      <c r="N39" s="204"/>
      <c r="O39" s="224" t="str">
        <f t="shared" si="16"/>
        <v/>
      </c>
    </row>
    <row r="40" spans="2:15" ht="15" x14ac:dyDescent="0.25">
      <c r="B40" s="51"/>
      <c r="C40" s="4"/>
      <c r="D40" s="4"/>
      <c r="E40" s="4"/>
      <c r="F40" s="57"/>
      <c r="G40" s="68"/>
      <c r="H40" s="10" t="s">
        <v>15</v>
      </c>
      <c r="I40" s="111" t="s">
        <v>361</v>
      </c>
      <c r="J40" s="47"/>
      <c r="K40" s="89" t="s">
        <v>361</v>
      </c>
      <c r="L40" s="111"/>
      <c r="M40" s="47"/>
      <c r="N40" s="206"/>
      <c r="O40" s="224"/>
    </row>
    <row r="41" spans="2:15" ht="15" x14ac:dyDescent="0.25">
      <c r="B41" s="51"/>
      <c r="C41" s="4"/>
      <c r="D41" s="4"/>
      <c r="E41" s="4"/>
      <c r="F41" s="57"/>
      <c r="G41" s="68"/>
      <c r="H41" s="4" t="s">
        <v>24</v>
      </c>
      <c r="I41" s="110">
        <f t="shared" ref="I41:N41" si="20">I11+I15+I18+I29+I35</f>
        <v>7955634</v>
      </c>
      <c r="J41" s="52">
        <f t="shared" si="20"/>
        <v>415000</v>
      </c>
      <c r="K41" s="88">
        <f t="shared" si="20"/>
        <v>8370634</v>
      </c>
      <c r="L41" s="110">
        <f t="shared" si="20"/>
        <v>0</v>
      </c>
      <c r="M41" s="52">
        <f t="shared" si="20"/>
        <v>0</v>
      </c>
      <c r="N41" s="205">
        <f t="shared" si="20"/>
        <v>0</v>
      </c>
      <c r="O41" s="228">
        <f t="shared" si="16"/>
        <v>0</v>
      </c>
    </row>
    <row r="42" spans="2:15" ht="15" x14ac:dyDescent="0.25">
      <c r="B42" s="51"/>
      <c r="C42" s="4"/>
      <c r="D42" s="4"/>
      <c r="E42" s="4"/>
      <c r="F42" s="57"/>
      <c r="G42" s="68"/>
      <c r="H42" s="4" t="s">
        <v>16</v>
      </c>
      <c r="I42" s="110">
        <f t="shared" ref="I42:N43" si="21">I41</f>
        <v>7955634</v>
      </c>
      <c r="J42" s="52">
        <f t="shared" si="21"/>
        <v>415000</v>
      </c>
      <c r="K42" s="88">
        <f t="shared" si="21"/>
        <v>8370634</v>
      </c>
      <c r="L42" s="110">
        <f t="shared" si="21"/>
        <v>0</v>
      </c>
      <c r="M42" s="52">
        <f t="shared" si="21"/>
        <v>0</v>
      </c>
      <c r="N42" s="205">
        <f t="shared" si="21"/>
        <v>0</v>
      </c>
      <c r="O42" s="228">
        <f t="shared" si="16"/>
        <v>0</v>
      </c>
    </row>
    <row r="43" spans="2:15" ht="15" x14ac:dyDescent="0.25">
      <c r="B43" s="51"/>
      <c r="C43" s="4"/>
      <c r="D43" s="4"/>
      <c r="E43" s="4"/>
      <c r="F43" s="57"/>
      <c r="G43" s="68"/>
      <c r="H43" s="4" t="s">
        <v>17</v>
      </c>
      <c r="I43" s="110">
        <f t="shared" si="21"/>
        <v>7955634</v>
      </c>
      <c r="J43" s="52">
        <f t="shared" si="21"/>
        <v>415000</v>
      </c>
      <c r="K43" s="88">
        <f t="shared" si="21"/>
        <v>8370634</v>
      </c>
      <c r="L43" s="110">
        <f t="shared" si="21"/>
        <v>0</v>
      </c>
      <c r="M43" s="52">
        <f t="shared" si="21"/>
        <v>0</v>
      </c>
      <c r="N43" s="205">
        <f t="shared" si="21"/>
        <v>0</v>
      </c>
      <c r="O43" s="228">
        <f t="shared" si="16"/>
        <v>0</v>
      </c>
    </row>
    <row r="44" spans="2:15" ht="15" thickBot="1" x14ac:dyDescent="0.25">
      <c r="B44" s="6"/>
      <c r="C44" s="7"/>
      <c r="D44" s="7"/>
      <c r="E44" s="7"/>
      <c r="F44" s="59"/>
      <c r="G44" s="70"/>
      <c r="H44" s="7"/>
      <c r="I44" s="6"/>
      <c r="J44" s="7"/>
      <c r="K44" s="93"/>
      <c r="L44" s="184"/>
      <c r="M44" s="7"/>
      <c r="N44" s="215"/>
      <c r="O44" s="227"/>
    </row>
    <row r="45" spans="2:15" ht="14.25" x14ac:dyDescent="0.2">
      <c r="F45" s="60"/>
      <c r="G45" s="71"/>
      <c r="K45" s="91"/>
      <c r="N45" s="91"/>
      <c r="O45" s="233" t="str">
        <f t="shared" si="16"/>
        <v/>
      </c>
    </row>
  </sheetData>
  <mergeCells count="14">
    <mergeCell ref="H7:H8"/>
    <mergeCell ref="I7:K7"/>
    <mergeCell ref="L7:N7"/>
    <mergeCell ref="O7:O8"/>
    <mergeCell ref="B1:N1"/>
    <mergeCell ref="F3:K3"/>
    <mergeCell ref="D5:E5"/>
    <mergeCell ref="H6:I6"/>
    <mergeCell ref="B7:B8"/>
    <mergeCell ref="C7:C8"/>
    <mergeCell ref="D7:D8"/>
    <mergeCell ref="E7:E8"/>
    <mergeCell ref="F7:F8"/>
    <mergeCell ref="G7:G8"/>
  </mergeCells>
  <pageMargins left="0.39370078740157483" right="0.39370078740157483" top="0.39370078740157483" bottom="0.39370078740157483" header="0.31496062992125984" footer="0.31496062992125984"/>
  <pageSetup paperSize="9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1"/>
  <dimension ref="B1:O44"/>
  <sheetViews>
    <sheetView topLeftCell="B1" zoomScaleNormal="100" workbookViewId="0">
      <selection activeCell="L9" sqref="L9:O9"/>
    </sheetView>
  </sheetViews>
  <sheetFormatPr defaultColWidth="9.140625" defaultRowHeight="12.75" x14ac:dyDescent="0.2"/>
  <cols>
    <col min="1" max="1" width="6.140625" style="17" customWidth="1"/>
    <col min="2" max="2" width="4.7109375" style="17" customWidth="1"/>
    <col min="3" max="3" width="5.140625" style="17" customWidth="1"/>
    <col min="4" max="5" width="5" style="17" customWidth="1"/>
    <col min="6" max="7" width="8.7109375" style="53" customWidth="1"/>
    <col min="8" max="8" width="50.7109375" style="17" customWidth="1"/>
    <col min="9" max="9" width="11.7109375" style="17" customWidth="1"/>
    <col min="10" max="10" width="11.85546875" style="17" customWidth="1"/>
    <col min="11" max="11" width="13.5703125" style="17" customWidth="1"/>
    <col min="12" max="13" width="14.7109375" style="17" customWidth="1"/>
    <col min="14" max="14" width="15.7109375" style="17" customWidth="1"/>
    <col min="15" max="15" width="9.140625" style="17"/>
    <col min="16" max="16" width="9.5703125" style="17" bestFit="1" customWidth="1"/>
    <col min="17" max="16384" width="9.140625" style="17"/>
  </cols>
  <sheetData>
    <row r="1" spans="2:15" ht="15.75" x14ac:dyDescent="0.25">
      <c r="B1" s="428" t="s">
        <v>374</v>
      </c>
      <c r="C1" s="429"/>
      <c r="D1" s="429"/>
      <c r="E1" s="429"/>
      <c r="F1" s="429"/>
      <c r="G1" s="429"/>
      <c r="H1" s="429"/>
      <c r="I1" s="430"/>
      <c r="J1" s="430"/>
      <c r="K1" s="430"/>
      <c r="L1" s="430"/>
      <c r="M1" s="430"/>
      <c r="N1" s="430"/>
    </row>
    <row r="2" spans="2:15" x14ac:dyDescent="0.2">
      <c r="M2" s="126" t="s">
        <v>232</v>
      </c>
      <c r="N2" s="196"/>
    </row>
    <row r="3" spans="2:15" ht="15.75" x14ac:dyDescent="0.25">
      <c r="B3" s="180" t="s">
        <v>173</v>
      </c>
      <c r="F3" s="431" t="s">
        <v>208</v>
      </c>
      <c r="G3" s="432"/>
      <c r="H3" s="432"/>
      <c r="I3" s="432"/>
      <c r="J3" s="432"/>
      <c r="K3" s="432"/>
    </row>
    <row r="4" spans="2:15" x14ac:dyDescent="0.2">
      <c r="B4" s="180"/>
      <c r="G4"/>
      <c r="H4"/>
      <c r="I4"/>
      <c r="J4"/>
      <c r="K4"/>
    </row>
    <row r="5" spans="2:15" ht="15.75" x14ac:dyDescent="0.25">
      <c r="B5" s="180" t="s">
        <v>172</v>
      </c>
      <c r="D5" s="433">
        <v>18</v>
      </c>
      <c r="E5" s="434"/>
      <c r="F5" s="181"/>
      <c r="G5" s="181"/>
      <c r="I5" s="180"/>
      <c r="L5" s="411"/>
    </row>
    <row r="6" spans="2:15" s="22" customFormat="1" ht="16.5" thickBot="1" x14ac:dyDescent="0.3">
      <c r="F6" s="48"/>
      <c r="G6" s="48"/>
      <c r="H6" s="435"/>
      <c r="I6" s="435"/>
      <c r="J6" s="26"/>
      <c r="K6" s="26"/>
      <c r="L6" s="26"/>
      <c r="M6" s="26"/>
      <c r="N6" s="26"/>
    </row>
    <row r="7" spans="2:15" s="22" customFormat="1" ht="30" customHeight="1" x14ac:dyDescent="0.2">
      <c r="B7" s="436" t="s">
        <v>0</v>
      </c>
      <c r="C7" s="438" t="s">
        <v>1</v>
      </c>
      <c r="D7" s="438" t="s">
        <v>21</v>
      </c>
      <c r="E7" s="438" t="s">
        <v>135</v>
      </c>
      <c r="F7" s="421" t="s">
        <v>85</v>
      </c>
      <c r="G7" s="440" t="s">
        <v>88</v>
      </c>
      <c r="H7" s="421" t="s">
        <v>2</v>
      </c>
      <c r="I7" s="423" t="s">
        <v>375</v>
      </c>
      <c r="J7" s="424"/>
      <c r="K7" s="425"/>
      <c r="L7" s="423" t="s">
        <v>373</v>
      </c>
      <c r="M7" s="424"/>
      <c r="N7" s="424"/>
      <c r="O7" s="426" t="s">
        <v>258</v>
      </c>
    </row>
    <row r="8" spans="2:15" s="22" customFormat="1" ht="25.5" x14ac:dyDescent="0.2">
      <c r="B8" s="437"/>
      <c r="C8" s="439"/>
      <c r="D8" s="439"/>
      <c r="E8" s="439"/>
      <c r="F8" s="422"/>
      <c r="G8" s="439"/>
      <c r="H8" s="422"/>
      <c r="I8" s="105" t="s">
        <v>117</v>
      </c>
      <c r="J8" s="85" t="s">
        <v>118</v>
      </c>
      <c r="K8" s="159" t="s">
        <v>81</v>
      </c>
      <c r="L8" s="105" t="s">
        <v>117</v>
      </c>
      <c r="M8" s="85" t="s">
        <v>118</v>
      </c>
      <c r="N8" s="200" t="s">
        <v>81</v>
      </c>
      <c r="O8" s="427"/>
    </row>
    <row r="9" spans="2:15" s="48" customFormat="1" x14ac:dyDescent="0.2">
      <c r="B9" s="97">
        <v>1</v>
      </c>
      <c r="C9" s="68">
        <v>2</v>
      </c>
      <c r="D9" s="68">
        <v>3</v>
      </c>
      <c r="E9" s="68">
        <v>4</v>
      </c>
      <c r="F9" s="68">
        <v>5</v>
      </c>
      <c r="G9" s="68">
        <v>6</v>
      </c>
      <c r="H9" s="68">
        <v>7</v>
      </c>
      <c r="I9" s="97">
        <v>8</v>
      </c>
      <c r="J9" s="68">
        <v>9</v>
      </c>
      <c r="K9" s="160" t="s">
        <v>171</v>
      </c>
      <c r="L9" s="97">
        <v>11</v>
      </c>
      <c r="M9" s="68">
        <v>12</v>
      </c>
      <c r="N9" s="68" t="s">
        <v>394</v>
      </c>
      <c r="O9" s="232" t="s">
        <v>395</v>
      </c>
    </row>
    <row r="10" spans="2:15" ht="15" x14ac:dyDescent="0.25">
      <c r="B10" s="2" t="s">
        <v>42</v>
      </c>
      <c r="C10" s="3" t="s">
        <v>3</v>
      </c>
      <c r="D10" s="3" t="s">
        <v>4</v>
      </c>
      <c r="E10" s="136" t="s">
        <v>141</v>
      </c>
      <c r="F10" s="49"/>
      <c r="G10" s="49"/>
      <c r="H10" s="182" t="s">
        <v>192</v>
      </c>
      <c r="I10" s="115"/>
      <c r="J10" s="23"/>
      <c r="K10" s="168"/>
      <c r="L10" s="115"/>
      <c r="M10" s="23"/>
      <c r="N10" s="217"/>
      <c r="O10" s="224" t="str">
        <f t="shared" ref="O10:O44" si="0">IF(K10=0,"",N10/K10*100)</f>
        <v/>
      </c>
    </row>
    <row r="11" spans="2:15" ht="15" x14ac:dyDescent="0.25">
      <c r="B11" s="51"/>
      <c r="C11" s="4"/>
      <c r="D11" s="4"/>
      <c r="E11" s="4"/>
      <c r="F11" s="57">
        <v>611000</v>
      </c>
      <c r="G11" s="68"/>
      <c r="H11" s="10" t="s">
        <v>57</v>
      </c>
      <c r="I11" s="106">
        <f>SUM(I12:I14)</f>
        <v>540630</v>
      </c>
      <c r="J11" s="32">
        <f t="shared" ref="J11:N11" si="1">SUM(J12:J14)</f>
        <v>0</v>
      </c>
      <c r="K11" s="162">
        <f t="shared" si="1"/>
        <v>540630</v>
      </c>
      <c r="L11" s="106">
        <f t="shared" si="1"/>
        <v>0</v>
      </c>
      <c r="M11" s="32">
        <f t="shared" si="1"/>
        <v>0</v>
      </c>
      <c r="N11" s="202">
        <f t="shared" si="1"/>
        <v>0</v>
      </c>
      <c r="O11" s="228">
        <f t="shared" si="0"/>
        <v>0</v>
      </c>
    </row>
    <row r="12" spans="2:15" ht="14.25" x14ac:dyDescent="0.2">
      <c r="B12" s="50"/>
      <c r="C12" s="8"/>
      <c r="D12" s="8"/>
      <c r="E12" s="8"/>
      <c r="F12" s="58">
        <v>611100</v>
      </c>
      <c r="G12" s="69"/>
      <c r="H12" s="9" t="s">
        <v>68</v>
      </c>
      <c r="I12" s="119">
        <f>416330+730+1280+7*1800+12*500+23740</f>
        <v>460680</v>
      </c>
      <c r="J12" s="34">
        <v>0</v>
      </c>
      <c r="K12" s="163">
        <f>SUM(I12:J12)</f>
        <v>460680</v>
      </c>
      <c r="L12" s="119"/>
      <c r="M12" s="34"/>
      <c r="N12" s="203">
        <f>SUM(L12:M12)</f>
        <v>0</v>
      </c>
      <c r="O12" s="224">
        <f t="shared" si="0"/>
        <v>0</v>
      </c>
    </row>
    <row r="13" spans="2:15" ht="14.25" x14ac:dyDescent="0.2">
      <c r="B13" s="50"/>
      <c r="C13" s="8"/>
      <c r="D13" s="8"/>
      <c r="E13" s="8"/>
      <c r="F13" s="58">
        <v>611200</v>
      </c>
      <c r="G13" s="69"/>
      <c r="H13" s="9" t="s">
        <v>69</v>
      </c>
      <c r="I13" s="119">
        <f>70940+1620+2840+850+3700</f>
        <v>79950</v>
      </c>
      <c r="J13" s="34">
        <v>0</v>
      </c>
      <c r="K13" s="163">
        <f t="shared" ref="K13" si="2">SUM(I13:J13)</f>
        <v>79950</v>
      </c>
      <c r="L13" s="119"/>
      <c r="M13" s="34"/>
      <c r="N13" s="203">
        <f t="shared" ref="N13" si="3">SUM(L13:M13)</f>
        <v>0</v>
      </c>
      <c r="O13" s="224">
        <f t="shared" si="0"/>
        <v>0</v>
      </c>
    </row>
    <row r="14" spans="2:15" ht="14.25" x14ac:dyDescent="0.2">
      <c r="B14" s="50"/>
      <c r="C14" s="8"/>
      <c r="D14" s="8"/>
      <c r="E14" s="8"/>
      <c r="F14" s="58"/>
      <c r="G14" s="69"/>
      <c r="H14" s="9"/>
      <c r="I14" s="119"/>
      <c r="J14" s="34"/>
      <c r="K14" s="163"/>
      <c r="L14" s="119"/>
      <c r="M14" s="34"/>
      <c r="N14" s="203"/>
      <c r="O14" s="224" t="str">
        <f t="shared" si="0"/>
        <v/>
      </c>
    </row>
    <row r="15" spans="2:15" ht="15" x14ac:dyDescent="0.25">
      <c r="B15" s="51"/>
      <c r="C15" s="4"/>
      <c r="D15" s="4"/>
      <c r="E15" s="4"/>
      <c r="F15" s="57">
        <v>612000</v>
      </c>
      <c r="G15" s="68"/>
      <c r="H15" s="10" t="s">
        <v>56</v>
      </c>
      <c r="I15" s="106">
        <f t="shared" ref="I15" si="4">I16</f>
        <v>21570</v>
      </c>
      <c r="J15" s="32">
        <f t="shared" ref="J15:N15" si="5">J16</f>
        <v>0</v>
      </c>
      <c r="K15" s="162">
        <f t="shared" si="5"/>
        <v>21570</v>
      </c>
      <c r="L15" s="106">
        <f t="shared" si="5"/>
        <v>0</v>
      </c>
      <c r="M15" s="32">
        <f t="shared" si="5"/>
        <v>0</v>
      </c>
      <c r="N15" s="202">
        <f t="shared" si="5"/>
        <v>0</v>
      </c>
      <c r="O15" s="228">
        <f t="shared" si="0"/>
        <v>0</v>
      </c>
    </row>
    <row r="16" spans="2:15" ht="14.25" x14ac:dyDescent="0.2">
      <c r="B16" s="50"/>
      <c r="C16" s="8"/>
      <c r="D16" s="8"/>
      <c r="E16" s="8"/>
      <c r="F16" s="58">
        <v>612100</v>
      </c>
      <c r="G16" s="69"/>
      <c r="H16" s="145" t="s">
        <v>5</v>
      </c>
      <c r="I16" s="119">
        <f>19150+120+210+7*90+12*30+1100</f>
        <v>21570</v>
      </c>
      <c r="J16" s="34">
        <v>0</v>
      </c>
      <c r="K16" s="163">
        <f>SUM(I16:J16)</f>
        <v>21570</v>
      </c>
      <c r="L16" s="119"/>
      <c r="M16" s="34"/>
      <c r="N16" s="203">
        <f>SUM(L16:M16)</f>
        <v>0</v>
      </c>
      <c r="O16" s="224">
        <f t="shared" si="0"/>
        <v>0</v>
      </c>
    </row>
    <row r="17" spans="2:15" ht="14.25" x14ac:dyDescent="0.2">
      <c r="B17" s="50"/>
      <c r="C17" s="8"/>
      <c r="D17" s="8"/>
      <c r="E17" s="8"/>
      <c r="F17" s="58"/>
      <c r="G17" s="69"/>
      <c r="H17" s="9"/>
      <c r="I17" s="116"/>
      <c r="J17" s="54"/>
      <c r="K17" s="164"/>
      <c r="L17" s="116"/>
      <c r="M17" s="54"/>
      <c r="N17" s="204"/>
      <c r="O17" s="224" t="str">
        <f t="shared" si="0"/>
        <v/>
      </c>
    </row>
    <row r="18" spans="2:15" ht="15" x14ac:dyDescent="0.25">
      <c r="B18" s="51"/>
      <c r="C18" s="4"/>
      <c r="D18" s="4"/>
      <c r="E18" s="4"/>
      <c r="F18" s="57">
        <v>613000</v>
      </c>
      <c r="G18" s="68"/>
      <c r="H18" s="10" t="s">
        <v>58</v>
      </c>
      <c r="I18" s="109">
        <f>SUM(I19:I28)</f>
        <v>116500</v>
      </c>
      <c r="J18" s="55">
        <f t="shared" ref="J18:N18" si="6">SUM(J19:J28)</f>
        <v>769260</v>
      </c>
      <c r="K18" s="165">
        <f t="shared" si="6"/>
        <v>885760</v>
      </c>
      <c r="L18" s="109">
        <f t="shared" si="6"/>
        <v>0</v>
      </c>
      <c r="M18" s="55">
        <f t="shared" si="6"/>
        <v>0</v>
      </c>
      <c r="N18" s="205">
        <f t="shared" si="6"/>
        <v>0</v>
      </c>
      <c r="O18" s="228">
        <f t="shared" si="0"/>
        <v>0</v>
      </c>
    </row>
    <row r="19" spans="2:15" ht="14.25" x14ac:dyDescent="0.2">
      <c r="B19" s="50"/>
      <c r="C19" s="8"/>
      <c r="D19" s="8"/>
      <c r="E19" s="8"/>
      <c r="F19" s="58">
        <v>613100</v>
      </c>
      <c r="G19" s="69"/>
      <c r="H19" s="9" t="s">
        <v>6</v>
      </c>
      <c r="I19" s="116">
        <v>5500</v>
      </c>
      <c r="J19" s="54">
        <v>5760</v>
      </c>
      <c r="K19" s="163">
        <f t="shared" ref="K19:K28" si="7">SUM(I19:J19)</f>
        <v>11260</v>
      </c>
      <c r="L19" s="116"/>
      <c r="M19" s="54"/>
      <c r="N19" s="203">
        <f t="shared" ref="N19:N28" si="8">SUM(L19:M19)</f>
        <v>0</v>
      </c>
      <c r="O19" s="224">
        <f t="shared" si="0"/>
        <v>0</v>
      </c>
    </row>
    <row r="20" spans="2:15" ht="14.25" x14ac:dyDescent="0.2">
      <c r="B20" s="50"/>
      <c r="C20" s="8"/>
      <c r="D20" s="8"/>
      <c r="E20" s="8"/>
      <c r="F20" s="58">
        <v>613200</v>
      </c>
      <c r="G20" s="69"/>
      <c r="H20" s="9" t="s">
        <v>7</v>
      </c>
      <c r="I20" s="116">
        <v>0</v>
      </c>
      <c r="J20" s="54">
        <v>0</v>
      </c>
      <c r="K20" s="163">
        <f t="shared" si="7"/>
        <v>0</v>
      </c>
      <c r="L20" s="116"/>
      <c r="M20" s="54"/>
      <c r="N20" s="203">
        <f t="shared" si="8"/>
        <v>0</v>
      </c>
      <c r="O20" s="224" t="str">
        <f t="shared" si="0"/>
        <v/>
      </c>
    </row>
    <row r="21" spans="2:15" ht="14.25" x14ac:dyDescent="0.2">
      <c r="B21" s="50"/>
      <c r="C21" s="8"/>
      <c r="D21" s="8"/>
      <c r="E21" s="8"/>
      <c r="F21" s="58">
        <v>613300</v>
      </c>
      <c r="G21" s="69"/>
      <c r="H21" s="9" t="s">
        <v>70</v>
      </c>
      <c r="I21" s="100">
        <v>7000</v>
      </c>
      <c r="J21" s="84">
        <v>0</v>
      </c>
      <c r="K21" s="163">
        <f t="shared" si="7"/>
        <v>7000</v>
      </c>
      <c r="L21" s="100"/>
      <c r="M21" s="84"/>
      <c r="N21" s="203">
        <f t="shared" si="8"/>
        <v>0</v>
      </c>
      <c r="O21" s="224">
        <f t="shared" si="0"/>
        <v>0</v>
      </c>
    </row>
    <row r="22" spans="2:15" ht="14.25" x14ac:dyDescent="0.2">
      <c r="B22" s="50"/>
      <c r="C22" s="8"/>
      <c r="D22" s="8"/>
      <c r="E22" s="8"/>
      <c r="F22" s="58">
        <v>613400</v>
      </c>
      <c r="G22" s="69"/>
      <c r="H22" s="9" t="s">
        <v>59</v>
      </c>
      <c r="I22" s="100">
        <v>4000</v>
      </c>
      <c r="J22" s="84">
        <v>7900</v>
      </c>
      <c r="K22" s="163">
        <f t="shared" si="7"/>
        <v>11900</v>
      </c>
      <c r="L22" s="100"/>
      <c r="M22" s="84"/>
      <c r="N22" s="203">
        <f t="shared" si="8"/>
        <v>0</v>
      </c>
      <c r="O22" s="224">
        <f t="shared" si="0"/>
        <v>0</v>
      </c>
    </row>
    <row r="23" spans="2:15" ht="14.25" x14ac:dyDescent="0.2">
      <c r="B23" s="50"/>
      <c r="C23" s="8"/>
      <c r="D23" s="8"/>
      <c r="E23" s="8"/>
      <c r="F23" s="58">
        <v>613500</v>
      </c>
      <c r="G23" s="69"/>
      <c r="H23" s="9" t="s">
        <v>8</v>
      </c>
      <c r="I23" s="100">
        <v>0</v>
      </c>
      <c r="J23" s="84">
        <v>0</v>
      </c>
      <c r="K23" s="163">
        <f t="shared" si="7"/>
        <v>0</v>
      </c>
      <c r="L23" s="100"/>
      <c r="M23" s="84"/>
      <c r="N23" s="203">
        <f t="shared" si="8"/>
        <v>0</v>
      </c>
      <c r="O23" s="224" t="str">
        <f t="shared" si="0"/>
        <v/>
      </c>
    </row>
    <row r="24" spans="2:15" ht="14.25" x14ac:dyDescent="0.2">
      <c r="B24" s="50"/>
      <c r="C24" s="8"/>
      <c r="D24" s="8"/>
      <c r="E24" s="8"/>
      <c r="F24" s="58">
        <v>613600</v>
      </c>
      <c r="G24" s="69"/>
      <c r="H24" s="9" t="s">
        <v>71</v>
      </c>
      <c r="I24" s="100">
        <v>0</v>
      </c>
      <c r="J24" s="84">
        <v>0</v>
      </c>
      <c r="K24" s="163">
        <f t="shared" si="7"/>
        <v>0</v>
      </c>
      <c r="L24" s="100"/>
      <c r="M24" s="84"/>
      <c r="N24" s="203">
        <f t="shared" si="8"/>
        <v>0</v>
      </c>
      <c r="O24" s="224" t="str">
        <f t="shared" si="0"/>
        <v/>
      </c>
    </row>
    <row r="25" spans="2:15" ht="14.25" x14ac:dyDescent="0.2">
      <c r="B25" s="50"/>
      <c r="C25" s="8"/>
      <c r="D25" s="8"/>
      <c r="E25" s="132"/>
      <c r="F25" s="63">
        <v>613700</v>
      </c>
      <c r="G25" s="74"/>
      <c r="H25" s="9" t="s">
        <v>9</v>
      </c>
      <c r="I25" s="100">
        <v>10000</v>
      </c>
      <c r="J25" s="84">
        <v>0</v>
      </c>
      <c r="K25" s="163">
        <f t="shared" si="7"/>
        <v>10000</v>
      </c>
      <c r="L25" s="100"/>
      <c r="M25" s="84"/>
      <c r="N25" s="203">
        <f t="shared" si="8"/>
        <v>0</v>
      </c>
      <c r="O25" s="224">
        <f t="shared" si="0"/>
        <v>0</v>
      </c>
    </row>
    <row r="26" spans="2:15" ht="14.25" x14ac:dyDescent="0.2">
      <c r="B26" s="50"/>
      <c r="C26" s="8"/>
      <c r="D26" s="9"/>
      <c r="E26" s="9"/>
      <c r="F26" s="58">
        <v>613700</v>
      </c>
      <c r="G26" s="67" t="s">
        <v>103</v>
      </c>
      <c r="H26" s="156" t="s">
        <v>10</v>
      </c>
      <c r="I26" s="100">
        <v>0</v>
      </c>
      <c r="J26" s="84">
        <v>720000</v>
      </c>
      <c r="K26" s="163">
        <f t="shared" si="7"/>
        <v>720000</v>
      </c>
      <c r="L26" s="100"/>
      <c r="M26" s="84"/>
      <c r="N26" s="203">
        <f t="shared" si="8"/>
        <v>0</v>
      </c>
      <c r="O26" s="224">
        <f t="shared" si="0"/>
        <v>0</v>
      </c>
    </row>
    <row r="27" spans="2:15" ht="14.25" x14ac:dyDescent="0.2">
      <c r="B27" s="50"/>
      <c r="C27" s="8"/>
      <c r="D27" s="8"/>
      <c r="E27" s="131"/>
      <c r="F27" s="62">
        <v>613800</v>
      </c>
      <c r="G27" s="73"/>
      <c r="H27" s="9" t="s">
        <v>60</v>
      </c>
      <c r="I27" s="100">
        <v>0</v>
      </c>
      <c r="J27" s="84">
        <v>0</v>
      </c>
      <c r="K27" s="163">
        <f t="shared" si="7"/>
        <v>0</v>
      </c>
      <c r="L27" s="100"/>
      <c r="M27" s="84"/>
      <c r="N27" s="203">
        <f t="shared" si="8"/>
        <v>0</v>
      </c>
      <c r="O27" s="224" t="str">
        <f t="shared" si="0"/>
        <v/>
      </c>
    </row>
    <row r="28" spans="2:15" ht="14.25" x14ac:dyDescent="0.2">
      <c r="B28" s="50"/>
      <c r="C28" s="8"/>
      <c r="D28" s="8"/>
      <c r="E28" s="8"/>
      <c r="F28" s="58">
        <v>613900</v>
      </c>
      <c r="G28" s="69"/>
      <c r="H28" s="9" t="s">
        <v>61</v>
      </c>
      <c r="I28" s="100">
        <v>90000</v>
      </c>
      <c r="J28" s="84">
        <v>35600</v>
      </c>
      <c r="K28" s="163">
        <f t="shared" si="7"/>
        <v>125600</v>
      </c>
      <c r="L28" s="100"/>
      <c r="M28" s="84"/>
      <c r="N28" s="203">
        <f t="shared" si="8"/>
        <v>0</v>
      </c>
      <c r="O28" s="224">
        <f t="shared" si="0"/>
        <v>0</v>
      </c>
    </row>
    <row r="29" spans="2:15" ht="14.25" x14ac:dyDescent="0.2">
      <c r="B29" s="50"/>
      <c r="C29" s="8"/>
      <c r="D29" s="8"/>
      <c r="E29" s="8"/>
      <c r="F29" s="58"/>
      <c r="G29" s="69"/>
      <c r="H29" s="9"/>
      <c r="I29" s="116"/>
      <c r="J29" s="54"/>
      <c r="K29" s="164"/>
      <c r="L29" s="116"/>
      <c r="M29" s="54"/>
      <c r="N29" s="204"/>
      <c r="O29" s="224" t="str">
        <f t="shared" si="0"/>
        <v/>
      </c>
    </row>
    <row r="30" spans="2:15" ht="15" x14ac:dyDescent="0.25">
      <c r="B30" s="51"/>
      <c r="C30" s="4"/>
      <c r="D30" s="4"/>
      <c r="E30" s="4"/>
      <c r="F30" s="57">
        <v>614000</v>
      </c>
      <c r="G30" s="68"/>
      <c r="H30" s="10" t="s">
        <v>72</v>
      </c>
      <c r="I30" s="110">
        <f t="shared" ref="I30" si="9">I31</f>
        <v>275603</v>
      </c>
      <c r="J30" s="52">
        <f t="shared" ref="J30:N30" si="10">SUM(J31:J31)</f>
        <v>510740</v>
      </c>
      <c r="K30" s="165">
        <f t="shared" si="10"/>
        <v>786343</v>
      </c>
      <c r="L30" s="110">
        <f t="shared" si="10"/>
        <v>0</v>
      </c>
      <c r="M30" s="52">
        <f t="shared" si="10"/>
        <v>0</v>
      </c>
      <c r="N30" s="205">
        <f t="shared" si="10"/>
        <v>0</v>
      </c>
      <c r="O30" s="228">
        <f t="shared" si="0"/>
        <v>0</v>
      </c>
    </row>
    <row r="31" spans="2:15" ht="14.25" x14ac:dyDescent="0.2">
      <c r="B31" s="50"/>
      <c r="C31" s="8"/>
      <c r="D31" s="9"/>
      <c r="E31" s="133"/>
      <c r="F31" s="62">
        <v>614100</v>
      </c>
      <c r="G31" s="73" t="s">
        <v>104</v>
      </c>
      <c r="H31" s="133" t="s">
        <v>62</v>
      </c>
      <c r="I31" s="116">
        <f>176343+5760+7900+35600+50000</f>
        <v>275603</v>
      </c>
      <c r="J31" s="54">
        <f>399287+111453</f>
        <v>510740</v>
      </c>
      <c r="K31" s="163">
        <f t="shared" ref="K31" si="11">SUM(I31:J31)</f>
        <v>786343</v>
      </c>
      <c r="L31" s="116"/>
      <c r="M31" s="54"/>
      <c r="N31" s="203">
        <f t="shared" ref="N31" si="12">SUM(L31:M31)</f>
        <v>0</v>
      </c>
      <c r="O31" s="224">
        <f t="shared" si="0"/>
        <v>0</v>
      </c>
    </row>
    <row r="32" spans="2:15" ht="14.25" x14ac:dyDescent="0.2">
      <c r="B32" s="50"/>
      <c r="C32" s="8"/>
      <c r="D32" s="8"/>
      <c r="E32" s="8"/>
      <c r="F32" s="58"/>
      <c r="G32" s="69"/>
      <c r="H32" s="9"/>
      <c r="I32" s="116"/>
      <c r="J32" s="54"/>
      <c r="K32" s="164"/>
      <c r="L32" s="116"/>
      <c r="M32" s="54"/>
      <c r="N32" s="204"/>
      <c r="O32" s="224" t="str">
        <f t="shared" si="0"/>
        <v/>
      </c>
    </row>
    <row r="33" spans="2:15" ht="15" x14ac:dyDescent="0.25">
      <c r="B33" s="51"/>
      <c r="C33" s="4"/>
      <c r="D33" s="4"/>
      <c r="E33" s="4"/>
      <c r="F33" s="57">
        <v>821000</v>
      </c>
      <c r="G33" s="68"/>
      <c r="H33" s="10" t="s">
        <v>12</v>
      </c>
      <c r="I33" s="110">
        <f t="shared" ref="I33" si="13">SUM(I34:I37)</f>
        <v>43870</v>
      </c>
      <c r="J33" s="52">
        <f t="shared" ref="J33:N33" si="14">SUM(J34:J37)</f>
        <v>1466130</v>
      </c>
      <c r="K33" s="165">
        <f t="shared" si="14"/>
        <v>1510000</v>
      </c>
      <c r="L33" s="110">
        <f t="shared" si="14"/>
        <v>0</v>
      </c>
      <c r="M33" s="52">
        <f t="shared" si="14"/>
        <v>0</v>
      </c>
      <c r="N33" s="205">
        <f t="shared" si="14"/>
        <v>0</v>
      </c>
      <c r="O33" s="228">
        <f t="shared" si="0"/>
        <v>0</v>
      </c>
    </row>
    <row r="34" spans="2:15" ht="14.25" x14ac:dyDescent="0.2">
      <c r="B34" s="50"/>
      <c r="C34" s="8"/>
      <c r="D34" s="8"/>
      <c r="E34" s="8"/>
      <c r="F34" s="58">
        <v>821200</v>
      </c>
      <c r="G34" s="69"/>
      <c r="H34" s="9" t="s">
        <v>13</v>
      </c>
      <c r="I34" s="116">
        <v>0</v>
      </c>
      <c r="J34" s="54">
        <v>0</v>
      </c>
      <c r="K34" s="163">
        <f t="shared" ref="K34:K35" si="15">SUM(I34:J34)</f>
        <v>0</v>
      </c>
      <c r="L34" s="116"/>
      <c r="M34" s="54"/>
      <c r="N34" s="203">
        <f t="shared" ref="N34:N35" si="16">SUM(L34:M34)</f>
        <v>0</v>
      </c>
      <c r="O34" s="224" t="str">
        <f t="shared" si="0"/>
        <v/>
      </c>
    </row>
    <row r="35" spans="2:15" ht="14.25" x14ac:dyDescent="0.2">
      <c r="B35" s="50"/>
      <c r="C35" s="8"/>
      <c r="D35" s="8"/>
      <c r="E35" s="8"/>
      <c r="F35" s="58">
        <v>821300</v>
      </c>
      <c r="G35" s="69"/>
      <c r="H35" s="9" t="s">
        <v>14</v>
      </c>
      <c r="I35" s="116">
        <v>10000</v>
      </c>
      <c r="J35" s="54">
        <v>0</v>
      </c>
      <c r="K35" s="163">
        <f t="shared" si="15"/>
        <v>10000</v>
      </c>
      <c r="L35" s="116"/>
      <c r="M35" s="54"/>
      <c r="N35" s="203">
        <f t="shared" si="16"/>
        <v>0</v>
      </c>
      <c r="O35" s="224">
        <f t="shared" si="0"/>
        <v>0</v>
      </c>
    </row>
    <row r="36" spans="2:15" ht="14.25" x14ac:dyDescent="0.2">
      <c r="B36" s="50"/>
      <c r="C36" s="8"/>
      <c r="D36" s="8"/>
      <c r="E36" s="8"/>
      <c r="F36" s="58">
        <v>821500</v>
      </c>
      <c r="G36" s="69" t="s">
        <v>127</v>
      </c>
      <c r="H36" s="144" t="s">
        <v>126</v>
      </c>
      <c r="I36" s="116">
        <v>33870</v>
      </c>
      <c r="J36" s="54">
        <f>1066130+130000</f>
        <v>1196130</v>
      </c>
      <c r="K36" s="163">
        <f t="shared" ref="K36" si="17">SUM(I36:J36)</f>
        <v>1230000</v>
      </c>
      <c r="L36" s="116"/>
      <c r="M36" s="54"/>
      <c r="N36" s="203">
        <f t="shared" ref="N36:N37" si="18">SUM(L36:M36)</f>
        <v>0</v>
      </c>
      <c r="O36" s="224">
        <f t="shared" si="0"/>
        <v>0</v>
      </c>
    </row>
    <row r="37" spans="2:15" ht="14.25" x14ac:dyDescent="0.2">
      <c r="B37" s="50"/>
      <c r="C37" s="8"/>
      <c r="D37" s="8"/>
      <c r="E37" s="8"/>
      <c r="F37" s="58">
        <v>821600</v>
      </c>
      <c r="G37" s="69" t="s">
        <v>128</v>
      </c>
      <c r="H37" s="144" t="s">
        <v>125</v>
      </c>
      <c r="I37" s="116">
        <v>0</v>
      </c>
      <c r="J37" s="54">
        <f>400000-130000</f>
        <v>270000</v>
      </c>
      <c r="K37" s="163">
        <f t="shared" ref="K37" si="19">SUM(I37:J37)</f>
        <v>270000</v>
      </c>
      <c r="L37" s="116"/>
      <c r="M37" s="54"/>
      <c r="N37" s="203">
        <f t="shared" si="18"/>
        <v>0</v>
      </c>
      <c r="O37" s="224">
        <f t="shared" si="0"/>
        <v>0</v>
      </c>
    </row>
    <row r="38" spans="2:15" ht="15" x14ac:dyDescent="0.25">
      <c r="B38" s="50"/>
      <c r="C38" s="8"/>
      <c r="D38" s="8"/>
      <c r="E38" s="8"/>
      <c r="F38" s="58"/>
      <c r="G38" s="69"/>
      <c r="H38" s="9"/>
      <c r="I38" s="110"/>
      <c r="J38" s="52"/>
      <c r="K38" s="88"/>
      <c r="L38" s="110"/>
      <c r="M38" s="52"/>
      <c r="N38" s="205"/>
      <c r="O38" s="224" t="str">
        <f t="shared" si="0"/>
        <v/>
      </c>
    </row>
    <row r="39" spans="2:15" ht="15" x14ac:dyDescent="0.25">
      <c r="B39" s="51"/>
      <c r="C39" s="4"/>
      <c r="D39" s="4"/>
      <c r="E39" s="4"/>
      <c r="F39" s="57"/>
      <c r="G39" s="68"/>
      <c r="H39" s="10" t="s">
        <v>15</v>
      </c>
      <c r="I39" s="111" t="s">
        <v>339</v>
      </c>
      <c r="J39" s="52"/>
      <c r="K39" s="89" t="s">
        <v>339</v>
      </c>
      <c r="L39" s="111"/>
      <c r="M39" s="52"/>
      <c r="N39" s="206"/>
      <c r="O39" s="224"/>
    </row>
    <row r="40" spans="2:15" ht="15" x14ac:dyDescent="0.25">
      <c r="B40" s="51"/>
      <c r="C40" s="4"/>
      <c r="D40" s="4"/>
      <c r="E40" s="4"/>
      <c r="F40" s="57"/>
      <c r="G40" s="68"/>
      <c r="H40" s="4" t="s">
        <v>24</v>
      </c>
      <c r="I40" s="110">
        <f t="shared" ref="I40:N40" si="20">I11+I15+I18+I30+I33</f>
        <v>998173</v>
      </c>
      <c r="J40" s="52">
        <f t="shared" si="20"/>
        <v>2746130</v>
      </c>
      <c r="K40" s="88">
        <f t="shared" si="20"/>
        <v>3744303</v>
      </c>
      <c r="L40" s="110">
        <f t="shared" si="20"/>
        <v>0</v>
      </c>
      <c r="M40" s="52">
        <f t="shared" si="20"/>
        <v>0</v>
      </c>
      <c r="N40" s="205">
        <f t="shared" si="20"/>
        <v>0</v>
      </c>
      <c r="O40" s="228">
        <f t="shared" si="0"/>
        <v>0</v>
      </c>
    </row>
    <row r="41" spans="2:15" ht="15" x14ac:dyDescent="0.25">
      <c r="B41" s="51"/>
      <c r="C41" s="4"/>
      <c r="D41" s="4"/>
      <c r="E41" s="4"/>
      <c r="F41" s="57"/>
      <c r="G41" s="68"/>
      <c r="H41" s="4" t="s">
        <v>16</v>
      </c>
      <c r="I41" s="110">
        <f t="shared" ref="I41:N42" si="21">I40</f>
        <v>998173</v>
      </c>
      <c r="J41" s="52">
        <f t="shared" si="21"/>
        <v>2746130</v>
      </c>
      <c r="K41" s="88">
        <f t="shared" si="21"/>
        <v>3744303</v>
      </c>
      <c r="L41" s="110">
        <f t="shared" si="21"/>
        <v>0</v>
      </c>
      <c r="M41" s="52">
        <f t="shared" si="21"/>
        <v>0</v>
      </c>
      <c r="N41" s="205">
        <f t="shared" si="21"/>
        <v>0</v>
      </c>
      <c r="O41" s="228">
        <f t="shared" si="0"/>
        <v>0</v>
      </c>
    </row>
    <row r="42" spans="2:15" ht="15" x14ac:dyDescent="0.25">
      <c r="B42" s="51"/>
      <c r="C42" s="4"/>
      <c r="D42" s="4"/>
      <c r="E42" s="4"/>
      <c r="F42" s="57"/>
      <c r="G42" s="68"/>
      <c r="H42" s="4" t="s">
        <v>17</v>
      </c>
      <c r="I42" s="110">
        <f t="shared" si="21"/>
        <v>998173</v>
      </c>
      <c r="J42" s="52">
        <f t="shared" si="21"/>
        <v>2746130</v>
      </c>
      <c r="K42" s="88">
        <f t="shared" si="21"/>
        <v>3744303</v>
      </c>
      <c r="L42" s="110">
        <f t="shared" si="21"/>
        <v>0</v>
      </c>
      <c r="M42" s="52">
        <f t="shared" si="21"/>
        <v>0</v>
      </c>
      <c r="N42" s="205">
        <f t="shared" si="21"/>
        <v>0</v>
      </c>
      <c r="O42" s="228">
        <f t="shared" si="0"/>
        <v>0</v>
      </c>
    </row>
    <row r="43" spans="2:15" ht="15" thickBot="1" x14ac:dyDescent="0.25">
      <c r="B43" s="6"/>
      <c r="C43" s="7"/>
      <c r="D43" s="7"/>
      <c r="E43" s="7"/>
      <c r="F43" s="59"/>
      <c r="G43" s="70"/>
      <c r="H43" s="7"/>
      <c r="I43" s="112"/>
      <c r="J43" s="13"/>
      <c r="K43" s="90"/>
      <c r="L43" s="184"/>
      <c r="M43" s="13"/>
      <c r="N43" s="207"/>
      <c r="O43" s="227"/>
    </row>
    <row r="44" spans="2:15" ht="14.25" x14ac:dyDescent="0.2">
      <c r="F44" s="60"/>
      <c r="G44" s="71"/>
      <c r="I44" s="20"/>
      <c r="J44" s="20"/>
      <c r="K44" s="92"/>
      <c r="L44" s="20"/>
      <c r="M44" s="20"/>
      <c r="N44" s="92"/>
      <c r="O44" s="233" t="str">
        <f t="shared" si="0"/>
        <v/>
      </c>
    </row>
  </sheetData>
  <mergeCells count="14">
    <mergeCell ref="H7:H8"/>
    <mergeCell ref="I7:K7"/>
    <mergeCell ref="L7:N7"/>
    <mergeCell ref="O7:O8"/>
    <mergeCell ref="B1:N1"/>
    <mergeCell ref="F3:K3"/>
    <mergeCell ref="D5:E5"/>
    <mergeCell ref="H6:I6"/>
    <mergeCell ref="B7:B8"/>
    <mergeCell ref="C7:C8"/>
    <mergeCell ref="D7:D8"/>
    <mergeCell ref="E7:E8"/>
    <mergeCell ref="F7:F8"/>
    <mergeCell ref="G7:G8"/>
  </mergeCells>
  <pageMargins left="0.39370078740157483" right="0.39370078740157483" top="0.39370078740157483" bottom="0.39370078740157483" header="0.31496062992125984" footer="0.31496062992125984"/>
  <pageSetup paperSize="9" scale="7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2"/>
  <dimension ref="B1:O48"/>
  <sheetViews>
    <sheetView topLeftCell="B1" zoomScaleNormal="100" workbookViewId="0">
      <selection activeCell="L9" sqref="L9:O9"/>
    </sheetView>
  </sheetViews>
  <sheetFormatPr defaultColWidth="9.140625" defaultRowHeight="12.75" x14ac:dyDescent="0.2"/>
  <cols>
    <col min="1" max="1" width="6.140625" style="17" customWidth="1"/>
    <col min="2" max="2" width="4.7109375" style="17" customWidth="1"/>
    <col min="3" max="3" width="5.140625" style="17" customWidth="1"/>
    <col min="4" max="5" width="5" style="17" customWidth="1"/>
    <col min="6" max="7" width="8.7109375" style="53" customWidth="1"/>
    <col min="8" max="8" width="50.7109375" style="17" customWidth="1"/>
    <col min="9" max="9" width="11.7109375" style="17" customWidth="1"/>
    <col min="10" max="10" width="11.85546875" style="17" customWidth="1"/>
    <col min="11" max="11" width="13.5703125" style="17" customWidth="1"/>
    <col min="12" max="13" width="14.7109375" style="17" customWidth="1"/>
    <col min="14" max="14" width="15.7109375" style="17" customWidth="1"/>
    <col min="15" max="15" width="9.140625" style="17"/>
    <col min="16" max="16" width="9.5703125" style="17" bestFit="1" customWidth="1"/>
    <col min="17" max="16384" width="9.140625" style="17"/>
  </cols>
  <sheetData>
    <row r="1" spans="2:15" ht="15.75" x14ac:dyDescent="0.25">
      <c r="B1" s="428" t="s">
        <v>374</v>
      </c>
      <c r="C1" s="429"/>
      <c r="D1" s="429"/>
      <c r="E1" s="429"/>
      <c r="F1" s="429"/>
      <c r="G1" s="429"/>
      <c r="H1" s="429"/>
      <c r="I1" s="430"/>
      <c r="J1" s="430"/>
      <c r="K1" s="430"/>
      <c r="L1" s="430"/>
      <c r="M1" s="430"/>
      <c r="N1" s="430"/>
    </row>
    <row r="2" spans="2:15" x14ac:dyDescent="0.2">
      <c r="M2" s="126" t="s">
        <v>232</v>
      </c>
      <c r="N2" s="196"/>
    </row>
    <row r="3" spans="2:15" ht="15.75" x14ac:dyDescent="0.25">
      <c r="B3" s="180" t="s">
        <v>173</v>
      </c>
      <c r="F3" s="431" t="s">
        <v>209</v>
      </c>
      <c r="G3" s="432"/>
      <c r="H3" s="432"/>
      <c r="I3" s="432"/>
      <c r="J3" s="432"/>
      <c r="K3" s="432"/>
    </row>
    <row r="4" spans="2:15" x14ac:dyDescent="0.2">
      <c r="B4" s="180"/>
      <c r="G4"/>
      <c r="H4"/>
      <c r="I4"/>
      <c r="J4"/>
      <c r="K4"/>
    </row>
    <row r="5" spans="2:15" ht="15.75" x14ac:dyDescent="0.25">
      <c r="B5" s="180" t="s">
        <v>172</v>
      </c>
      <c r="D5" s="433">
        <v>19</v>
      </c>
      <c r="E5" s="434"/>
      <c r="F5" s="181"/>
      <c r="G5" s="181"/>
      <c r="I5" s="180"/>
      <c r="L5" s="411"/>
    </row>
    <row r="6" spans="2:15" s="22" customFormat="1" ht="16.5" thickBot="1" x14ac:dyDescent="0.3">
      <c r="F6" s="48"/>
      <c r="G6" s="48"/>
      <c r="H6" s="435"/>
      <c r="I6" s="435"/>
      <c r="J6" s="26"/>
      <c r="K6" s="26"/>
      <c r="L6" s="26"/>
      <c r="M6" s="26"/>
      <c r="N6" s="26"/>
    </row>
    <row r="7" spans="2:15" s="22" customFormat="1" ht="31.5" customHeight="1" x14ac:dyDescent="0.2">
      <c r="B7" s="436" t="s">
        <v>0</v>
      </c>
      <c r="C7" s="438" t="s">
        <v>1</v>
      </c>
      <c r="D7" s="438" t="s">
        <v>21</v>
      </c>
      <c r="E7" s="438" t="s">
        <v>135</v>
      </c>
      <c r="F7" s="421" t="s">
        <v>85</v>
      </c>
      <c r="G7" s="440" t="s">
        <v>88</v>
      </c>
      <c r="H7" s="421" t="s">
        <v>2</v>
      </c>
      <c r="I7" s="423" t="s">
        <v>375</v>
      </c>
      <c r="J7" s="424"/>
      <c r="K7" s="425"/>
      <c r="L7" s="423" t="s">
        <v>373</v>
      </c>
      <c r="M7" s="424"/>
      <c r="N7" s="424"/>
      <c r="O7" s="426" t="s">
        <v>258</v>
      </c>
    </row>
    <row r="8" spans="2:15" s="22" customFormat="1" ht="25.5" x14ac:dyDescent="0.2">
      <c r="B8" s="437"/>
      <c r="C8" s="439"/>
      <c r="D8" s="439"/>
      <c r="E8" s="439"/>
      <c r="F8" s="422"/>
      <c r="G8" s="439"/>
      <c r="H8" s="422"/>
      <c r="I8" s="105" t="s">
        <v>117</v>
      </c>
      <c r="J8" s="85" t="s">
        <v>118</v>
      </c>
      <c r="K8" s="159" t="s">
        <v>81</v>
      </c>
      <c r="L8" s="105" t="s">
        <v>117</v>
      </c>
      <c r="M8" s="85" t="s">
        <v>118</v>
      </c>
      <c r="N8" s="200" t="s">
        <v>81</v>
      </c>
      <c r="O8" s="427"/>
    </row>
    <row r="9" spans="2:15" s="48" customFormat="1" x14ac:dyDescent="0.2">
      <c r="B9" s="97">
        <v>1</v>
      </c>
      <c r="C9" s="68">
        <v>2</v>
      </c>
      <c r="D9" s="68">
        <v>3</v>
      </c>
      <c r="E9" s="68">
        <v>4</v>
      </c>
      <c r="F9" s="68">
        <v>5</v>
      </c>
      <c r="G9" s="68">
        <v>6</v>
      </c>
      <c r="H9" s="68">
        <v>7</v>
      </c>
      <c r="I9" s="97">
        <v>8</v>
      </c>
      <c r="J9" s="68">
        <v>9</v>
      </c>
      <c r="K9" s="160" t="s">
        <v>171</v>
      </c>
      <c r="L9" s="97">
        <v>11</v>
      </c>
      <c r="M9" s="68">
        <v>12</v>
      </c>
      <c r="N9" s="68" t="s">
        <v>394</v>
      </c>
      <c r="O9" s="232" t="s">
        <v>395</v>
      </c>
    </row>
    <row r="10" spans="2:15" ht="15" x14ac:dyDescent="0.25">
      <c r="B10" s="2" t="s">
        <v>43</v>
      </c>
      <c r="C10" s="3" t="s">
        <v>3</v>
      </c>
      <c r="D10" s="3" t="s">
        <v>4</v>
      </c>
      <c r="E10" s="136" t="s">
        <v>144</v>
      </c>
      <c r="F10" s="49"/>
      <c r="G10" s="49"/>
      <c r="H10" s="182" t="s">
        <v>193</v>
      </c>
      <c r="I10" s="1"/>
      <c r="J10" s="49"/>
      <c r="K10" s="161"/>
      <c r="L10" s="1"/>
      <c r="M10" s="49"/>
      <c r="N10" s="201"/>
      <c r="O10" s="224" t="str">
        <f t="shared" ref="O10:O27" si="0">IF(K10=0,"",N10/K10*100)</f>
        <v/>
      </c>
    </row>
    <row r="11" spans="2:15" ht="15" x14ac:dyDescent="0.25">
      <c r="B11" s="51"/>
      <c r="C11" s="4"/>
      <c r="D11" s="4"/>
      <c r="E11" s="4"/>
      <c r="F11" s="57">
        <v>611000</v>
      </c>
      <c r="G11" s="68"/>
      <c r="H11" s="10" t="s">
        <v>57</v>
      </c>
      <c r="I11" s="106">
        <f>I12+I13</f>
        <v>1281080</v>
      </c>
      <c r="J11" s="32">
        <f t="shared" ref="J11:N11" si="1">SUM(J12:J14)</f>
        <v>0</v>
      </c>
      <c r="K11" s="162">
        <f t="shared" si="1"/>
        <v>1281080</v>
      </c>
      <c r="L11" s="106">
        <f t="shared" si="1"/>
        <v>0</v>
      </c>
      <c r="M11" s="32">
        <f t="shared" si="1"/>
        <v>0</v>
      </c>
      <c r="N11" s="202">
        <f t="shared" si="1"/>
        <v>0</v>
      </c>
      <c r="O11" s="228">
        <f t="shared" si="0"/>
        <v>0</v>
      </c>
    </row>
    <row r="12" spans="2:15" ht="14.25" x14ac:dyDescent="0.2">
      <c r="B12" s="50"/>
      <c r="C12" s="8"/>
      <c r="D12" s="8"/>
      <c r="E12" s="8"/>
      <c r="F12" s="58">
        <v>611100</v>
      </c>
      <c r="G12" s="69"/>
      <c r="H12" s="9" t="s">
        <v>68</v>
      </c>
      <c r="I12" s="107">
        <f>985020+12*2300+3*1280+1820+1510+56150</f>
        <v>1075940</v>
      </c>
      <c r="J12" s="31">
        <v>0</v>
      </c>
      <c r="K12" s="163">
        <f>SUM(I12:J12)</f>
        <v>1075940</v>
      </c>
      <c r="L12" s="107"/>
      <c r="M12" s="31"/>
      <c r="N12" s="203">
        <f>SUM(L12:M12)</f>
        <v>0</v>
      </c>
      <c r="O12" s="224">
        <f t="shared" si="0"/>
        <v>0</v>
      </c>
    </row>
    <row r="13" spans="2:15" ht="14.25" x14ac:dyDescent="0.2">
      <c r="B13" s="50"/>
      <c r="C13" s="8"/>
      <c r="D13" s="8"/>
      <c r="E13" s="8"/>
      <c r="F13" s="58">
        <v>611200</v>
      </c>
      <c r="G13" s="69"/>
      <c r="H13" s="9" t="s">
        <v>69</v>
      </c>
      <c r="I13" s="107">
        <f>177170+850+5550+3*2840+4050+9000</f>
        <v>205140</v>
      </c>
      <c r="J13" s="31">
        <v>0</v>
      </c>
      <c r="K13" s="163">
        <f t="shared" ref="K13" si="2">SUM(I13:J13)</f>
        <v>205140</v>
      </c>
      <c r="L13" s="107"/>
      <c r="M13" s="31"/>
      <c r="N13" s="203">
        <f t="shared" ref="N13" si="3">SUM(L13:M13)</f>
        <v>0</v>
      </c>
      <c r="O13" s="224">
        <f t="shared" si="0"/>
        <v>0</v>
      </c>
    </row>
    <row r="14" spans="2:15" ht="14.25" x14ac:dyDescent="0.2">
      <c r="B14" s="50"/>
      <c r="C14" s="8"/>
      <c r="D14" s="8"/>
      <c r="E14" s="8"/>
      <c r="F14" s="58"/>
      <c r="G14" s="69"/>
      <c r="H14" s="9"/>
      <c r="I14" s="107"/>
      <c r="J14" s="31"/>
      <c r="K14" s="163"/>
      <c r="L14" s="107"/>
      <c r="M14" s="31"/>
      <c r="N14" s="203"/>
      <c r="O14" s="224" t="str">
        <f t="shared" si="0"/>
        <v/>
      </c>
    </row>
    <row r="15" spans="2:15" ht="15" x14ac:dyDescent="0.25">
      <c r="B15" s="51"/>
      <c r="C15" s="4"/>
      <c r="D15" s="4"/>
      <c r="E15" s="4"/>
      <c r="F15" s="57">
        <v>612000</v>
      </c>
      <c r="G15" s="68"/>
      <c r="H15" s="10" t="s">
        <v>56</v>
      </c>
      <c r="I15" s="106">
        <f>I16</f>
        <v>55860</v>
      </c>
      <c r="J15" s="32">
        <f t="shared" ref="J15:N15" si="4">J16</f>
        <v>0</v>
      </c>
      <c r="K15" s="162">
        <f t="shared" si="4"/>
        <v>55860</v>
      </c>
      <c r="L15" s="106">
        <f t="shared" si="4"/>
        <v>0</v>
      </c>
      <c r="M15" s="32">
        <f t="shared" si="4"/>
        <v>0</v>
      </c>
      <c r="N15" s="202">
        <f t="shared" si="4"/>
        <v>0</v>
      </c>
      <c r="O15" s="228">
        <f t="shared" si="0"/>
        <v>0</v>
      </c>
    </row>
    <row r="16" spans="2:15" ht="14.25" x14ac:dyDescent="0.2">
      <c r="B16" s="50"/>
      <c r="C16" s="8"/>
      <c r="D16" s="8"/>
      <c r="E16" s="8"/>
      <c r="F16" s="58">
        <v>612100</v>
      </c>
      <c r="G16" s="69"/>
      <c r="H16" s="145" t="s">
        <v>5</v>
      </c>
      <c r="I16" s="107">
        <f>50590+12*120+3*210+300+2900</f>
        <v>55860</v>
      </c>
      <c r="J16" s="31">
        <v>0</v>
      </c>
      <c r="K16" s="163">
        <f>SUM(I16:J16)</f>
        <v>55860</v>
      </c>
      <c r="L16" s="107"/>
      <c r="M16" s="31"/>
      <c r="N16" s="203">
        <f>SUM(L16:M16)</f>
        <v>0</v>
      </c>
      <c r="O16" s="224">
        <f t="shared" si="0"/>
        <v>0</v>
      </c>
    </row>
    <row r="17" spans="2:15" ht="14.25" x14ac:dyDescent="0.2">
      <c r="B17" s="50"/>
      <c r="C17" s="8"/>
      <c r="D17" s="8"/>
      <c r="E17" s="8"/>
      <c r="F17" s="58"/>
      <c r="G17" s="69"/>
      <c r="H17" s="9"/>
      <c r="I17" s="108"/>
      <c r="J17" s="46"/>
      <c r="K17" s="164"/>
      <c r="L17" s="108"/>
      <c r="M17" s="46"/>
      <c r="N17" s="204"/>
      <c r="O17" s="224" t="str">
        <f t="shared" si="0"/>
        <v/>
      </c>
    </row>
    <row r="18" spans="2:15" ht="15" x14ac:dyDescent="0.25">
      <c r="B18" s="51"/>
      <c r="C18" s="4"/>
      <c r="D18" s="4"/>
      <c r="E18" s="4"/>
      <c r="F18" s="57">
        <v>613000</v>
      </c>
      <c r="G18" s="68"/>
      <c r="H18" s="10" t="s">
        <v>58</v>
      </c>
      <c r="I18" s="109">
        <f>SUM(I19:I27)</f>
        <v>99000</v>
      </c>
      <c r="J18" s="55">
        <f t="shared" ref="J18:N18" si="5">SUM(J19:J27)</f>
        <v>0</v>
      </c>
      <c r="K18" s="165">
        <f t="shared" si="5"/>
        <v>99000</v>
      </c>
      <c r="L18" s="109">
        <f t="shared" si="5"/>
        <v>0</v>
      </c>
      <c r="M18" s="55">
        <f t="shared" si="5"/>
        <v>0</v>
      </c>
      <c r="N18" s="205">
        <f t="shared" si="5"/>
        <v>0</v>
      </c>
      <c r="O18" s="228">
        <f t="shared" si="0"/>
        <v>0</v>
      </c>
    </row>
    <row r="19" spans="2:15" ht="14.25" x14ac:dyDescent="0.2">
      <c r="B19" s="50"/>
      <c r="C19" s="8"/>
      <c r="D19" s="8"/>
      <c r="E19" s="8"/>
      <c r="F19" s="58">
        <v>613100</v>
      </c>
      <c r="G19" s="69"/>
      <c r="H19" s="9" t="s">
        <v>6</v>
      </c>
      <c r="I19" s="99">
        <v>8000</v>
      </c>
      <c r="J19" s="82">
        <v>0</v>
      </c>
      <c r="K19" s="163">
        <f t="shared" ref="K19:K27" si="6">SUM(I19:J19)</f>
        <v>8000</v>
      </c>
      <c r="L19" s="99"/>
      <c r="M19" s="82"/>
      <c r="N19" s="203">
        <f t="shared" ref="N19:N27" si="7">SUM(L19:M19)</f>
        <v>0</v>
      </c>
      <c r="O19" s="224">
        <f t="shared" si="0"/>
        <v>0</v>
      </c>
    </row>
    <row r="20" spans="2:15" ht="14.25" x14ac:dyDescent="0.2">
      <c r="B20" s="50"/>
      <c r="C20" s="8"/>
      <c r="D20" s="8"/>
      <c r="E20" s="8"/>
      <c r="F20" s="58">
        <v>613200</v>
      </c>
      <c r="G20" s="69"/>
      <c r="H20" s="9" t="s">
        <v>7</v>
      </c>
      <c r="I20" s="99">
        <v>4500</v>
      </c>
      <c r="J20" s="82">
        <v>0</v>
      </c>
      <c r="K20" s="163">
        <f t="shared" si="6"/>
        <v>4500</v>
      </c>
      <c r="L20" s="99"/>
      <c r="M20" s="82"/>
      <c r="N20" s="203">
        <f t="shared" si="7"/>
        <v>0</v>
      </c>
      <c r="O20" s="224">
        <f t="shared" si="0"/>
        <v>0</v>
      </c>
    </row>
    <row r="21" spans="2:15" ht="14.25" x14ac:dyDescent="0.2">
      <c r="B21" s="50"/>
      <c r="C21" s="8"/>
      <c r="D21" s="8"/>
      <c r="E21" s="8"/>
      <c r="F21" s="58">
        <v>613300</v>
      </c>
      <c r="G21" s="69"/>
      <c r="H21" s="9" t="s">
        <v>70</v>
      </c>
      <c r="I21" s="99">
        <v>8000</v>
      </c>
      <c r="J21" s="82">
        <v>0</v>
      </c>
      <c r="K21" s="163">
        <f t="shared" si="6"/>
        <v>8000</v>
      </c>
      <c r="L21" s="99"/>
      <c r="M21" s="82"/>
      <c r="N21" s="203">
        <f t="shared" si="7"/>
        <v>0</v>
      </c>
      <c r="O21" s="224">
        <f t="shared" si="0"/>
        <v>0</v>
      </c>
    </row>
    <row r="22" spans="2:15" ht="14.25" x14ac:dyDescent="0.2">
      <c r="B22" s="50"/>
      <c r="C22" s="8"/>
      <c r="D22" s="8"/>
      <c r="E22" s="8"/>
      <c r="F22" s="58">
        <v>613400</v>
      </c>
      <c r="G22" s="69"/>
      <c r="H22" s="9" t="s">
        <v>59</v>
      </c>
      <c r="I22" s="99">
        <v>8000</v>
      </c>
      <c r="J22" s="82">
        <v>0</v>
      </c>
      <c r="K22" s="163">
        <f t="shared" si="6"/>
        <v>8000</v>
      </c>
      <c r="L22" s="99"/>
      <c r="M22" s="82"/>
      <c r="N22" s="203">
        <f t="shared" si="7"/>
        <v>0</v>
      </c>
      <c r="O22" s="224">
        <f t="shared" si="0"/>
        <v>0</v>
      </c>
    </row>
    <row r="23" spans="2:15" ht="14.25" x14ac:dyDescent="0.2">
      <c r="B23" s="50"/>
      <c r="C23" s="8"/>
      <c r="D23" s="8"/>
      <c r="E23" s="8"/>
      <c r="F23" s="58">
        <v>613500</v>
      </c>
      <c r="G23" s="69"/>
      <c r="H23" s="9" t="s">
        <v>8</v>
      </c>
      <c r="I23" s="99">
        <v>1000</v>
      </c>
      <c r="J23" s="82">
        <v>0</v>
      </c>
      <c r="K23" s="163">
        <f t="shared" si="6"/>
        <v>1000</v>
      </c>
      <c r="L23" s="99"/>
      <c r="M23" s="82"/>
      <c r="N23" s="203">
        <f t="shared" si="7"/>
        <v>0</v>
      </c>
      <c r="O23" s="224">
        <f t="shared" si="0"/>
        <v>0</v>
      </c>
    </row>
    <row r="24" spans="2:15" ht="14.25" x14ac:dyDescent="0.2">
      <c r="B24" s="50"/>
      <c r="C24" s="8"/>
      <c r="D24" s="8"/>
      <c r="E24" s="8"/>
      <c r="F24" s="58">
        <v>613600</v>
      </c>
      <c r="G24" s="69"/>
      <c r="H24" s="9" t="s">
        <v>71</v>
      </c>
      <c r="I24" s="99">
        <v>0</v>
      </c>
      <c r="J24" s="82">
        <v>0</v>
      </c>
      <c r="K24" s="163">
        <f t="shared" si="6"/>
        <v>0</v>
      </c>
      <c r="L24" s="99"/>
      <c r="M24" s="82"/>
      <c r="N24" s="203">
        <f t="shared" si="7"/>
        <v>0</v>
      </c>
      <c r="O24" s="224" t="str">
        <f t="shared" si="0"/>
        <v/>
      </c>
    </row>
    <row r="25" spans="2:15" ht="14.25" x14ac:dyDescent="0.2">
      <c r="B25" s="50"/>
      <c r="C25" s="8"/>
      <c r="D25" s="8"/>
      <c r="E25" s="8"/>
      <c r="F25" s="58">
        <v>613700</v>
      </c>
      <c r="G25" s="69"/>
      <c r="H25" s="9" t="s">
        <v>9</v>
      </c>
      <c r="I25" s="99">
        <v>1500</v>
      </c>
      <c r="J25" s="82">
        <v>0</v>
      </c>
      <c r="K25" s="163">
        <f t="shared" si="6"/>
        <v>1500</v>
      </c>
      <c r="L25" s="99"/>
      <c r="M25" s="82"/>
      <c r="N25" s="203">
        <f t="shared" si="7"/>
        <v>0</v>
      </c>
      <c r="O25" s="224">
        <f t="shared" si="0"/>
        <v>0</v>
      </c>
    </row>
    <row r="26" spans="2:15" ht="14.25" x14ac:dyDescent="0.2">
      <c r="B26" s="50"/>
      <c r="C26" s="8"/>
      <c r="D26" s="8"/>
      <c r="E26" s="8"/>
      <c r="F26" s="58">
        <v>613800</v>
      </c>
      <c r="G26" s="69"/>
      <c r="H26" s="9" t="s">
        <v>60</v>
      </c>
      <c r="I26" s="99">
        <v>0</v>
      </c>
      <c r="J26" s="82">
        <v>0</v>
      </c>
      <c r="K26" s="163">
        <f t="shared" si="6"/>
        <v>0</v>
      </c>
      <c r="L26" s="99"/>
      <c r="M26" s="82"/>
      <c r="N26" s="203">
        <f t="shared" si="7"/>
        <v>0</v>
      </c>
      <c r="O26" s="224" t="str">
        <f t="shared" si="0"/>
        <v/>
      </c>
    </row>
    <row r="27" spans="2:15" ht="14.25" x14ac:dyDescent="0.2">
      <c r="B27" s="50"/>
      <c r="C27" s="8"/>
      <c r="D27" s="8"/>
      <c r="E27" s="8"/>
      <c r="F27" s="58">
        <v>613900</v>
      </c>
      <c r="G27" s="69"/>
      <c r="H27" s="9" t="s">
        <v>61</v>
      </c>
      <c r="I27" s="99">
        <v>68000</v>
      </c>
      <c r="J27" s="82">
        <v>0</v>
      </c>
      <c r="K27" s="163">
        <f t="shared" si="6"/>
        <v>68000</v>
      </c>
      <c r="L27" s="99"/>
      <c r="M27" s="82"/>
      <c r="N27" s="203">
        <f t="shared" si="7"/>
        <v>0</v>
      </c>
      <c r="O27" s="224">
        <f t="shared" si="0"/>
        <v>0</v>
      </c>
    </row>
    <row r="28" spans="2:15" ht="15" x14ac:dyDescent="0.25">
      <c r="B28" s="50"/>
      <c r="C28" s="8"/>
      <c r="D28" s="8"/>
      <c r="E28" s="8"/>
      <c r="F28" s="58"/>
      <c r="G28" s="69"/>
      <c r="H28" s="9"/>
      <c r="I28" s="110"/>
      <c r="J28" s="52"/>
      <c r="K28" s="165"/>
      <c r="L28" s="110"/>
      <c r="M28" s="52"/>
      <c r="N28" s="205"/>
      <c r="O28" s="224" t="str">
        <f t="shared" ref="O28:O48" si="8">IF(K28=0,"",N28/K28*100)</f>
        <v/>
      </c>
    </row>
    <row r="29" spans="2:15" ht="15" x14ac:dyDescent="0.25">
      <c r="B29" s="51"/>
      <c r="C29" s="4"/>
      <c r="D29" s="4"/>
      <c r="E29" s="4"/>
      <c r="F29" s="57">
        <v>614000</v>
      </c>
      <c r="G29" s="68"/>
      <c r="H29" s="10" t="s">
        <v>72</v>
      </c>
      <c r="I29" s="110">
        <f t="shared" ref="I29" si="9">SUM(I30:I33)</f>
        <v>2050000</v>
      </c>
      <c r="J29" s="52">
        <f t="shared" ref="J29:N29" si="10">SUM(J30:J33)</f>
        <v>400000</v>
      </c>
      <c r="K29" s="165">
        <f t="shared" si="10"/>
        <v>2450000</v>
      </c>
      <c r="L29" s="110">
        <f t="shared" si="10"/>
        <v>0</v>
      </c>
      <c r="M29" s="52">
        <f t="shared" si="10"/>
        <v>0</v>
      </c>
      <c r="N29" s="205">
        <f t="shared" si="10"/>
        <v>0</v>
      </c>
      <c r="O29" s="228">
        <f t="shared" si="8"/>
        <v>0</v>
      </c>
    </row>
    <row r="30" spans="2:15" ht="14.25" x14ac:dyDescent="0.2">
      <c r="B30" s="51"/>
      <c r="C30" s="4"/>
      <c r="D30" s="10"/>
      <c r="E30" s="10"/>
      <c r="F30" s="58">
        <v>614100</v>
      </c>
      <c r="G30" s="69" t="s">
        <v>106</v>
      </c>
      <c r="H30" s="145" t="s">
        <v>244</v>
      </c>
      <c r="I30" s="116">
        <v>0</v>
      </c>
      <c r="J30" s="54">
        <v>200000</v>
      </c>
      <c r="K30" s="163">
        <f t="shared" ref="K30:K33" si="11">SUM(I30:J30)</f>
        <v>200000</v>
      </c>
      <c r="L30" s="116"/>
      <c r="M30" s="54"/>
      <c r="N30" s="203">
        <f t="shared" ref="N30:N33" si="12">SUM(L30:M30)</f>
        <v>0</v>
      </c>
      <c r="O30" s="224">
        <f t="shared" si="8"/>
        <v>0</v>
      </c>
    </row>
    <row r="31" spans="2:15" ht="14.25" x14ac:dyDescent="0.2">
      <c r="B31" s="50"/>
      <c r="C31" s="8"/>
      <c r="D31" s="8"/>
      <c r="E31" s="8"/>
      <c r="F31" s="58">
        <v>614500</v>
      </c>
      <c r="G31" s="69" t="s">
        <v>105</v>
      </c>
      <c r="H31" s="157" t="s">
        <v>245</v>
      </c>
      <c r="I31" s="116">
        <f>1900000-50000</f>
        <v>1850000</v>
      </c>
      <c r="J31" s="54">
        <v>0</v>
      </c>
      <c r="K31" s="163">
        <f t="shared" si="11"/>
        <v>1850000</v>
      </c>
      <c r="L31" s="116"/>
      <c r="M31" s="54"/>
      <c r="N31" s="203">
        <f t="shared" si="12"/>
        <v>0</v>
      </c>
      <c r="O31" s="224">
        <f t="shared" si="8"/>
        <v>0</v>
      </c>
    </row>
    <row r="32" spans="2:15" ht="14.25" x14ac:dyDescent="0.2">
      <c r="B32" s="50"/>
      <c r="C32" s="8"/>
      <c r="D32" s="8"/>
      <c r="E32" s="8"/>
      <c r="F32" s="58">
        <v>614500</v>
      </c>
      <c r="G32" s="69" t="s">
        <v>107</v>
      </c>
      <c r="H32" s="157" t="s">
        <v>246</v>
      </c>
      <c r="I32" s="116">
        <v>200000</v>
      </c>
      <c r="J32" s="54">
        <v>0</v>
      </c>
      <c r="K32" s="163">
        <f t="shared" si="11"/>
        <v>200000</v>
      </c>
      <c r="L32" s="116"/>
      <c r="M32" s="54"/>
      <c r="N32" s="203">
        <f t="shared" si="12"/>
        <v>0</v>
      </c>
      <c r="O32" s="224">
        <f t="shared" si="8"/>
        <v>0</v>
      </c>
    </row>
    <row r="33" spans="2:15" ht="14.25" x14ac:dyDescent="0.2">
      <c r="B33" s="50"/>
      <c r="C33" s="8"/>
      <c r="D33" s="8"/>
      <c r="E33" s="8"/>
      <c r="F33" s="58">
        <v>614500</v>
      </c>
      <c r="G33" s="69" t="s">
        <v>108</v>
      </c>
      <c r="H33" s="152" t="s">
        <v>80</v>
      </c>
      <c r="I33" s="116">
        <v>0</v>
      </c>
      <c r="J33" s="54">
        <v>200000</v>
      </c>
      <c r="K33" s="163">
        <f t="shared" si="11"/>
        <v>200000</v>
      </c>
      <c r="L33" s="116"/>
      <c r="M33" s="54"/>
      <c r="N33" s="203">
        <f t="shared" si="12"/>
        <v>0</v>
      </c>
      <c r="O33" s="224">
        <f t="shared" si="8"/>
        <v>0</v>
      </c>
    </row>
    <row r="34" spans="2:15" ht="15" x14ac:dyDescent="0.25">
      <c r="B34" s="50"/>
      <c r="C34" s="8"/>
      <c r="D34" s="8"/>
      <c r="E34" s="8"/>
      <c r="F34" s="58"/>
      <c r="G34" s="69"/>
      <c r="H34" s="9"/>
      <c r="I34" s="110"/>
      <c r="J34" s="52"/>
      <c r="K34" s="165"/>
      <c r="L34" s="110"/>
      <c r="M34" s="52"/>
      <c r="N34" s="205"/>
      <c r="O34" s="224" t="str">
        <f t="shared" si="8"/>
        <v/>
      </c>
    </row>
    <row r="35" spans="2:15" ht="15" x14ac:dyDescent="0.25">
      <c r="B35" s="51"/>
      <c r="C35" s="4"/>
      <c r="D35" s="4"/>
      <c r="E35" s="4"/>
      <c r="F35" s="57">
        <v>615000</v>
      </c>
      <c r="G35" s="68"/>
      <c r="H35" s="10" t="s">
        <v>11</v>
      </c>
      <c r="I35" s="110">
        <f t="shared" ref="I35" si="13">SUM(I36:I37)</f>
        <v>159610</v>
      </c>
      <c r="J35" s="52">
        <f t="shared" ref="J35:N35" si="14">SUM(J36:J37)</f>
        <v>490390</v>
      </c>
      <c r="K35" s="165">
        <f t="shared" si="14"/>
        <v>650000</v>
      </c>
      <c r="L35" s="110"/>
      <c r="M35" s="52"/>
      <c r="N35" s="205">
        <f t="shared" si="14"/>
        <v>0</v>
      </c>
      <c r="O35" s="224">
        <f t="shared" si="8"/>
        <v>0</v>
      </c>
    </row>
    <row r="36" spans="2:15" ht="14.25" x14ac:dyDescent="0.2">
      <c r="B36" s="51"/>
      <c r="C36" s="4"/>
      <c r="D36" s="10"/>
      <c r="E36" s="10"/>
      <c r="F36" s="58">
        <v>615100</v>
      </c>
      <c r="G36" s="69" t="s">
        <v>157</v>
      </c>
      <c r="H36" s="145" t="s">
        <v>134</v>
      </c>
      <c r="I36" s="116">
        <f>450000-340390+50000</f>
        <v>159610</v>
      </c>
      <c r="J36" s="54">
        <v>340390</v>
      </c>
      <c r="K36" s="163">
        <f t="shared" ref="K36:K37" si="15">SUM(I36:J36)</f>
        <v>500000</v>
      </c>
      <c r="L36" s="116"/>
      <c r="M36" s="54"/>
      <c r="N36" s="203">
        <f t="shared" ref="N36:N37" si="16">SUM(L36:M36)</f>
        <v>0</v>
      </c>
      <c r="O36" s="224">
        <f t="shared" si="8"/>
        <v>0</v>
      </c>
    </row>
    <row r="37" spans="2:15" ht="14.25" x14ac:dyDescent="0.2">
      <c r="B37" s="51"/>
      <c r="C37" s="4"/>
      <c r="D37" s="10"/>
      <c r="E37" s="10"/>
      <c r="F37" s="58">
        <v>615100</v>
      </c>
      <c r="G37" s="69" t="s">
        <v>158</v>
      </c>
      <c r="H37" s="145" t="s">
        <v>133</v>
      </c>
      <c r="I37" s="116">
        <v>0</v>
      </c>
      <c r="J37" s="54">
        <v>150000</v>
      </c>
      <c r="K37" s="163">
        <f t="shared" si="15"/>
        <v>150000</v>
      </c>
      <c r="L37" s="116"/>
      <c r="M37" s="54"/>
      <c r="N37" s="203">
        <f t="shared" si="16"/>
        <v>0</v>
      </c>
      <c r="O37" s="224">
        <f t="shared" si="8"/>
        <v>0</v>
      </c>
    </row>
    <row r="38" spans="2:15" ht="14.25" x14ac:dyDescent="0.2">
      <c r="B38" s="50"/>
      <c r="C38" s="8"/>
      <c r="D38" s="8"/>
      <c r="E38" s="8"/>
      <c r="F38" s="58"/>
      <c r="G38" s="69"/>
      <c r="H38" s="9"/>
      <c r="I38" s="108"/>
      <c r="J38" s="46"/>
      <c r="K38" s="87"/>
      <c r="L38" s="108"/>
      <c r="M38" s="46"/>
      <c r="N38" s="204"/>
      <c r="O38" s="224" t="str">
        <f t="shared" si="8"/>
        <v/>
      </c>
    </row>
    <row r="39" spans="2:15" ht="15" x14ac:dyDescent="0.25">
      <c r="B39" s="51"/>
      <c r="C39" s="4"/>
      <c r="D39" s="4"/>
      <c r="E39" s="4"/>
      <c r="F39" s="57">
        <v>821000</v>
      </c>
      <c r="G39" s="68"/>
      <c r="H39" s="10" t="s">
        <v>12</v>
      </c>
      <c r="I39" s="110">
        <f t="shared" ref="I39" si="17">SUM(I40:I42)</f>
        <v>18000</v>
      </c>
      <c r="J39" s="52">
        <f t="shared" ref="J39:N39" si="18">SUM(J40:J42)</f>
        <v>50000</v>
      </c>
      <c r="K39" s="88">
        <f t="shared" si="18"/>
        <v>68000</v>
      </c>
      <c r="L39" s="110">
        <f t="shared" si="18"/>
        <v>0</v>
      </c>
      <c r="M39" s="52">
        <f t="shared" si="18"/>
        <v>0</v>
      </c>
      <c r="N39" s="205">
        <f t="shared" si="18"/>
        <v>0</v>
      </c>
      <c r="O39" s="228">
        <f t="shared" si="8"/>
        <v>0</v>
      </c>
    </row>
    <row r="40" spans="2:15" ht="14.25" x14ac:dyDescent="0.2">
      <c r="B40" s="50"/>
      <c r="C40" s="8"/>
      <c r="D40" s="8"/>
      <c r="E40" s="8"/>
      <c r="F40" s="58">
        <v>821200</v>
      </c>
      <c r="G40" s="69"/>
      <c r="H40" s="9" t="s">
        <v>13</v>
      </c>
      <c r="I40" s="108">
        <v>0</v>
      </c>
      <c r="J40" s="46">
        <v>0</v>
      </c>
      <c r="K40" s="86">
        <f t="shared" ref="K40:K41" si="19">SUM(I40:J40)</f>
        <v>0</v>
      </c>
      <c r="L40" s="108"/>
      <c r="M40" s="46"/>
      <c r="N40" s="203">
        <f t="shared" ref="N40:N41" si="20">SUM(L40:M40)</f>
        <v>0</v>
      </c>
      <c r="O40" s="224" t="str">
        <f t="shared" si="8"/>
        <v/>
      </c>
    </row>
    <row r="41" spans="2:15" ht="14.25" x14ac:dyDescent="0.2">
      <c r="B41" s="50"/>
      <c r="C41" s="8"/>
      <c r="D41" s="8"/>
      <c r="E41" s="8"/>
      <c r="F41" s="58">
        <v>821300</v>
      </c>
      <c r="G41" s="69"/>
      <c r="H41" s="9" t="s">
        <v>14</v>
      </c>
      <c r="I41" s="108">
        <v>18000</v>
      </c>
      <c r="J41" s="46">
        <v>50000</v>
      </c>
      <c r="K41" s="86">
        <f t="shared" si="19"/>
        <v>68000</v>
      </c>
      <c r="L41" s="108"/>
      <c r="M41" s="46"/>
      <c r="N41" s="203">
        <f t="shared" si="20"/>
        <v>0</v>
      </c>
      <c r="O41" s="224">
        <f t="shared" si="8"/>
        <v>0</v>
      </c>
    </row>
    <row r="42" spans="2:15" ht="14.25" x14ac:dyDescent="0.2">
      <c r="B42" s="50"/>
      <c r="C42" s="8"/>
      <c r="D42" s="8"/>
      <c r="E42" s="8"/>
      <c r="F42" s="58"/>
      <c r="G42" s="69"/>
      <c r="H42" s="9"/>
      <c r="I42" s="108"/>
      <c r="J42" s="46"/>
      <c r="K42" s="87"/>
      <c r="L42" s="108"/>
      <c r="M42" s="46"/>
      <c r="N42" s="204"/>
      <c r="O42" s="224" t="str">
        <f t="shared" si="8"/>
        <v/>
      </c>
    </row>
    <row r="43" spans="2:15" ht="15" x14ac:dyDescent="0.25">
      <c r="B43" s="51"/>
      <c r="C43" s="4"/>
      <c r="D43" s="4"/>
      <c r="E43" s="4"/>
      <c r="F43" s="57"/>
      <c r="G43" s="68"/>
      <c r="H43" s="10" t="s">
        <v>15</v>
      </c>
      <c r="I43" s="111" t="s">
        <v>380</v>
      </c>
      <c r="J43" s="47"/>
      <c r="K43" s="89" t="s">
        <v>380</v>
      </c>
      <c r="L43" s="111"/>
      <c r="M43" s="47"/>
      <c r="N43" s="206"/>
      <c r="O43" s="224"/>
    </row>
    <row r="44" spans="2:15" ht="15" x14ac:dyDescent="0.25">
      <c r="B44" s="51"/>
      <c r="C44" s="4"/>
      <c r="D44" s="4"/>
      <c r="E44" s="4"/>
      <c r="F44" s="57"/>
      <c r="G44" s="68"/>
      <c r="H44" s="4" t="s">
        <v>24</v>
      </c>
      <c r="I44" s="110">
        <f t="shared" ref="I44:N44" si="21">I11+I15+I18+I29+I35+I39</f>
        <v>3663550</v>
      </c>
      <c r="J44" s="52">
        <f t="shared" si="21"/>
        <v>940390</v>
      </c>
      <c r="K44" s="88">
        <f t="shared" si="21"/>
        <v>4603940</v>
      </c>
      <c r="L44" s="110">
        <f t="shared" si="21"/>
        <v>0</v>
      </c>
      <c r="M44" s="52">
        <f t="shared" si="21"/>
        <v>0</v>
      </c>
      <c r="N44" s="205">
        <f t="shared" si="21"/>
        <v>0</v>
      </c>
      <c r="O44" s="228">
        <f t="shared" si="8"/>
        <v>0</v>
      </c>
    </row>
    <row r="45" spans="2:15" ht="15" x14ac:dyDescent="0.25">
      <c r="B45" s="51"/>
      <c r="C45" s="4"/>
      <c r="D45" s="4"/>
      <c r="E45" s="4"/>
      <c r="F45" s="57"/>
      <c r="G45" s="68"/>
      <c r="H45" s="4" t="s">
        <v>16</v>
      </c>
      <c r="I45" s="110">
        <f t="shared" ref="I45:N46" si="22">I44</f>
        <v>3663550</v>
      </c>
      <c r="J45" s="52">
        <f t="shared" si="22"/>
        <v>940390</v>
      </c>
      <c r="K45" s="88">
        <f t="shared" si="22"/>
        <v>4603940</v>
      </c>
      <c r="L45" s="110">
        <f t="shared" si="22"/>
        <v>0</v>
      </c>
      <c r="M45" s="52">
        <f t="shared" si="22"/>
        <v>0</v>
      </c>
      <c r="N45" s="205">
        <f t="shared" si="22"/>
        <v>0</v>
      </c>
      <c r="O45" s="228">
        <f t="shared" si="8"/>
        <v>0</v>
      </c>
    </row>
    <row r="46" spans="2:15" ht="15" x14ac:dyDescent="0.25">
      <c r="B46" s="51"/>
      <c r="C46" s="4"/>
      <c r="D46" s="4"/>
      <c r="E46" s="4"/>
      <c r="F46" s="57"/>
      <c r="G46" s="68"/>
      <c r="H46" s="4" t="s">
        <v>17</v>
      </c>
      <c r="I46" s="110">
        <f t="shared" si="22"/>
        <v>3663550</v>
      </c>
      <c r="J46" s="52">
        <f t="shared" si="22"/>
        <v>940390</v>
      </c>
      <c r="K46" s="88">
        <f t="shared" si="22"/>
        <v>4603940</v>
      </c>
      <c r="L46" s="110">
        <f t="shared" si="22"/>
        <v>0</v>
      </c>
      <c r="M46" s="52">
        <f t="shared" si="22"/>
        <v>0</v>
      </c>
      <c r="N46" s="205">
        <f t="shared" si="22"/>
        <v>0</v>
      </c>
      <c r="O46" s="228">
        <f t="shared" si="8"/>
        <v>0</v>
      </c>
    </row>
    <row r="47" spans="2:15" ht="15" thickBot="1" x14ac:dyDescent="0.25">
      <c r="B47" s="6"/>
      <c r="C47" s="7"/>
      <c r="D47" s="7"/>
      <c r="E47" s="7"/>
      <c r="F47" s="59"/>
      <c r="G47" s="70"/>
      <c r="H47" s="7"/>
      <c r="I47" s="112"/>
      <c r="J47" s="13"/>
      <c r="K47" s="90"/>
      <c r="L47" s="184"/>
      <c r="M47" s="13"/>
      <c r="N47" s="207"/>
      <c r="O47" s="227"/>
    </row>
    <row r="48" spans="2:15" ht="14.25" x14ac:dyDescent="0.2">
      <c r="F48" s="60"/>
      <c r="G48" s="71"/>
      <c r="K48" s="91"/>
      <c r="N48" s="91"/>
      <c r="O48" s="233" t="str">
        <f t="shared" si="8"/>
        <v/>
      </c>
    </row>
  </sheetData>
  <mergeCells count="14">
    <mergeCell ref="H7:H8"/>
    <mergeCell ref="I7:K7"/>
    <mergeCell ref="L7:N7"/>
    <mergeCell ref="O7:O8"/>
    <mergeCell ref="B1:N1"/>
    <mergeCell ref="F3:K3"/>
    <mergeCell ref="D5:E5"/>
    <mergeCell ref="H6:I6"/>
    <mergeCell ref="B7:B8"/>
    <mergeCell ref="C7:C8"/>
    <mergeCell ref="D7:D8"/>
    <mergeCell ref="E7:E8"/>
    <mergeCell ref="F7:F8"/>
    <mergeCell ref="G7:G8"/>
  </mergeCells>
  <pageMargins left="0.39370078740157483" right="0.39370078740157483" top="0.39370078740157483" bottom="0.39370078740157483" header="0.31496062992125984" footer="0.31496062992125984"/>
  <pageSetup paperSize="9" scale="7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13"/>
  <dimension ref="B1:O346"/>
  <sheetViews>
    <sheetView topLeftCell="D1" zoomScaleNormal="100" workbookViewId="0">
      <selection activeCell="L9" sqref="L9:O9"/>
    </sheetView>
  </sheetViews>
  <sheetFormatPr defaultColWidth="9.140625" defaultRowHeight="12.75" x14ac:dyDescent="0.2"/>
  <cols>
    <col min="1" max="1" width="6.140625" style="17" customWidth="1"/>
    <col min="2" max="2" width="4.7109375" style="17" customWidth="1"/>
    <col min="3" max="3" width="5.140625" style="17" customWidth="1"/>
    <col min="4" max="5" width="5" style="17" customWidth="1"/>
    <col min="6" max="7" width="8.7109375" style="53" customWidth="1"/>
    <col min="8" max="8" width="50.7109375" style="17" customWidth="1"/>
    <col min="9" max="9" width="11.7109375" style="17" customWidth="1"/>
    <col min="10" max="10" width="11.85546875" style="17" customWidth="1"/>
    <col min="11" max="11" width="13.5703125" style="17" customWidth="1"/>
    <col min="12" max="13" width="14.7109375" style="17" customWidth="1"/>
    <col min="14" max="14" width="15.7109375" style="17" customWidth="1"/>
    <col min="15" max="15" width="9.140625" style="17"/>
    <col min="16" max="16" width="9.5703125" style="17" bestFit="1" customWidth="1"/>
    <col min="17" max="16384" width="9.140625" style="17"/>
  </cols>
  <sheetData>
    <row r="1" spans="2:15" ht="15.75" x14ac:dyDescent="0.25">
      <c r="B1" s="428" t="s">
        <v>374</v>
      </c>
      <c r="C1" s="429"/>
      <c r="D1" s="429"/>
      <c r="E1" s="429"/>
      <c r="F1" s="429"/>
      <c r="G1" s="429"/>
      <c r="H1" s="429"/>
      <c r="I1" s="430"/>
      <c r="J1" s="430"/>
      <c r="K1" s="430"/>
      <c r="L1" s="430"/>
      <c r="M1" s="430"/>
      <c r="N1" s="430"/>
    </row>
    <row r="2" spans="2:15" x14ac:dyDescent="0.2">
      <c r="M2" s="126" t="s">
        <v>232</v>
      </c>
      <c r="N2" s="196"/>
    </row>
    <row r="3" spans="2:15" ht="15.75" x14ac:dyDescent="0.25">
      <c r="B3" s="180" t="s">
        <v>173</v>
      </c>
      <c r="F3" s="431" t="s">
        <v>210</v>
      </c>
      <c r="G3" s="432"/>
      <c r="H3" s="432"/>
      <c r="I3" s="432"/>
      <c r="J3" s="432"/>
      <c r="K3" s="432"/>
    </row>
    <row r="4" spans="2:15" x14ac:dyDescent="0.2">
      <c r="B4" s="180"/>
      <c r="G4"/>
      <c r="H4"/>
      <c r="I4"/>
      <c r="J4"/>
      <c r="K4"/>
    </row>
    <row r="5" spans="2:15" ht="15.75" x14ac:dyDescent="0.25">
      <c r="B5" s="180" t="s">
        <v>172</v>
      </c>
      <c r="D5" s="433">
        <v>20</v>
      </c>
      <c r="E5" s="434"/>
      <c r="F5" s="181"/>
      <c r="G5" s="181"/>
      <c r="I5" s="180"/>
      <c r="L5" s="411"/>
    </row>
    <row r="6" spans="2:15" s="22" customFormat="1" ht="16.5" thickBot="1" x14ac:dyDescent="0.3">
      <c r="F6" s="48"/>
      <c r="G6" s="48"/>
      <c r="H6" s="435"/>
      <c r="I6" s="435"/>
      <c r="J6" s="26"/>
      <c r="K6" s="26"/>
      <c r="L6" s="26"/>
      <c r="M6" s="26"/>
      <c r="N6" s="26"/>
    </row>
    <row r="7" spans="2:15" s="22" customFormat="1" ht="29.25" customHeight="1" x14ac:dyDescent="0.2">
      <c r="B7" s="436" t="s">
        <v>0</v>
      </c>
      <c r="C7" s="438" t="s">
        <v>1</v>
      </c>
      <c r="D7" s="438" t="s">
        <v>21</v>
      </c>
      <c r="E7" s="438" t="s">
        <v>135</v>
      </c>
      <c r="F7" s="421" t="s">
        <v>85</v>
      </c>
      <c r="G7" s="440" t="s">
        <v>88</v>
      </c>
      <c r="H7" s="421" t="s">
        <v>2</v>
      </c>
      <c r="I7" s="423" t="s">
        <v>375</v>
      </c>
      <c r="J7" s="424"/>
      <c r="K7" s="425"/>
      <c r="L7" s="423" t="s">
        <v>373</v>
      </c>
      <c r="M7" s="424"/>
      <c r="N7" s="424"/>
      <c r="O7" s="426" t="s">
        <v>258</v>
      </c>
    </row>
    <row r="8" spans="2:15" s="22" customFormat="1" ht="25.5" x14ac:dyDescent="0.2">
      <c r="B8" s="437"/>
      <c r="C8" s="439"/>
      <c r="D8" s="439"/>
      <c r="E8" s="439"/>
      <c r="F8" s="422"/>
      <c r="G8" s="439"/>
      <c r="H8" s="422"/>
      <c r="I8" s="105" t="s">
        <v>117</v>
      </c>
      <c r="J8" s="85" t="s">
        <v>118</v>
      </c>
      <c r="K8" s="159" t="s">
        <v>81</v>
      </c>
      <c r="L8" s="105" t="s">
        <v>117</v>
      </c>
      <c r="M8" s="85" t="s">
        <v>118</v>
      </c>
      <c r="N8" s="200" t="s">
        <v>81</v>
      </c>
      <c r="O8" s="427"/>
    </row>
    <row r="9" spans="2:15" s="48" customFormat="1" x14ac:dyDescent="0.2">
      <c r="B9" s="97">
        <v>1</v>
      </c>
      <c r="C9" s="68">
        <v>2</v>
      </c>
      <c r="D9" s="68">
        <v>3</v>
      </c>
      <c r="E9" s="68">
        <v>4</v>
      </c>
      <c r="F9" s="68">
        <v>5</v>
      </c>
      <c r="G9" s="68">
        <v>6</v>
      </c>
      <c r="H9" s="68">
        <v>7</v>
      </c>
      <c r="I9" s="97">
        <v>8</v>
      </c>
      <c r="J9" s="68">
        <v>9</v>
      </c>
      <c r="K9" s="160" t="s">
        <v>171</v>
      </c>
      <c r="L9" s="97">
        <v>11</v>
      </c>
      <c r="M9" s="68">
        <v>12</v>
      </c>
      <c r="N9" s="68" t="s">
        <v>394</v>
      </c>
      <c r="O9" s="232" t="s">
        <v>395</v>
      </c>
    </row>
    <row r="10" spans="2:15" ht="15" x14ac:dyDescent="0.25">
      <c r="B10" s="2" t="s">
        <v>44</v>
      </c>
      <c r="C10" s="3" t="s">
        <v>3</v>
      </c>
      <c r="D10" s="3" t="s">
        <v>4</v>
      </c>
      <c r="E10" s="136" t="s">
        <v>145</v>
      </c>
      <c r="F10" s="49"/>
      <c r="G10" s="49"/>
      <c r="H10" s="182" t="s">
        <v>194</v>
      </c>
      <c r="I10" s="1"/>
      <c r="J10" s="49"/>
      <c r="K10" s="161"/>
      <c r="L10" s="1"/>
      <c r="M10" s="49"/>
      <c r="N10" s="201"/>
      <c r="O10" s="224" t="str">
        <f t="shared" ref="O10:O54" si="0">IF(K10=0,"",N10/K10*100)</f>
        <v/>
      </c>
    </row>
    <row r="11" spans="2:15" ht="15" x14ac:dyDescent="0.25">
      <c r="B11" s="51"/>
      <c r="C11" s="4"/>
      <c r="D11" s="4"/>
      <c r="E11" s="4"/>
      <c r="F11" s="57">
        <v>611000</v>
      </c>
      <c r="G11" s="68"/>
      <c r="H11" s="10" t="s">
        <v>57</v>
      </c>
      <c r="I11" s="113">
        <f>I12+I13</f>
        <v>629020</v>
      </c>
      <c r="J11" s="36">
        <f t="shared" ref="J11:N11" si="1">SUM(J12:J14)</f>
        <v>0</v>
      </c>
      <c r="K11" s="162">
        <f t="shared" si="1"/>
        <v>629020</v>
      </c>
      <c r="L11" s="113">
        <f t="shared" si="1"/>
        <v>0</v>
      </c>
      <c r="M11" s="36">
        <f t="shared" si="1"/>
        <v>0</v>
      </c>
      <c r="N11" s="202">
        <f t="shared" si="1"/>
        <v>0</v>
      </c>
      <c r="O11" s="228">
        <f t="shared" si="0"/>
        <v>0</v>
      </c>
    </row>
    <row r="12" spans="2:15" ht="14.25" x14ac:dyDescent="0.2">
      <c r="B12" s="50"/>
      <c r="C12" s="8"/>
      <c r="D12" s="8"/>
      <c r="E12" s="8"/>
      <c r="F12" s="58">
        <v>611100</v>
      </c>
      <c r="G12" s="69"/>
      <c r="H12" s="9" t="s">
        <v>68</v>
      </c>
      <c r="I12" s="118">
        <f>454120+12*2300+1820+2*730+7*800+25890+6*2350</f>
        <v>530590</v>
      </c>
      <c r="J12" s="38">
        <v>0</v>
      </c>
      <c r="K12" s="163">
        <f>SUM(I12:J12)</f>
        <v>530590</v>
      </c>
      <c r="L12" s="118"/>
      <c r="M12" s="38"/>
      <c r="N12" s="203">
        <f>SUM(L12:M12)</f>
        <v>0</v>
      </c>
      <c r="O12" s="224">
        <f t="shared" si="0"/>
        <v>0</v>
      </c>
    </row>
    <row r="13" spans="2:15" ht="14.25" x14ac:dyDescent="0.2">
      <c r="B13" s="50"/>
      <c r="C13" s="8"/>
      <c r="D13" s="8"/>
      <c r="E13" s="8"/>
      <c r="F13" s="58">
        <v>611200</v>
      </c>
      <c r="G13" s="69"/>
      <c r="H13" s="9" t="s">
        <v>69</v>
      </c>
      <c r="I13" s="118">
        <f>81590+5550+4050+2*1620+850+6*21*25</f>
        <v>98430</v>
      </c>
      <c r="J13" s="38">
        <v>0</v>
      </c>
      <c r="K13" s="163">
        <f t="shared" ref="K13" si="2">SUM(I13:J13)</f>
        <v>98430</v>
      </c>
      <c r="L13" s="118"/>
      <c r="M13" s="38"/>
      <c r="N13" s="203">
        <f t="shared" ref="N13" si="3">SUM(L13:M13)</f>
        <v>0</v>
      </c>
      <c r="O13" s="224">
        <f t="shared" si="0"/>
        <v>0</v>
      </c>
    </row>
    <row r="14" spans="2:15" ht="14.25" x14ac:dyDescent="0.2">
      <c r="B14" s="50"/>
      <c r="C14" s="8"/>
      <c r="D14" s="8"/>
      <c r="E14" s="8"/>
      <c r="F14" s="58"/>
      <c r="G14" s="69"/>
      <c r="H14" s="9"/>
      <c r="I14" s="118"/>
      <c r="J14" s="38"/>
      <c r="K14" s="163"/>
      <c r="L14" s="118"/>
      <c r="M14" s="38"/>
      <c r="N14" s="203"/>
      <c r="O14" s="224" t="str">
        <f t="shared" si="0"/>
        <v/>
      </c>
    </row>
    <row r="15" spans="2:15" ht="15" x14ac:dyDescent="0.25">
      <c r="B15" s="51"/>
      <c r="C15" s="4"/>
      <c r="D15" s="4"/>
      <c r="E15" s="4"/>
      <c r="F15" s="57">
        <v>612000</v>
      </c>
      <c r="G15" s="68"/>
      <c r="H15" s="10" t="s">
        <v>56</v>
      </c>
      <c r="I15" s="113">
        <f>I16</f>
        <v>26790</v>
      </c>
      <c r="J15" s="36">
        <f t="shared" ref="J15:N15" si="4">J16</f>
        <v>0</v>
      </c>
      <c r="K15" s="162">
        <f t="shared" si="4"/>
        <v>26790</v>
      </c>
      <c r="L15" s="113">
        <f t="shared" si="4"/>
        <v>0</v>
      </c>
      <c r="M15" s="36">
        <f t="shared" si="4"/>
        <v>0</v>
      </c>
      <c r="N15" s="202">
        <f t="shared" si="4"/>
        <v>0</v>
      </c>
      <c r="O15" s="228">
        <f t="shared" si="0"/>
        <v>0</v>
      </c>
    </row>
    <row r="16" spans="2:15" ht="14.25" x14ac:dyDescent="0.2">
      <c r="B16" s="50"/>
      <c r="C16" s="8"/>
      <c r="D16" s="8"/>
      <c r="E16" s="8"/>
      <c r="F16" s="58">
        <v>612100</v>
      </c>
      <c r="G16" s="69"/>
      <c r="H16" s="145" t="s">
        <v>5</v>
      </c>
      <c r="I16" s="118">
        <f>22520+12*120+300+2*120+7*40+1290+6*120</f>
        <v>26790</v>
      </c>
      <c r="J16" s="38">
        <v>0</v>
      </c>
      <c r="K16" s="163">
        <f>SUM(I16:J16)</f>
        <v>26790</v>
      </c>
      <c r="L16" s="118"/>
      <c r="M16" s="38"/>
      <c r="N16" s="203">
        <f>SUM(L16:M16)</f>
        <v>0</v>
      </c>
      <c r="O16" s="224">
        <f t="shared" si="0"/>
        <v>0</v>
      </c>
    </row>
    <row r="17" spans="2:15" ht="14.25" x14ac:dyDescent="0.2">
      <c r="B17" s="50"/>
      <c r="C17" s="8"/>
      <c r="D17" s="8"/>
      <c r="E17" s="8"/>
      <c r="F17" s="58"/>
      <c r="G17" s="69"/>
      <c r="H17" s="9"/>
      <c r="I17" s="116"/>
      <c r="J17" s="54"/>
      <c r="K17" s="164"/>
      <c r="L17" s="116"/>
      <c r="M17" s="54"/>
      <c r="N17" s="204"/>
      <c r="O17" s="224" t="str">
        <f t="shared" si="0"/>
        <v/>
      </c>
    </row>
    <row r="18" spans="2:15" ht="15" x14ac:dyDescent="0.25">
      <c r="B18" s="51"/>
      <c r="C18" s="4"/>
      <c r="D18" s="4"/>
      <c r="E18" s="4"/>
      <c r="F18" s="57">
        <v>613000</v>
      </c>
      <c r="G18" s="68"/>
      <c r="H18" s="10" t="s">
        <v>58</v>
      </c>
      <c r="I18" s="110">
        <f>SUM(I19:I31)</f>
        <v>1418350</v>
      </c>
      <c r="J18" s="52">
        <f t="shared" ref="J18:N18" si="5">SUM(J19:J31)</f>
        <v>0</v>
      </c>
      <c r="K18" s="165">
        <f t="shared" si="5"/>
        <v>1418350</v>
      </c>
      <c r="L18" s="110">
        <f t="shared" si="5"/>
        <v>0</v>
      </c>
      <c r="M18" s="52">
        <f t="shared" si="5"/>
        <v>0</v>
      </c>
      <c r="N18" s="205">
        <f t="shared" si="5"/>
        <v>0</v>
      </c>
      <c r="O18" s="228">
        <f t="shared" si="0"/>
        <v>0</v>
      </c>
    </row>
    <row r="19" spans="2:15" ht="14.25" x14ac:dyDescent="0.2">
      <c r="B19" s="50"/>
      <c r="C19" s="8"/>
      <c r="D19" s="8"/>
      <c r="E19" s="8"/>
      <c r="F19" s="58">
        <v>613100</v>
      </c>
      <c r="G19" s="69"/>
      <c r="H19" s="9" t="s">
        <v>6</v>
      </c>
      <c r="I19" s="100">
        <v>12000</v>
      </c>
      <c r="J19" s="84">
        <v>0</v>
      </c>
      <c r="K19" s="163">
        <f t="shared" ref="K19:K31" si="6">SUM(I19:J19)</f>
        <v>12000</v>
      </c>
      <c r="L19" s="100"/>
      <c r="M19" s="84"/>
      <c r="N19" s="203">
        <f t="shared" ref="N19:N31" si="7">SUM(L19:M19)</f>
        <v>0</v>
      </c>
      <c r="O19" s="224">
        <f t="shared" si="0"/>
        <v>0</v>
      </c>
    </row>
    <row r="20" spans="2:15" ht="14.25" x14ac:dyDescent="0.2">
      <c r="B20" s="50"/>
      <c r="C20" s="8"/>
      <c r="D20" s="8"/>
      <c r="E20" s="8"/>
      <c r="F20" s="58">
        <v>613200</v>
      </c>
      <c r="G20" s="69"/>
      <c r="H20" s="9" t="s">
        <v>7</v>
      </c>
      <c r="I20" s="100">
        <v>0</v>
      </c>
      <c r="J20" s="84">
        <v>0</v>
      </c>
      <c r="K20" s="163">
        <f t="shared" si="6"/>
        <v>0</v>
      </c>
      <c r="L20" s="100"/>
      <c r="M20" s="84"/>
      <c r="N20" s="203">
        <f t="shared" si="7"/>
        <v>0</v>
      </c>
      <c r="O20" s="224" t="str">
        <f t="shared" si="0"/>
        <v/>
      </c>
    </row>
    <row r="21" spans="2:15" ht="14.25" x14ac:dyDescent="0.2">
      <c r="B21" s="50"/>
      <c r="C21" s="8"/>
      <c r="D21" s="8"/>
      <c r="E21" s="8"/>
      <c r="F21" s="58">
        <v>613300</v>
      </c>
      <c r="G21" s="69"/>
      <c r="H21" s="9" t="s">
        <v>70</v>
      </c>
      <c r="I21" s="100">
        <v>3500</v>
      </c>
      <c r="J21" s="84">
        <v>0</v>
      </c>
      <c r="K21" s="163">
        <f t="shared" si="6"/>
        <v>3500</v>
      </c>
      <c r="L21" s="100"/>
      <c r="M21" s="84"/>
      <c r="N21" s="203">
        <f t="shared" si="7"/>
        <v>0</v>
      </c>
      <c r="O21" s="224">
        <f t="shared" si="0"/>
        <v>0</v>
      </c>
    </row>
    <row r="22" spans="2:15" ht="14.25" x14ac:dyDescent="0.2">
      <c r="B22" s="50"/>
      <c r="C22" s="8"/>
      <c r="D22" s="8"/>
      <c r="E22" s="8"/>
      <c r="F22" s="58">
        <v>613400</v>
      </c>
      <c r="G22" s="69"/>
      <c r="H22" s="9" t="s">
        <v>59</v>
      </c>
      <c r="I22" s="100">
        <v>160000</v>
      </c>
      <c r="J22" s="84">
        <v>0</v>
      </c>
      <c r="K22" s="163">
        <f t="shared" si="6"/>
        <v>160000</v>
      </c>
      <c r="L22" s="100"/>
      <c r="M22" s="84"/>
      <c r="N22" s="203">
        <f t="shared" si="7"/>
        <v>0</v>
      </c>
      <c r="O22" s="224">
        <f t="shared" si="0"/>
        <v>0</v>
      </c>
    </row>
    <row r="23" spans="2:15" ht="14.25" x14ac:dyDescent="0.2">
      <c r="B23" s="50"/>
      <c r="C23" s="8"/>
      <c r="D23" s="8"/>
      <c r="E23" s="199" t="s">
        <v>153</v>
      </c>
      <c r="F23" s="58">
        <v>613400</v>
      </c>
      <c r="G23" s="69" t="s">
        <v>247</v>
      </c>
      <c r="H23" s="155" t="s">
        <v>362</v>
      </c>
      <c r="I23" s="100">
        <v>1093350</v>
      </c>
      <c r="J23" s="84">
        <v>0</v>
      </c>
      <c r="K23" s="163">
        <f t="shared" si="6"/>
        <v>1093350</v>
      </c>
      <c r="L23" s="100"/>
      <c r="M23" s="84"/>
      <c r="N23" s="203">
        <f t="shared" si="7"/>
        <v>0</v>
      </c>
      <c r="O23" s="224">
        <f t="shared" si="0"/>
        <v>0</v>
      </c>
    </row>
    <row r="24" spans="2:15" ht="14.25" x14ac:dyDescent="0.2">
      <c r="B24" s="50"/>
      <c r="C24" s="8"/>
      <c r="D24" s="8"/>
      <c r="E24" s="8"/>
      <c r="F24" s="58">
        <v>613500</v>
      </c>
      <c r="G24" s="69"/>
      <c r="H24" s="9" t="s">
        <v>8</v>
      </c>
      <c r="I24" s="100">
        <v>0</v>
      </c>
      <c r="J24" s="84">
        <v>0</v>
      </c>
      <c r="K24" s="163">
        <f t="shared" si="6"/>
        <v>0</v>
      </c>
      <c r="L24" s="100"/>
      <c r="M24" s="84"/>
      <c r="N24" s="203">
        <f t="shared" si="7"/>
        <v>0</v>
      </c>
      <c r="O24" s="224" t="str">
        <f t="shared" si="0"/>
        <v/>
      </c>
    </row>
    <row r="25" spans="2:15" ht="14.25" x14ac:dyDescent="0.2">
      <c r="B25" s="50"/>
      <c r="C25" s="8"/>
      <c r="D25" s="8"/>
      <c r="E25" s="8"/>
      <c r="F25" s="58">
        <v>613600</v>
      </c>
      <c r="G25" s="69"/>
      <c r="H25" s="9" t="s">
        <v>71</v>
      </c>
      <c r="I25" s="100">
        <v>0</v>
      </c>
      <c r="J25" s="84">
        <v>0</v>
      </c>
      <c r="K25" s="163">
        <f t="shared" si="6"/>
        <v>0</v>
      </c>
      <c r="L25" s="100"/>
      <c r="M25" s="84"/>
      <c r="N25" s="203">
        <f t="shared" si="7"/>
        <v>0</v>
      </c>
      <c r="O25" s="224" t="str">
        <f t="shared" si="0"/>
        <v/>
      </c>
    </row>
    <row r="26" spans="2:15" ht="14.25" x14ac:dyDescent="0.2">
      <c r="B26" s="50"/>
      <c r="C26" s="8"/>
      <c r="D26" s="8"/>
      <c r="E26" s="8"/>
      <c r="F26" s="58">
        <v>613700</v>
      </c>
      <c r="G26" s="69"/>
      <c r="H26" s="9" t="s">
        <v>9</v>
      </c>
      <c r="I26" s="100">
        <v>4000</v>
      </c>
      <c r="J26" s="84">
        <v>0</v>
      </c>
      <c r="K26" s="163">
        <f t="shared" si="6"/>
        <v>4000</v>
      </c>
      <c r="L26" s="100"/>
      <c r="M26" s="84"/>
      <c r="N26" s="203">
        <f t="shared" si="7"/>
        <v>0</v>
      </c>
      <c r="O26" s="224">
        <f t="shared" si="0"/>
        <v>0</v>
      </c>
    </row>
    <row r="27" spans="2:15" ht="14.25" x14ac:dyDescent="0.2">
      <c r="B27" s="50"/>
      <c r="C27" s="8"/>
      <c r="D27" s="8"/>
      <c r="E27" s="8"/>
      <c r="F27" s="58">
        <v>613800</v>
      </c>
      <c r="G27" s="69"/>
      <c r="H27" s="9" t="s">
        <v>60</v>
      </c>
      <c r="I27" s="100">
        <v>500</v>
      </c>
      <c r="J27" s="84">
        <v>0</v>
      </c>
      <c r="K27" s="163">
        <f t="shared" si="6"/>
        <v>500</v>
      </c>
      <c r="L27" s="100"/>
      <c r="M27" s="84"/>
      <c r="N27" s="203">
        <f t="shared" si="7"/>
        <v>0</v>
      </c>
      <c r="O27" s="224">
        <f t="shared" si="0"/>
        <v>0</v>
      </c>
    </row>
    <row r="28" spans="2:15" ht="14.25" x14ac:dyDescent="0.2">
      <c r="B28" s="50"/>
      <c r="C28" s="8"/>
      <c r="D28" s="8"/>
      <c r="E28" s="8"/>
      <c r="F28" s="58">
        <v>613800</v>
      </c>
      <c r="G28" s="69"/>
      <c r="H28" s="9" t="s">
        <v>66</v>
      </c>
      <c r="I28" s="100">
        <v>0</v>
      </c>
      <c r="J28" s="84">
        <v>0</v>
      </c>
      <c r="K28" s="163">
        <f t="shared" si="6"/>
        <v>0</v>
      </c>
      <c r="L28" s="100"/>
      <c r="M28" s="84"/>
      <c r="N28" s="203">
        <f t="shared" si="7"/>
        <v>0</v>
      </c>
      <c r="O28" s="224" t="str">
        <f t="shared" si="0"/>
        <v/>
      </c>
    </row>
    <row r="29" spans="2:15" ht="14.25" x14ac:dyDescent="0.2">
      <c r="B29" s="50"/>
      <c r="C29" s="8"/>
      <c r="D29" s="8"/>
      <c r="E29" s="8"/>
      <c r="F29" s="58">
        <v>613900</v>
      </c>
      <c r="G29" s="69"/>
      <c r="H29" s="9" t="s">
        <v>61</v>
      </c>
      <c r="I29" s="100">
        <v>40000</v>
      </c>
      <c r="J29" s="84">
        <v>0</v>
      </c>
      <c r="K29" s="163">
        <f t="shared" si="6"/>
        <v>40000</v>
      </c>
      <c r="L29" s="100"/>
      <c r="M29" s="84"/>
      <c r="N29" s="203">
        <f t="shared" si="7"/>
        <v>0</v>
      </c>
      <c r="O29" s="224">
        <f t="shared" si="0"/>
        <v>0</v>
      </c>
    </row>
    <row r="30" spans="2:15" ht="14.25" x14ac:dyDescent="0.2">
      <c r="B30" s="50"/>
      <c r="C30" s="8"/>
      <c r="D30" s="8"/>
      <c r="E30" s="8"/>
      <c r="F30" s="58">
        <v>613900</v>
      </c>
      <c r="G30" s="69" t="s">
        <v>109</v>
      </c>
      <c r="H30" s="9" t="s">
        <v>63</v>
      </c>
      <c r="I30" s="100">
        <v>55000</v>
      </c>
      <c r="J30" s="84">
        <v>0</v>
      </c>
      <c r="K30" s="163">
        <f t="shared" si="6"/>
        <v>55000</v>
      </c>
      <c r="L30" s="100"/>
      <c r="M30" s="84"/>
      <c r="N30" s="203">
        <f t="shared" si="7"/>
        <v>0</v>
      </c>
      <c r="O30" s="224">
        <f t="shared" si="0"/>
        <v>0</v>
      </c>
    </row>
    <row r="31" spans="2:15" ht="14.25" x14ac:dyDescent="0.2">
      <c r="B31" s="50"/>
      <c r="C31" s="8"/>
      <c r="D31" s="8"/>
      <c r="E31" s="8"/>
      <c r="F31" s="58">
        <v>613900</v>
      </c>
      <c r="G31" s="69" t="s">
        <v>346</v>
      </c>
      <c r="H31" s="144" t="s">
        <v>363</v>
      </c>
      <c r="I31" s="100">
        <v>50000</v>
      </c>
      <c r="J31" s="84">
        <v>0</v>
      </c>
      <c r="K31" s="163">
        <f t="shared" si="6"/>
        <v>50000</v>
      </c>
      <c r="L31" s="100"/>
      <c r="M31" s="84"/>
      <c r="N31" s="203">
        <f t="shared" si="7"/>
        <v>0</v>
      </c>
      <c r="O31" s="224">
        <f t="shared" si="0"/>
        <v>0</v>
      </c>
    </row>
    <row r="32" spans="2:15" ht="14.25" x14ac:dyDescent="0.2">
      <c r="B32" s="50"/>
      <c r="C32" s="8"/>
      <c r="D32" s="8"/>
      <c r="E32" s="8"/>
      <c r="F32" s="58"/>
      <c r="G32" s="69"/>
      <c r="H32" s="9"/>
      <c r="I32" s="116"/>
      <c r="J32" s="54"/>
      <c r="K32" s="164"/>
      <c r="L32" s="116"/>
      <c r="M32" s="54"/>
      <c r="N32" s="204"/>
      <c r="O32" s="224" t="str">
        <f t="shared" si="0"/>
        <v/>
      </c>
    </row>
    <row r="33" spans="2:15" ht="15" x14ac:dyDescent="0.25">
      <c r="B33" s="51"/>
      <c r="C33" s="4"/>
      <c r="D33" s="4"/>
      <c r="E33" s="137"/>
      <c r="F33" s="57">
        <v>614000</v>
      </c>
      <c r="G33" s="68"/>
      <c r="H33" s="10" t="s">
        <v>72</v>
      </c>
      <c r="I33" s="110">
        <f>SUM(I34:I42)</f>
        <v>2227950</v>
      </c>
      <c r="J33" s="52">
        <f t="shared" ref="J33:N33" si="8">SUM(J34:J42)</f>
        <v>0</v>
      </c>
      <c r="K33" s="165">
        <f t="shared" si="8"/>
        <v>2227950</v>
      </c>
      <c r="L33" s="110">
        <f t="shared" si="8"/>
        <v>0</v>
      </c>
      <c r="M33" s="52">
        <f t="shared" si="8"/>
        <v>0</v>
      </c>
      <c r="N33" s="205">
        <f t="shared" si="8"/>
        <v>0</v>
      </c>
      <c r="O33" s="228">
        <f t="shared" si="0"/>
        <v>0</v>
      </c>
    </row>
    <row r="34" spans="2:15" ht="18.75" customHeight="1" x14ac:dyDescent="0.2">
      <c r="B34" s="27"/>
      <c r="C34" s="28"/>
      <c r="D34" s="29"/>
      <c r="E34" s="138" t="s">
        <v>146</v>
      </c>
      <c r="F34" s="61">
        <v>614100</v>
      </c>
      <c r="G34" s="72" t="s">
        <v>110</v>
      </c>
      <c r="H34" s="158" t="s">
        <v>347</v>
      </c>
      <c r="I34" s="122">
        <v>117950</v>
      </c>
      <c r="J34" s="45">
        <v>0</v>
      </c>
      <c r="K34" s="163">
        <f t="shared" ref="K34:K42" si="9">SUM(I34:J34)</f>
        <v>117950</v>
      </c>
      <c r="L34" s="122"/>
      <c r="M34" s="45"/>
      <c r="N34" s="203">
        <f t="shared" ref="N34:N42" si="10">SUM(L34:M34)</f>
        <v>0</v>
      </c>
      <c r="O34" s="224">
        <f t="shared" si="0"/>
        <v>0</v>
      </c>
    </row>
    <row r="35" spans="2:15" ht="14.25" x14ac:dyDescent="0.2">
      <c r="B35" s="50"/>
      <c r="C35" s="8"/>
      <c r="D35" s="8"/>
      <c r="E35" s="139"/>
      <c r="F35" s="62">
        <v>614100</v>
      </c>
      <c r="G35" s="73" t="s">
        <v>111</v>
      </c>
      <c r="H35" s="157" t="s">
        <v>248</v>
      </c>
      <c r="I35" s="116">
        <v>450000</v>
      </c>
      <c r="J35" s="54">
        <v>0</v>
      </c>
      <c r="K35" s="163">
        <f t="shared" si="9"/>
        <v>450000</v>
      </c>
      <c r="L35" s="116"/>
      <c r="M35" s="54"/>
      <c r="N35" s="203">
        <f t="shared" si="10"/>
        <v>0</v>
      </c>
      <c r="O35" s="224">
        <f t="shared" si="0"/>
        <v>0</v>
      </c>
    </row>
    <row r="36" spans="2:15" ht="14.25" x14ac:dyDescent="0.2">
      <c r="B36" s="50"/>
      <c r="C36" s="8"/>
      <c r="D36" s="8"/>
      <c r="E36" s="140" t="s">
        <v>146</v>
      </c>
      <c r="F36" s="58">
        <v>614200</v>
      </c>
      <c r="G36" s="69" t="s">
        <v>112</v>
      </c>
      <c r="H36" s="152" t="s">
        <v>23</v>
      </c>
      <c r="I36" s="116">
        <v>200000</v>
      </c>
      <c r="J36" s="54">
        <v>0</v>
      </c>
      <c r="K36" s="163">
        <f t="shared" si="9"/>
        <v>200000</v>
      </c>
      <c r="L36" s="116"/>
      <c r="M36" s="54"/>
      <c r="N36" s="203">
        <f t="shared" si="10"/>
        <v>0</v>
      </c>
      <c r="O36" s="224">
        <f t="shared" si="0"/>
        <v>0</v>
      </c>
    </row>
    <row r="37" spans="2:15" ht="23.25" customHeight="1" x14ac:dyDescent="0.2">
      <c r="B37" s="27"/>
      <c r="C37" s="28"/>
      <c r="D37" s="28"/>
      <c r="E37" s="141" t="s">
        <v>149</v>
      </c>
      <c r="F37" s="61">
        <v>614200</v>
      </c>
      <c r="G37" s="72" t="s">
        <v>334</v>
      </c>
      <c r="H37" s="158" t="s">
        <v>335</v>
      </c>
      <c r="I37" s="122">
        <v>50000</v>
      </c>
      <c r="J37" s="45">
        <v>0</v>
      </c>
      <c r="K37" s="163">
        <f t="shared" ref="K37:K38" si="11">SUM(I37:J37)</f>
        <v>50000</v>
      </c>
      <c r="L37" s="122"/>
      <c r="M37" s="45"/>
      <c r="N37" s="203">
        <f t="shared" ref="N37:N38" si="12">SUM(L37:M37)</f>
        <v>0</v>
      </c>
      <c r="O37" s="224">
        <f t="shared" ref="O37:O38" si="13">IF(K37=0,"",N37/K37*100)</f>
        <v>0</v>
      </c>
    </row>
    <row r="38" spans="2:15" ht="14.25" x14ac:dyDescent="0.2">
      <c r="B38" s="50"/>
      <c r="C38" s="8"/>
      <c r="D38" s="8"/>
      <c r="E38" s="140" t="s">
        <v>153</v>
      </c>
      <c r="F38" s="58">
        <v>614200</v>
      </c>
      <c r="G38" s="69" t="s">
        <v>336</v>
      </c>
      <c r="H38" s="157" t="s">
        <v>337</v>
      </c>
      <c r="I38" s="116">
        <v>200000</v>
      </c>
      <c r="J38" s="54">
        <v>0</v>
      </c>
      <c r="K38" s="163">
        <f t="shared" si="11"/>
        <v>200000</v>
      </c>
      <c r="L38" s="116"/>
      <c r="M38" s="54"/>
      <c r="N38" s="203">
        <f t="shared" si="12"/>
        <v>0</v>
      </c>
      <c r="O38" s="224">
        <f t="shared" si="13"/>
        <v>0</v>
      </c>
    </row>
    <row r="39" spans="2:15" ht="14.25" x14ac:dyDescent="0.2">
      <c r="B39" s="50"/>
      <c r="C39" s="8"/>
      <c r="D39" s="8"/>
      <c r="E39" s="140" t="s">
        <v>150</v>
      </c>
      <c r="F39" s="58">
        <v>614300</v>
      </c>
      <c r="G39" s="69" t="s">
        <v>113</v>
      </c>
      <c r="H39" s="157" t="s">
        <v>249</v>
      </c>
      <c r="I39" s="116">
        <v>450000</v>
      </c>
      <c r="J39" s="54">
        <v>0</v>
      </c>
      <c r="K39" s="163">
        <f t="shared" si="9"/>
        <v>450000</v>
      </c>
      <c r="L39" s="116"/>
      <c r="M39" s="54"/>
      <c r="N39" s="203">
        <f t="shared" si="10"/>
        <v>0</v>
      </c>
      <c r="O39" s="224">
        <f t="shared" si="0"/>
        <v>0</v>
      </c>
    </row>
    <row r="40" spans="2:15" ht="14.25" x14ac:dyDescent="0.2">
      <c r="B40" s="50"/>
      <c r="C40" s="8"/>
      <c r="D40" s="8"/>
      <c r="E40" s="140" t="s">
        <v>151</v>
      </c>
      <c r="F40" s="58">
        <v>614300</v>
      </c>
      <c r="G40" s="69" t="s">
        <v>114</v>
      </c>
      <c r="H40" s="157" t="s">
        <v>250</v>
      </c>
      <c r="I40" s="116">
        <v>60000</v>
      </c>
      <c r="J40" s="54">
        <v>0</v>
      </c>
      <c r="K40" s="163">
        <f t="shared" si="9"/>
        <v>60000</v>
      </c>
      <c r="L40" s="116"/>
      <c r="M40" s="54"/>
      <c r="N40" s="203">
        <f t="shared" si="10"/>
        <v>0</v>
      </c>
      <c r="O40" s="224">
        <f t="shared" si="0"/>
        <v>0</v>
      </c>
    </row>
    <row r="41" spans="2:15" ht="14.25" x14ac:dyDescent="0.2">
      <c r="B41" s="50"/>
      <c r="C41" s="8"/>
      <c r="D41" s="8"/>
      <c r="E41" s="139" t="s">
        <v>148</v>
      </c>
      <c r="F41" s="62">
        <v>614300</v>
      </c>
      <c r="G41" s="73" t="s">
        <v>121</v>
      </c>
      <c r="H41" s="157" t="s">
        <v>251</v>
      </c>
      <c r="I41" s="116">
        <v>500000</v>
      </c>
      <c r="J41" s="54">
        <v>0</v>
      </c>
      <c r="K41" s="86">
        <f t="shared" si="9"/>
        <v>500000</v>
      </c>
      <c r="L41" s="116"/>
      <c r="M41" s="54"/>
      <c r="N41" s="203">
        <f t="shared" si="10"/>
        <v>0</v>
      </c>
      <c r="O41" s="224">
        <f t="shared" si="0"/>
        <v>0</v>
      </c>
    </row>
    <row r="42" spans="2:15" ht="14.25" x14ac:dyDescent="0.2">
      <c r="B42" s="50"/>
      <c r="C42" s="8"/>
      <c r="D42" s="8"/>
      <c r="E42" s="139" t="s">
        <v>147</v>
      </c>
      <c r="F42" s="62">
        <v>614300</v>
      </c>
      <c r="G42" s="73" t="s">
        <v>122</v>
      </c>
      <c r="H42" s="157" t="s">
        <v>252</v>
      </c>
      <c r="I42" s="116">
        <v>200000</v>
      </c>
      <c r="J42" s="54">
        <v>0</v>
      </c>
      <c r="K42" s="86">
        <f t="shared" si="9"/>
        <v>200000</v>
      </c>
      <c r="L42" s="116"/>
      <c r="M42" s="54"/>
      <c r="N42" s="203">
        <f t="shared" si="10"/>
        <v>0</v>
      </c>
      <c r="O42" s="224">
        <f t="shared" si="0"/>
        <v>0</v>
      </c>
    </row>
    <row r="43" spans="2:15" ht="14.25" x14ac:dyDescent="0.2">
      <c r="B43" s="50"/>
      <c r="C43" s="8"/>
      <c r="D43" s="8"/>
      <c r="E43" s="8"/>
      <c r="F43" s="58"/>
      <c r="G43" s="69"/>
      <c r="H43" s="9"/>
      <c r="I43" s="116"/>
      <c r="J43" s="54"/>
      <c r="K43" s="164"/>
      <c r="L43" s="116"/>
      <c r="M43" s="54"/>
      <c r="N43" s="204"/>
      <c r="O43" s="224" t="str">
        <f t="shared" ref="O43:O45" si="14">IF(K43=0,"",N43/K43*100)</f>
        <v/>
      </c>
    </row>
    <row r="44" spans="2:15" ht="15" x14ac:dyDescent="0.25">
      <c r="B44" s="51"/>
      <c r="C44" s="4"/>
      <c r="D44" s="4"/>
      <c r="E44" s="137"/>
      <c r="F44" s="57">
        <v>615000</v>
      </c>
      <c r="G44" s="68"/>
      <c r="H44" s="10" t="s">
        <v>11</v>
      </c>
      <c r="I44" s="110">
        <f t="shared" ref="I44" si="15">I45</f>
        <v>250000</v>
      </c>
      <c r="J44" s="52">
        <f t="shared" ref="J44:N44" si="16">J45</f>
        <v>0</v>
      </c>
      <c r="K44" s="165">
        <f t="shared" si="16"/>
        <v>250000</v>
      </c>
      <c r="L44" s="110">
        <f t="shared" si="16"/>
        <v>0</v>
      </c>
      <c r="M44" s="52">
        <f t="shared" si="16"/>
        <v>0</v>
      </c>
      <c r="N44" s="205">
        <f t="shared" si="16"/>
        <v>0</v>
      </c>
      <c r="O44" s="228">
        <f t="shared" si="14"/>
        <v>0</v>
      </c>
    </row>
    <row r="45" spans="2:15" ht="27.75" customHeight="1" x14ac:dyDescent="0.2">
      <c r="B45" s="27"/>
      <c r="C45" s="28"/>
      <c r="D45" s="29"/>
      <c r="E45" s="138" t="s">
        <v>364</v>
      </c>
      <c r="F45" s="61">
        <v>615300</v>
      </c>
      <c r="G45" s="72"/>
      <c r="H45" s="158" t="s">
        <v>365</v>
      </c>
      <c r="I45" s="122">
        <v>250000</v>
      </c>
      <c r="J45" s="45">
        <v>0</v>
      </c>
      <c r="K45" s="163">
        <f t="shared" ref="K45" si="17">SUM(I45:J45)</f>
        <v>250000</v>
      </c>
      <c r="L45" s="122"/>
      <c r="M45" s="45"/>
      <c r="N45" s="203">
        <f t="shared" ref="N45" si="18">SUM(L45:M45)</f>
        <v>0</v>
      </c>
      <c r="O45" s="224">
        <f t="shared" si="14"/>
        <v>0</v>
      </c>
    </row>
    <row r="46" spans="2:15" ht="14.25" x14ac:dyDescent="0.2">
      <c r="B46" s="50"/>
      <c r="C46" s="8"/>
      <c r="D46" s="8"/>
      <c r="E46" s="140"/>
      <c r="F46" s="58"/>
      <c r="G46" s="69"/>
      <c r="H46" s="152"/>
      <c r="I46" s="116"/>
      <c r="J46" s="54"/>
      <c r="K46" s="87"/>
      <c r="L46" s="116"/>
      <c r="M46" s="54"/>
      <c r="N46" s="204"/>
      <c r="O46" s="224" t="str">
        <f t="shared" si="0"/>
        <v/>
      </c>
    </row>
    <row r="47" spans="2:15" ht="15" x14ac:dyDescent="0.25">
      <c r="B47" s="51"/>
      <c r="C47" s="4"/>
      <c r="D47" s="4"/>
      <c r="E47" s="137"/>
      <c r="F47" s="57">
        <v>821000</v>
      </c>
      <c r="G47" s="68"/>
      <c r="H47" s="10" t="s">
        <v>12</v>
      </c>
      <c r="I47" s="110">
        <f>SUM(I48:I49)</f>
        <v>806717</v>
      </c>
      <c r="J47" s="52">
        <f t="shared" ref="J47:N47" si="19">SUM(J48:J49)</f>
        <v>769842</v>
      </c>
      <c r="K47" s="88">
        <f t="shared" si="19"/>
        <v>1576559</v>
      </c>
      <c r="L47" s="110">
        <f t="shared" si="19"/>
        <v>0</v>
      </c>
      <c r="M47" s="52">
        <f t="shared" si="19"/>
        <v>0</v>
      </c>
      <c r="N47" s="205">
        <f t="shared" si="19"/>
        <v>0</v>
      </c>
      <c r="O47" s="228">
        <f t="shared" si="0"/>
        <v>0</v>
      </c>
    </row>
    <row r="48" spans="2:15" ht="14.25" x14ac:dyDescent="0.2">
      <c r="B48" s="50"/>
      <c r="C48" s="8"/>
      <c r="D48" s="8"/>
      <c r="E48" s="140"/>
      <c r="F48" s="58">
        <v>821200</v>
      </c>
      <c r="G48" s="69"/>
      <c r="H48" s="9" t="s">
        <v>13</v>
      </c>
      <c r="I48" s="108">
        <f>292717+288700+4700+193000+3500+17100</f>
        <v>799717</v>
      </c>
      <c r="J48" s="46">
        <f>660283+90000</f>
        <v>750283</v>
      </c>
      <c r="K48" s="86">
        <f t="shared" ref="K48:K49" si="20">SUM(I48:J48)</f>
        <v>1550000</v>
      </c>
      <c r="L48" s="108"/>
      <c r="M48" s="46"/>
      <c r="N48" s="203">
        <f t="shared" ref="N48:N49" si="21">SUM(L48:M48)</f>
        <v>0</v>
      </c>
      <c r="O48" s="224">
        <f t="shared" si="0"/>
        <v>0</v>
      </c>
    </row>
    <row r="49" spans="2:15" ht="14.25" x14ac:dyDescent="0.2">
      <c r="B49" s="50"/>
      <c r="C49" s="8"/>
      <c r="D49" s="8"/>
      <c r="E49" s="140"/>
      <c r="F49" s="58">
        <v>821300</v>
      </c>
      <c r="G49" s="69"/>
      <c r="H49" s="9" t="s">
        <v>14</v>
      </c>
      <c r="I49" s="116">
        <v>7000</v>
      </c>
      <c r="J49" s="54">
        <v>19559</v>
      </c>
      <c r="K49" s="86">
        <f t="shared" si="20"/>
        <v>26559</v>
      </c>
      <c r="L49" s="116"/>
      <c r="M49" s="54"/>
      <c r="N49" s="203">
        <f t="shared" si="21"/>
        <v>0</v>
      </c>
      <c r="O49" s="224">
        <f t="shared" si="0"/>
        <v>0</v>
      </c>
    </row>
    <row r="50" spans="2:15" ht="14.25" x14ac:dyDescent="0.2">
      <c r="B50" s="50"/>
      <c r="C50" s="8"/>
      <c r="D50" s="8"/>
      <c r="E50" s="8"/>
      <c r="F50" s="58"/>
      <c r="G50" s="69"/>
      <c r="H50" s="9"/>
      <c r="I50" s="108"/>
      <c r="J50" s="46"/>
      <c r="K50" s="87"/>
      <c r="L50" s="108"/>
      <c r="M50" s="46"/>
      <c r="N50" s="204"/>
      <c r="O50" s="224" t="str">
        <f t="shared" si="0"/>
        <v/>
      </c>
    </row>
    <row r="51" spans="2:15" ht="15" x14ac:dyDescent="0.25">
      <c r="B51" s="51"/>
      <c r="C51" s="4"/>
      <c r="D51" s="4"/>
      <c r="E51" s="4"/>
      <c r="F51" s="57"/>
      <c r="G51" s="68"/>
      <c r="H51" s="10" t="s">
        <v>15</v>
      </c>
      <c r="I51" s="111" t="s">
        <v>381</v>
      </c>
      <c r="J51" s="52"/>
      <c r="K51" s="89" t="s">
        <v>381</v>
      </c>
      <c r="L51" s="111"/>
      <c r="M51" s="52"/>
      <c r="N51" s="206"/>
      <c r="O51" s="224"/>
    </row>
    <row r="52" spans="2:15" ht="15" x14ac:dyDescent="0.25">
      <c r="B52" s="51"/>
      <c r="C52" s="4"/>
      <c r="D52" s="4"/>
      <c r="E52" s="4"/>
      <c r="F52" s="57"/>
      <c r="G52" s="68"/>
      <c r="H52" s="4" t="s">
        <v>24</v>
      </c>
      <c r="I52" s="110">
        <f>I11+I15+I18+I33+I44+I47</f>
        <v>5358827</v>
      </c>
      <c r="J52" s="52">
        <f t="shared" ref="J52:N52" si="22">J11+J15+J18+J33+J44+J47</f>
        <v>769842</v>
      </c>
      <c r="K52" s="88">
        <f t="shared" si="22"/>
        <v>6128669</v>
      </c>
      <c r="L52" s="110">
        <f t="shared" si="22"/>
        <v>0</v>
      </c>
      <c r="M52" s="52">
        <f t="shared" si="22"/>
        <v>0</v>
      </c>
      <c r="N52" s="205">
        <f t="shared" si="22"/>
        <v>0</v>
      </c>
      <c r="O52" s="228">
        <f t="shared" si="0"/>
        <v>0</v>
      </c>
    </row>
    <row r="53" spans="2:15" ht="15" x14ac:dyDescent="0.25">
      <c r="B53" s="51"/>
      <c r="C53" s="4"/>
      <c r="D53" s="4"/>
      <c r="E53" s="4"/>
      <c r="F53" s="57"/>
      <c r="G53" s="68"/>
      <c r="H53" s="4" t="s">
        <v>16</v>
      </c>
      <c r="I53" s="121">
        <f>I52</f>
        <v>5358827</v>
      </c>
      <c r="J53" s="44">
        <f t="shared" ref="J53:N53" si="23">J52</f>
        <v>769842</v>
      </c>
      <c r="K53" s="130">
        <f t="shared" si="23"/>
        <v>6128669</v>
      </c>
      <c r="L53" s="121">
        <f t="shared" si="23"/>
        <v>0</v>
      </c>
      <c r="M53" s="44">
        <f t="shared" si="23"/>
        <v>0</v>
      </c>
      <c r="N53" s="214">
        <f t="shared" si="23"/>
        <v>0</v>
      </c>
      <c r="O53" s="228">
        <f t="shared" si="0"/>
        <v>0</v>
      </c>
    </row>
    <row r="54" spans="2:15" ht="15" x14ac:dyDescent="0.25">
      <c r="B54" s="51"/>
      <c r="C54" s="4"/>
      <c r="D54" s="4"/>
      <c r="E54" s="4"/>
      <c r="F54" s="57"/>
      <c r="G54" s="68"/>
      <c r="H54" s="4" t="s">
        <v>17</v>
      </c>
      <c r="I54" s="121">
        <f t="shared" ref="I54:N54" si="24">I52+I81+I110+I139+I168+I197+I226+I255+I284+I313+I342</f>
        <v>24493119</v>
      </c>
      <c r="J54" s="44">
        <f t="shared" si="24"/>
        <v>904430</v>
      </c>
      <c r="K54" s="130">
        <f t="shared" si="24"/>
        <v>25397549</v>
      </c>
      <c r="L54" s="121">
        <f t="shared" si="24"/>
        <v>0</v>
      </c>
      <c r="M54" s="44">
        <f t="shared" si="24"/>
        <v>0</v>
      </c>
      <c r="N54" s="214">
        <f t="shared" si="24"/>
        <v>0</v>
      </c>
      <c r="O54" s="228">
        <f t="shared" si="0"/>
        <v>0</v>
      </c>
    </row>
    <row r="55" spans="2:15" ht="15" thickBot="1" x14ac:dyDescent="0.25">
      <c r="B55" s="6"/>
      <c r="C55" s="7"/>
      <c r="D55" s="7"/>
      <c r="E55" s="7"/>
      <c r="F55" s="59"/>
      <c r="G55" s="70"/>
      <c r="H55" s="7"/>
      <c r="I55" s="6"/>
      <c r="J55" s="7"/>
      <c r="K55" s="93"/>
      <c r="L55" s="184"/>
      <c r="M55" s="7"/>
      <c r="N55" s="215"/>
      <c r="O55" s="227"/>
    </row>
    <row r="56" spans="2:15" ht="14.25" x14ac:dyDescent="0.2">
      <c r="F56" s="60"/>
      <c r="G56" s="71"/>
      <c r="K56" s="91"/>
      <c r="N56" s="91"/>
      <c r="O56" s="230" t="str">
        <f t="shared" ref="O56:O114" si="25">IF(K56=0,"",N56/K56*100)</f>
        <v/>
      </c>
    </row>
    <row r="57" spans="2:15" ht="15" x14ac:dyDescent="0.25">
      <c r="B57" s="2" t="s">
        <v>44</v>
      </c>
      <c r="C57" s="3" t="s">
        <v>37</v>
      </c>
      <c r="D57" s="3" t="s">
        <v>27</v>
      </c>
      <c r="E57" s="136" t="s">
        <v>152</v>
      </c>
      <c r="F57" s="49"/>
      <c r="G57" s="49"/>
      <c r="H57" s="182" t="s">
        <v>181</v>
      </c>
      <c r="I57" s="115"/>
      <c r="J57" s="23"/>
      <c r="K57" s="168"/>
      <c r="L57" s="115"/>
      <c r="M57" s="23"/>
      <c r="N57" s="217"/>
      <c r="O57" s="224" t="str">
        <f t="shared" si="25"/>
        <v/>
      </c>
    </row>
    <row r="58" spans="2:15" ht="15" x14ac:dyDescent="0.25">
      <c r="B58" s="51"/>
      <c r="C58" s="4"/>
      <c r="D58" s="4"/>
      <c r="E58" s="4"/>
      <c r="F58" s="57">
        <v>611000</v>
      </c>
      <c r="G58" s="68"/>
      <c r="H58" s="10" t="s">
        <v>57</v>
      </c>
      <c r="I58" s="106">
        <f>I59+I60</f>
        <v>1658560</v>
      </c>
      <c r="J58" s="32">
        <f t="shared" ref="J58:N58" si="26">SUM(J59:J61)</f>
        <v>0</v>
      </c>
      <c r="K58" s="162">
        <f t="shared" si="26"/>
        <v>1658560</v>
      </c>
      <c r="L58" s="106">
        <f t="shared" si="26"/>
        <v>0</v>
      </c>
      <c r="M58" s="32">
        <f t="shared" si="26"/>
        <v>0</v>
      </c>
      <c r="N58" s="202">
        <f t="shared" si="26"/>
        <v>0</v>
      </c>
      <c r="O58" s="228">
        <f t="shared" si="25"/>
        <v>0</v>
      </c>
    </row>
    <row r="59" spans="2:15" ht="14.25" x14ac:dyDescent="0.2">
      <c r="B59" s="50"/>
      <c r="C59" s="8"/>
      <c r="D59" s="8"/>
      <c r="E59" s="8"/>
      <c r="F59" s="58">
        <v>611100</v>
      </c>
      <c r="G59" s="69"/>
      <c r="H59" s="9" t="s">
        <v>68</v>
      </c>
      <c r="I59" s="119">
        <f>1287580+730+1280+4060+4470+73400</f>
        <v>1371520</v>
      </c>
      <c r="J59" s="34">
        <v>0</v>
      </c>
      <c r="K59" s="163">
        <f>SUM(I59:J59)</f>
        <v>1371520</v>
      </c>
      <c r="L59" s="119"/>
      <c r="M59" s="34"/>
      <c r="N59" s="203">
        <f>SUM(L59:M59)</f>
        <v>0</v>
      </c>
      <c r="O59" s="224">
        <f t="shared" si="25"/>
        <v>0</v>
      </c>
    </row>
    <row r="60" spans="2:15" ht="14.25" x14ac:dyDescent="0.2">
      <c r="B60" s="50"/>
      <c r="C60" s="8"/>
      <c r="D60" s="8"/>
      <c r="E60" s="8"/>
      <c r="F60" s="58">
        <v>611200</v>
      </c>
      <c r="G60" s="69"/>
      <c r="H60" s="9" t="s">
        <v>69</v>
      </c>
      <c r="I60" s="119">
        <f>266800+1620+2840+2*7890</f>
        <v>287040</v>
      </c>
      <c r="J60" s="34">
        <v>0</v>
      </c>
      <c r="K60" s="163">
        <f t="shared" ref="K60" si="27">SUM(I60:J60)</f>
        <v>287040</v>
      </c>
      <c r="L60" s="119"/>
      <c r="M60" s="34"/>
      <c r="N60" s="203">
        <f t="shared" ref="N60" si="28">SUM(L60:M60)</f>
        <v>0</v>
      </c>
      <c r="O60" s="224">
        <f t="shared" si="25"/>
        <v>0</v>
      </c>
    </row>
    <row r="61" spans="2:15" ht="14.25" x14ac:dyDescent="0.2">
      <c r="B61" s="50"/>
      <c r="C61" s="8"/>
      <c r="D61" s="8"/>
      <c r="E61" s="8"/>
      <c r="F61" s="58"/>
      <c r="G61" s="69"/>
      <c r="H61" s="9"/>
      <c r="I61" s="119"/>
      <c r="J61" s="34"/>
      <c r="K61" s="163"/>
      <c r="L61" s="119"/>
      <c r="M61" s="34"/>
      <c r="N61" s="203"/>
      <c r="O61" s="224" t="str">
        <f t="shared" si="25"/>
        <v/>
      </c>
    </row>
    <row r="62" spans="2:15" ht="15" x14ac:dyDescent="0.25">
      <c r="B62" s="51"/>
      <c r="C62" s="4"/>
      <c r="D62" s="4"/>
      <c r="E62" s="4"/>
      <c r="F62" s="57">
        <v>612000</v>
      </c>
      <c r="G62" s="68"/>
      <c r="H62" s="10" t="s">
        <v>56</v>
      </c>
      <c r="I62" s="106">
        <f>I63</f>
        <v>68510</v>
      </c>
      <c r="J62" s="32">
        <f t="shared" ref="J62:N62" si="29">J63</f>
        <v>0</v>
      </c>
      <c r="K62" s="162">
        <f t="shared" si="29"/>
        <v>68510</v>
      </c>
      <c r="L62" s="106">
        <f t="shared" si="29"/>
        <v>0</v>
      </c>
      <c r="M62" s="32">
        <f t="shared" si="29"/>
        <v>0</v>
      </c>
      <c r="N62" s="202">
        <f t="shared" si="29"/>
        <v>0</v>
      </c>
      <c r="O62" s="228">
        <f t="shared" si="25"/>
        <v>0</v>
      </c>
    </row>
    <row r="63" spans="2:15" ht="14.25" x14ac:dyDescent="0.2">
      <c r="B63" s="50"/>
      <c r="C63" s="8"/>
      <c r="D63" s="8"/>
      <c r="E63" s="8"/>
      <c r="F63" s="58">
        <v>612100</v>
      </c>
      <c r="G63" s="69"/>
      <c r="H63" s="145" t="s">
        <v>5</v>
      </c>
      <c r="I63" s="119">
        <f>64500+120+210+3680</f>
        <v>68510</v>
      </c>
      <c r="J63" s="34">
        <v>0</v>
      </c>
      <c r="K63" s="163">
        <f>SUM(I63:J63)</f>
        <v>68510</v>
      </c>
      <c r="L63" s="119"/>
      <c r="M63" s="34"/>
      <c r="N63" s="203">
        <f>SUM(L63:M63)</f>
        <v>0</v>
      </c>
      <c r="O63" s="224">
        <f t="shared" si="25"/>
        <v>0</v>
      </c>
    </row>
    <row r="64" spans="2:15" ht="14.25" x14ac:dyDescent="0.2">
      <c r="B64" s="50"/>
      <c r="C64" s="8"/>
      <c r="D64" s="8"/>
      <c r="E64" s="8"/>
      <c r="F64" s="58"/>
      <c r="G64" s="69"/>
      <c r="H64" s="9"/>
      <c r="I64" s="116"/>
      <c r="J64" s="54"/>
      <c r="K64" s="164"/>
      <c r="L64" s="116"/>
      <c r="M64" s="54"/>
      <c r="N64" s="204"/>
      <c r="O64" s="224" t="str">
        <f t="shared" si="25"/>
        <v/>
      </c>
    </row>
    <row r="65" spans="2:15" ht="15" x14ac:dyDescent="0.25">
      <c r="B65" s="51"/>
      <c r="C65" s="4"/>
      <c r="D65" s="4"/>
      <c r="E65" s="4"/>
      <c r="F65" s="57">
        <v>613000</v>
      </c>
      <c r="G65" s="68"/>
      <c r="H65" s="10" t="s">
        <v>58</v>
      </c>
      <c r="I65" s="109">
        <f>SUM(I66:I74)</f>
        <v>187700</v>
      </c>
      <c r="J65" s="55">
        <f t="shared" ref="J65:N65" si="30">SUM(J66:J74)</f>
        <v>0</v>
      </c>
      <c r="K65" s="165">
        <f t="shared" si="30"/>
        <v>187700</v>
      </c>
      <c r="L65" s="109">
        <f t="shared" si="30"/>
        <v>0</v>
      </c>
      <c r="M65" s="55">
        <f t="shared" si="30"/>
        <v>0</v>
      </c>
      <c r="N65" s="205">
        <f t="shared" si="30"/>
        <v>0</v>
      </c>
      <c r="O65" s="228">
        <f t="shared" si="25"/>
        <v>0</v>
      </c>
    </row>
    <row r="66" spans="2:15" ht="14.25" x14ac:dyDescent="0.2">
      <c r="B66" s="50"/>
      <c r="C66" s="8"/>
      <c r="D66" s="8"/>
      <c r="E66" s="8"/>
      <c r="F66" s="58">
        <v>613100</v>
      </c>
      <c r="G66" s="69"/>
      <c r="H66" s="9" t="s">
        <v>6</v>
      </c>
      <c r="I66" s="100">
        <v>7000</v>
      </c>
      <c r="J66" s="84">
        <v>0</v>
      </c>
      <c r="K66" s="163">
        <f t="shared" ref="K66:K74" si="31">SUM(I66:J66)</f>
        <v>7000</v>
      </c>
      <c r="L66" s="100"/>
      <c r="M66" s="84"/>
      <c r="N66" s="203">
        <f t="shared" ref="N66:N74" si="32">SUM(L66:M66)</f>
        <v>0</v>
      </c>
      <c r="O66" s="224">
        <f t="shared" si="25"/>
        <v>0</v>
      </c>
    </row>
    <row r="67" spans="2:15" ht="14.25" x14ac:dyDescent="0.2">
      <c r="B67" s="50"/>
      <c r="C67" s="8"/>
      <c r="D67" s="8"/>
      <c r="E67" s="8"/>
      <c r="F67" s="58">
        <v>613200</v>
      </c>
      <c r="G67" s="69"/>
      <c r="H67" s="9" t="s">
        <v>7</v>
      </c>
      <c r="I67" s="100">
        <v>90000</v>
      </c>
      <c r="J67" s="84">
        <v>0</v>
      </c>
      <c r="K67" s="163">
        <f t="shared" si="31"/>
        <v>90000</v>
      </c>
      <c r="L67" s="100"/>
      <c r="M67" s="84"/>
      <c r="N67" s="203">
        <f t="shared" si="32"/>
        <v>0</v>
      </c>
      <c r="O67" s="224">
        <f t="shared" si="25"/>
        <v>0</v>
      </c>
    </row>
    <row r="68" spans="2:15" ht="14.25" x14ac:dyDescent="0.2">
      <c r="B68" s="50"/>
      <c r="C68" s="8"/>
      <c r="D68" s="8"/>
      <c r="E68" s="8"/>
      <c r="F68" s="58">
        <v>613300</v>
      </c>
      <c r="G68" s="69"/>
      <c r="H68" s="9" t="s">
        <v>70</v>
      </c>
      <c r="I68" s="100">
        <v>12000</v>
      </c>
      <c r="J68" s="84">
        <v>0</v>
      </c>
      <c r="K68" s="163">
        <f t="shared" si="31"/>
        <v>12000</v>
      </c>
      <c r="L68" s="100"/>
      <c r="M68" s="84"/>
      <c r="N68" s="203">
        <f t="shared" si="32"/>
        <v>0</v>
      </c>
      <c r="O68" s="224">
        <f t="shared" si="25"/>
        <v>0</v>
      </c>
    </row>
    <row r="69" spans="2:15" ht="14.25" x14ac:dyDescent="0.2">
      <c r="B69" s="50"/>
      <c r="C69" s="8"/>
      <c r="D69" s="8"/>
      <c r="E69" s="8"/>
      <c r="F69" s="58">
        <v>613400</v>
      </c>
      <c r="G69" s="69"/>
      <c r="H69" s="9" t="s">
        <v>59</v>
      </c>
      <c r="I69" s="100">
        <v>22000</v>
      </c>
      <c r="J69" s="84">
        <v>0</v>
      </c>
      <c r="K69" s="163">
        <f t="shared" si="31"/>
        <v>22000</v>
      </c>
      <c r="L69" s="100"/>
      <c r="M69" s="84"/>
      <c r="N69" s="203">
        <f t="shared" si="32"/>
        <v>0</v>
      </c>
      <c r="O69" s="224">
        <f t="shared" si="25"/>
        <v>0</v>
      </c>
    </row>
    <row r="70" spans="2:15" ht="14.25" x14ac:dyDescent="0.2">
      <c r="B70" s="50"/>
      <c r="C70" s="8"/>
      <c r="D70" s="8"/>
      <c r="E70" s="8"/>
      <c r="F70" s="58">
        <v>613500</v>
      </c>
      <c r="G70" s="69"/>
      <c r="H70" s="9" t="s">
        <v>8</v>
      </c>
      <c r="I70" s="100">
        <v>3000</v>
      </c>
      <c r="J70" s="84">
        <v>0</v>
      </c>
      <c r="K70" s="163">
        <f t="shared" si="31"/>
        <v>3000</v>
      </c>
      <c r="L70" s="100"/>
      <c r="M70" s="84"/>
      <c r="N70" s="203">
        <f t="shared" si="32"/>
        <v>0</v>
      </c>
      <c r="O70" s="224">
        <f t="shared" si="25"/>
        <v>0</v>
      </c>
    </row>
    <row r="71" spans="2:15" ht="14.25" x14ac:dyDescent="0.2">
      <c r="B71" s="50"/>
      <c r="C71" s="8"/>
      <c r="D71" s="8"/>
      <c r="E71" s="8"/>
      <c r="F71" s="58">
        <v>613600</v>
      </c>
      <c r="G71" s="69"/>
      <c r="H71" s="9" t="s">
        <v>71</v>
      </c>
      <c r="I71" s="100">
        <v>0</v>
      </c>
      <c r="J71" s="84">
        <v>0</v>
      </c>
      <c r="K71" s="163">
        <f t="shared" si="31"/>
        <v>0</v>
      </c>
      <c r="L71" s="100"/>
      <c r="M71" s="84"/>
      <c r="N71" s="203">
        <f t="shared" si="32"/>
        <v>0</v>
      </c>
      <c r="O71" s="224" t="str">
        <f t="shared" si="25"/>
        <v/>
      </c>
    </row>
    <row r="72" spans="2:15" ht="14.25" x14ac:dyDescent="0.2">
      <c r="B72" s="50"/>
      <c r="C72" s="8"/>
      <c r="D72" s="8"/>
      <c r="E72" s="8"/>
      <c r="F72" s="58">
        <v>613700</v>
      </c>
      <c r="G72" s="69"/>
      <c r="H72" s="9" t="s">
        <v>9</v>
      </c>
      <c r="I72" s="100">
        <v>20000</v>
      </c>
      <c r="J72" s="84">
        <v>0</v>
      </c>
      <c r="K72" s="163">
        <f t="shared" si="31"/>
        <v>20000</v>
      </c>
      <c r="L72" s="100"/>
      <c r="M72" s="84"/>
      <c r="N72" s="203">
        <f t="shared" si="32"/>
        <v>0</v>
      </c>
      <c r="O72" s="224">
        <f t="shared" si="25"/>
        <v>0</v>
      </c>
    </row>
    <row r="73" spans="2:15" ht="14.25" x14ac:dyDescent="0.2">
      <c r="B73" s="50"/>
      <c r="C73" s="8"/>
      <c r="D73" s="8"/>
      <c r="E73" s="8"/>
      <c r="F73" s="58">
        <v>613800</v>
      </c>
      <c r="G73" s="69"/>
      <c r="H73" s="9" t="s">
        <v>60</v>
      </c>
      <c r="I73" s="100">
        <v>1700</v>
      </c>
      <c r="J73" s="84">
        <v>0</v>
      </c>
      <c r="K73" s="163">
        <f t="shared" si="31"/>
        <v>1700</v>
      </c>
      <c r="L73" s="100"/>
      <c r="M73" s="84"/>
      <c r="N73" s="203">
        <f t="shared" si="32"/>
        <v>0</v>
      </c>
      <c r="O73" s="224">
        <f t="shared" si="25"/>
        <v>0</v>
      </c>
    </row>
    <row r="74" spans="2:15" ht="14.25" x14ac:dyDescent="0.2">
      <c r="B74" s="50"/>
      <c r="C74" s="8"/>
      <c r="D74" s="8"/>
      <c r="E74" s="8"/>
      <c r="F74" s="58">
        <v>613900</v>
      </c>
      <c r="G74" s="69"/>
      <c r="H74" s="9" t="s">
        <v>61</v>
      </c>
      <c r="I74" s="100">
        <v>32000</v>
      </c>
      <c r="J74" s="84">
        <v>0</v>
      </c>
      <c r="K74" s="163">
        <f t="shared" si="31"/>
        <v>32000</v>
      </c>
      <c r="L74" s="100"/>
      <c r="M74" s="84"/>
      <c r="N74" s="203">
        <f t="shared" si="32"/>
        <v>0</v>
      </c>
      <c r="O74" s="224">
        <f t="shared" si="25"/>
        <v>0</v>
      </c>
    </row>
    <row r="75" spans="2:15" ht="14.25" x14ac:dyDescent="0.2">
      <c r="B75" s="51"/>
      <c r="C75" s="4"/>
      <c r="D75" s="4"/>
      <c r="E75" s="4"/>
      <c r="F75" s="57"/>
      <c r="G75" s="68"/>
      <c r="H75" s="10"/>
      <c r="I75" s="116"/>
      <c r="J75" s="54"/>
      <c r="K75" s="164"/>
      <c r="L75" s="116"/>
      <c r="M75" s="54"/>
      <c r="N75" s="204"/>
      <c r="O75" s="224" t="str">
        <f t="shared" si="25"/>
        <v/>
      </c>
    </row>
    <row r="76" spans="2:15" ht="15" x14ac:dyDescent="0.25">
      <c r="B76" s="51"/>
      <c r="C76" s="4"/>
      <c r="D76" s="4"/>
      <c r="E76" s="4"/>
      <c r="F76" s="57">
        <v>821000</v>
      </c>
      <c r="G76" s="68"/>
      <c r="H76" s="10" t="s">
        <v>12</v>
      </c>
      <c r="I76" s="110">
        <f t="shared" ref="I76" si="33">SUM(I77:I79)</f>
        <v>399560</v>
      </c>
      <c r="J76" s="52">
        <f t="shared" ref="J76:N76" si="34">SUM(J77:J79)</f>
        <v>0</v>
      </c>
      <c r="K76" s="165">
        <f t="shared" si="34"/>
        <v>399560</v>
      </c>
      <c r="L76" s="110">
        <f t="shared" si="34"/>
        <v>0</v>
      </c>
      <c r="M76" s="52">
        <f t="shared" si="34"/>
        <v>0</v>
      </c>
      <c r="N76" s="205">
        <f t="shared" si="34"/>
        <v>0</v>
      </c>
      <c r="O76" s="224">
        <f t="shared" si="25"/>
        <v>0</v>
      </c>
    </row>
    <row r="77" spans="2:15" ht="14.25" x14ac:dyDescent="0.2">
      <c r="B77" s="50"/>
      <c r="C77" s="8"/>
      <c r="D77" s="8"/>
      <c r="E77" s="8"/>
      <c r="F77" s="58">
        <v>821200</v>
      </c>
      <c r="G77" s="69"/>
      <c r="H77" s="9" t="s">
        <v>13</v>
      </c>
      <c r="I77" s="116">
        <f>351000+6000+10000+12560</f>
        <v>379560</v>
      </c>
      <c r="J77" s="54">
        <v>0</v>
      </c>
      <c r="K77" s="163">
        <f t="shared" ref="K77:K78" si="35">SUM(I77:J77)</f>
        <v>379560</v>
      </c>
      <c r="L77" s="116"/>
      <c r="M77" s="54"/>
      <c r="N77" s="203">
        <f t="shared" ref="N77:N78" si="36">SUM(L77:M77)</f>
        <v>0</v>
      </c>
      <c r="O77" s="224">
        <f t="shared" si="25"/>
        <v>0</v>
      </c>
    </row>
    <row r="78" spans="2:15" ht="14.25" x14ac:dyDescent="0.2">
      <c r="B78" s="50"/>
      <c r="C78" s="8"/>
      <c r="D78" s="8"/>
      <c r="E78" s="8"/>
      <c r="F78" s="58">
        <v>821300</v>
      </c>
      <c r="G78" s="69"/>
      <c r="H78" s="9" t="s">
        <v>14</v>
      </c>
      <c r="I78" s="116">
        <v>20000</v>
      </c>
      <c r="J78" s="54">
        <v>0</v>
      </c>
      <c r="K78" s="163">
        <f t="shared" si="35"/>
        <v>20000</v>
      </c>
      <c r="L78" s="116"/>
      <c r="M78" s="54"/>
      <c r="N78" s="203">
        <f t="shared" si="36"/>
        <v>0</v>
      </c>
      <c r="O78" s="224">
        <f t="shared" si="25"/>
        <v>0</v>
      </c>
    </row>
    <row r="79" spans="2:15" ht="14.25" x14ac:dyDescent="0.2">
      <c r="B79" s="50"/>
      <c r="C79" s="8"/>
      <c r="D79" s="8"/>
      <c r="E79" s="8"/>
      <c r="F79" s="58"/>
      <c r="G79" s="69"/>
      <c r="H79" s="9"/>
      <c r="I79" s="116"/>
      <c r="J79" s="54"/>
      <c r="K79" s="164"/>
      <c r="L79" s="116"/>
      <c r="M79" s="54"/>
      <c r="N79" s="204"/>
      <c r="O79" s="224" t="str">
        <f t="shared" si="25"/>
        <v/>
      </c>
    </row>
    <row r="80" spans="2:15" ht="15" x14ac:dyDescent="0.25">
      <c r="B80" s="51"/>
      <c r="C80" s="4"/>
      <c r="D80" s="4"/>
      <c r="E80" s="4"/>
      <c r="F80" s="57"/>
      <c r="G80" s="68"/>
      <c r="H80" s="10" t="s">
        <v>15</v>
      </c>
      <c r="I80" s="111" t="s">
        <v>344</v>
      </c>
      <c r="J80" s="47"/>
      <c r="K80" s="166" t="s">
        <v>344</v>
      </c>
      <c r="L80" s="111"/>
      <c r="M80" s="47"/>
      <c r="N80" s="206"/>
      <c r="O80" s="224"/>
    </row>
    <row r="81" spans="2:15" ht="15" x14ac:dyDescent="0.25">
      <c r="B81" s="51"/>
      <c r="C81" s="4"/>
      <c r="D81" s="4"/>
      <c r="E81" s="4"/>
      <c r="F81" s="57"/>
      <c r="G81" s="68"/>
      <c r="H81" s="4" t="s">
        <v>24</v>
      </c>
      <c r="I81" s="110">
        <f t="shared" ref="I81:N81" si="37">I58+I62+I65+I76</f>
        <v>2314330</v>
      </c>
      <c r="J81" s="52">
        <f t="shared" si="37"/>
        <v>0</v>
      </c>
      <c r="K81" s="165">
        <f t="shared" si="37"/>
        <v>2314330</v>
      </c>
      <c r="L81" s="110">
        <f t="shared" si="37"/>
        <v>0</v>
      </c>
      <c r="M81" s="52">
        <f t="shared" si="37"/>
        <v>0</v>
      </c>
      <c r="N81" s="205">
        <f t="shared" si="37"/>
        <v>0</v>
      </c>
      <c r="O81" s="228">
        <f t="shared" si="25"/>
        <v>0</v>
      </c>
    </row>
    <row r="82" spans="2:15" ht="15" x14ac:dyDescent="0.25">
      <c r="B82" s="51"/>
      <c r="C82" s="4"/>
      <c r="D82" s="4"/>
      <c r="E82" s="4"/>
      <c r="F82" s="57"/>
      <c r="G82" s="68"/>
      <c r="H82" s="4" t="s">
        <v>16</v>
      </c>
      <c r="I82" s="110"/>
      <c r="J82" s="52"/>
      <c r="K82" s="165"/>
      <c r="L82" s="110"/>
      <c r="M82" s="52"/>
      <c r="N82" s="205"/>
      <c r="O82" s="224" t="str">
        <f t="shared" si="25"/>
        <v/>
      </c>
    </row>
    <row r="83" spans="2:15" ht="14.25" x14ac:dyDescent="0.2">
      <c r="B83" s="51"/>
      <c r="C83" s="4"/>
      <c r="D83" s="4"/>
      <c r="E83" s="4"/>
      <c r="F83" s="57"/>
      <c r="G83" s="68"/>
      <c r="H83" s="4" t="s">
        <v>17</v>
      </c>
      <c r="I83" s="108"/>
      <c r="J83" s="46"/>
      <c r="K83" s="164"/>
      <c r="L83" s="108"/>
      <c r="M83" s="46"/>
      <c r="N83" s="204"/>
      <c r="O83" s="224" t="str">
        <f t="shared" si="25"/>
        <v/>
      </c>
    </row>
    <row r="84" spans="2:15" ht="15" thickBot="1" x14ac:dyDescent="0.25">
      <c r="B84" s="6"/>
      <c r="C84" s="7"/>
      <c r="D84" s="7"/>
      <c r="E84" s="7"/>
      <c r="F84" s="59"/>
      <c r="G84" s="70"/>
      <c r="H84" s="7"/>
      <c r="I84" s="112"/>
      <c r="J84" s="13"/>
      <c r="K84" s="167"/>
      <c r="L84" s="112"/>
      <c r="M84" s="13"/>
      <c r="N84" s="207"/>
      <c r="O84" s="227" t="str">
        <f t="shared" si="25"/>
        <v/>
      </c>
    </row>
    <row r="85" spans="2:15" x14ac:dyDescent="0.2">
      <c r="O85" s="230" t="str">
        <f t="shared" si="25"/>
        <v/>
      </c>
    </row>
    <row r="86" spans="2:15" ht="15" x14ac:dyDescent="0.25">
      <c r="B86" s="2" t="s">
        <v>44</v>
      </c>
      <c r="C86" s="3" t="s">
        <v>37</v>
      </c>
      <c r="D86" s="3" t="s">
        <v>32</v>
      </c>
      <c r="E86" s="136" t="s">
        <v>152</v>
      </c>
      <c r="F86" s="49"/>
      <c r="G86" s="49"/>
      <c r="H86" s="182" t="s">
        <v>195</v>
      </c>
      <c r="I86" s="1"/>
      <c r="J86" s="49"/>
      <c r="K86" s="161"/>
      <c r="L86" s="1"/>
      <c r="M86" s="49"/>
      <c r="N86" s="201"/>
      <c r="O86" s="224" t="str">
        <f t="shared" si="25"/>
        <v/>
      </c>
    </row>
    <row r="87" spans="2:15" ht="15" x14ac:dyDescent="0.25">
      <c r="B87" s="51"/>
      <c r="C87" s="4"/>
      <c r="D87" s="4"/>
      <c r="E87" s="4"/>
      <c r="F87" s="57">
        <v>611000</v>
      </c>
      <c r="G87" s="68"/>
      <c r="H87" s="10" t="s">
        <v>57</v>
      </c>
      <c r="I87" s="106">
        <f>I88+I89</f>
        <v>1467080</v>
      </c>
      <c r="J87" s="32">
        <f t="shared" ref="J87:N87" si="38">SUM(J88:J90)</f>
        <v>0</v>
      </c>
      <c r="K87" s="162">
        <f t="shared" si="38"/>
        <v>1467080</v>
      </c>
      <c r="L87" s="106">
        <f t="shared" si="38"/>
        <v>0</v>
      </c>
      <c r="M87" s="32">
        <f t="shared" si="38"/>
        <v>0</v>
      </c>
      <c r="N87" s="202">
        <f t="shared" si="38"/>
        <v>0</v>
      </c>
      <c r="O87" s="228">
        <f t="shared" si="25"/>
        <v>0</v>
      </c>
    </row>
    <row r="88" spans="2:15" ht="14.25" x14ac:dyDescent="0.2">
      <c r="B88" s="50"/>
      <c r="C88" s="8"/>
      <c r="D88" s="8"/>
      <c r="E88" s="8"/>
      <c r="F88" s="58">
        <v>611100</v>
      </c>
      <c r="G88" s="69"/>
      <c r="H88" s="9" t="s">
        <v>68</v>
      </c>
      <c r="I88" s="119">
        <f>1154500+2*1280+1820+65800</f>
        <v>1224680</v>
      </c>
      <c r="J88" s="34">
        <v>0</v>
      </c>
      <c r="K88" s="163">
        <f>SUM(I88:J88)</f>
        <v>1224680</v>
      </c>
      <c r="L88" s="119"/>
      <c r="M88" s="34"/>
      <c r="N88" s="203">
        <f>SUM(L88:M88)</f>
        <v>0</v>
      </c>
      <c r="O88" s="224">
        <f t="shared" si="25"/>
        <v>0</v>
      </c>
    </row>
    <row r="89" spans="2:15" ht="14.25" x14ac:dyDescent="0.2">
      <c r="B89" s="50"/>
      <c r="C89" s="8"/>
      <c r="D89" s="8"/>
      <c r="E89" s="8"/>
      <c r="F89" s="58">
        <v>611200</v>
      </c>
      <c r="G89" s="69"/>
      <c r="H89" s="9" t="s">
        <v>69</v>
      </c>
      <c r="I89" s="119">
        <f>232670+2*2840+4050</f>
        <v>242400</v>
      </c>
      <c r="J89" s="34">
        <v>0</v>
      </c>
      <c r="K89" s="163">
        <f t="shared" ref="K89" si="39">SUM(I89:J89)</f>
        <v>242400</v>
      </c>
      <c r="L89" s="119"/>
      <c r="M89" s="34"/>
      <c r="N89" s="203">
        <f t="shared" ref="N89" si="40">SUM(L89:M89)</f>
        <v>0</v>
      </c>
      <c r="O89" s="224">
        <f t="shared" si="25"/>
        <v>0</v>
      </c>
    </row>
    <row r="90" spans="2:15" ht="14.25" x14ac:dyDescent="0.2">
      <c r="B90" s="50"/>
      <c r="C90" s="8"/>
      <c r="D90" s="8"/>
      <c r="E90" s="8"/>
      <c r="F90" s="58"/>
      <c r="G90" s="69"/>
      <c r="H90" s="9"/>
      <c r="I90" s="119"/>
      <c r="J90" s="34"/>
      <c r="K90" s="163"/>
      <c r="L90" s="119"/>
      <c r="M90" s="34"/>
      <c r="N90" s="203"/>
      <c r="O90" s="224" t="str">
        <f t="shared" si="25"/>
        <v/>
      </c>
    </row>
    <row r="91" spans="2:15" ht="15" x14ac:dyDescent="0.25">
      <c r="B91" s="51"/>
      <c r="C91" s="4"/>
      <c r="D91" s="4"/>
      <c r="E91" s="4"/>
      <c r="F91" s="57">
        <v>612000</v>
      </c>
      <c r="G91" s="68"/>
      <c r="H91" s="10" t="s">
        <v>56</v>
      </c>
      <c r="I91" s="106">
        <f>I92</f>
        <v>66470</v>
      </c>
      <c r="J91" s="32">
        <f t="shared" ref="J91:N91" si="41">J92</f>
        <v>0</v>
      </c>
      <c r="K91" s="162">
        <f t="shared" si="41"/>
        <v>66470</v>
      </c>
      <c r="L91" s="106">
        <f t="shared" si="41"/>
        <v>0</v>
      </c>
      <c r="M91" s="32">
        <f t="shared" si="41"/>
        <v>0</v>
      </c>
      <c r="N91" s="202">
        <f t="shared" si="41"/>
        <v>0</v>
      </c>
      <c r="O91" s="228">
        <f t="shared" si="25"/>
        <v>0</v>
      </c>
    </row>
    <row r="92" spans="2:15" ht="14.25" x14ac:dyDescent="0.2">
      <c r="B92" s="50"/>
      <c r="C92" s="8"/>
      <c r="D92" s="8"/>
      <c r="E92" s="8"/>
      <c r="F92" s="58">
        <v>612100</v>
      </c>
      <c r="G92" s="69"/>
      <c r="H92" s="145" t="s">
        <v>5</v>
      </c>
      <c r="I92" s="119">
        <f>62200+2*210+300+3550</f>
        <v>66470</v>
      </c>
      <c r="J92" s="34">
        <v>0</v>
      </c>
      <c r="K92" s="163">
        <f>SUM(I92:J92)</f>
        <v>66470</v>
      </c>
      <c r="L92" s="119"/>
      <c r="M92" s="34"/>
      <c r="N92" s="203">
        <f>SUM(L92:M92)</f>
        <v>0</v>
      </c>
      <c r="O92" s="224">
        <f t="shared" si="25"/>
        <v>0</v>
      </c>
    </row>
    <row r="93" spans="2:15" ht="14.25" x14ac:dyDescent="0.2">
      <c r="B93" s="50"/>
      <c r="C93" s="8"/>
      <c r="D93" s="8"/>
      <c r="E93" s="8"/>
      <c r="F93" s="58"/>
      <c r="G93" s="69"/>
      <c r="H93" s="9"/>
      <c r="I93" s="116"/>
      <c r="J93" s="54"/>
      <c r="K93" s="164"/>
      <c r="L93" s="116"/>
      <c r="M93" s="54"/>
      <c r="N93" s="204"/>
      <c r="O93" s="224" t="str">
        <f t="shared" si="25"/>
        <v/>
      </c>
    </row>
    <row r="94" spans="2:15" ht="15" x14ac:dyDescent="0.25">
      <c r="B94" s="51"/>
      <c r="C94" s="4"/>
      <c r="D94" s="4"/>
      <c r="E94" s="4"/>
      <c r="F94" s="57">
        <v>613000</v>
      </c>
      <c r="G94" s="68"/>
      <c r="H94" s="10" t="s">
        <v>58</v>
      </c>
      <c r="I94" s="109">
        <f>SUM(I95:I103)</f>
        <v>212000</v>
      </c>
      <c r="J94" s="55">
        <f t="shared" ref="J94:N94" si="42">SUM(J95:J103)</f>
        <v>0</v>
      </c>
      <c r="K94" s="165">
        <f t="shared" si="42"/>
        <v>212000</v>
      </c>
      <c r="L94" s="109">
        <f t="shared" si="42"/>
        <v>0</v>
      </c>
      <c r="M94" s="55">
        <f t="shared" si="42"/>
        <v>0</v>
      </c>
      <c r="N94" s="205">
        <f t="shared" si="42"/>
        <v>0</v>
      </c>
      <c r="O94" s="228">
        <f t="shared" si="25"/>
        <v>0</v>
      </c>
    </row>
    <row r="95" spans="2:15" ht="14.25" x14ac:dyDescent="0.2">
      <c r="B95" s="50"/>
      <c r="C95" s="8"/>
      <c r="D95" s="8"/>
      <c r="E95" s="8"/>
      <c r="F95" s="58">
        <v>613100</v>
      </c>
      <c r="G95" s="69"/>
      <c r="H95" s="9" t="s">
        <v>6</v>
      </c>
      <c r="I95" s="100">
        <v>8700</v>
      </c>
      <c r="J95" s="84">
        <v>0</v>
      </c>
      <c r="K95" s="163">
        <f t="shared" ref="K95:K103" si="43">SUM(I95:J95)</f>
        <v>8700</v>
      </c>
      <c r="L95" s="100"/>
      <c r="M95" s="84"/>
      <c r="N95" s="203">
        <f t="shared" ref="N95:N103" si="44">SUM(L95:M95)</f>
        <v>0</v>
      </c>
      <c r="O95" s="224">
        <f t="shared" si="25"/>
        <v>0</v>
      </c>
    </row>
    <row r="96" spans="2:15" ht="14.25" x14ac:dyDescent="0.2">
      <c r="B96" s="50"/>
      <c r="C96" s="8"/>
      <c r="D96" s="8"/>
      <c r="E96" s="8"/>
      <c r="F96" s="58">
        <v>613200</v>
      </c>
      <c r="G96" s="69"/>
      <c r="H96" s="9" t="s">
        <v>7</v>
      </c>
      <c r="I96" s="100">
        <v>100000</v>
      </c>
      <c r="J96" s="84">
        <v>0</v>
      </c>
      <c r="K96" s="163">
        <f t="shared" si="43"/>
        <v>100000</v>
      </c>
      <c r="L96" s="100"/>
      <c r="M96" s="84"/>
      <c r="N96" s="203">
        <f t="shared" si="44"/>
        <v>0</v>
      </c>
      <c r="O96" s="224">
        <f t="shared" si="25"/>
        <v>0</v>
      </c>
    </row>
    <row r="97" spans="2:15" ht="14.25" x14ac:dyDescent="0.2">
      <c r="B97" s="50"/>
      <c r="C97" s="8"/>
      <c r="D97" s="8"/>
      <c r="E97" s="8"/>
      <c r="F97" s="58">
        <v>613300</v>
      </c>
      <c r="G97" s="69"/>
      <c r="H97" s="9" t="s">
        <v>70</v>
      </c>
      <c r="I97" s="100">
        <v>23000</v>
      </c>
      <c r="J97" s="84">
        <v>0</v>
      </c>
      <c r="K97" s="163">
        <f t="shared" si="43"/>
        <v>23000</v>
      </c>
      <c r="L97" s="100"/>
      <c r="M97" s="84"/>
      <c r="N97" s="203">
        <f t="shared" si="44"/>
        <v>0</v>
      </c>
      <c r="O97" s="224">
        <f t="shared" si="25"/>
        <v>0</v>
      </c>
    </row>
    <row r="98" spans="2:15" ht="14.25" x14ac:dyDescent="0.2">
      <c r="B98" s="50"/>
      <c r="C98" s="8"/>
      <c r="D98" s="8"/>
      <c r="E98" s="8"/>
      <c r="F98" s="58">
        <v>613400</v>
      </c>
      <c r="G98" s="69"/>
      <c r="H98" s="9" t="s">
        <v>59</v>
      </c>
      <c r="I98" s="100">
        <v>20000</v>
      </c>
      <c r="J98" s="84">
        <v>0</v>
      </c>
      <c r="K98" s="163">
        <f t="shared" si="43"/>
        <v>20000</v>
      </c>
      <c r="L98" s="100"/>
      <c r="M98" s="84"/>
      <c r="N98" s="203">
        <f t="shared" si="44"/>
        <v>0</v>
      </c>
      <c r="O98" s="224">
        <f t="shared" si="25"/>
        <v>0</v>
      </c>
    </row>
    <row r="99" spans="2:15" ht="14.25" x14ac:dyDescent="0.2">
      <c r="B99" s="50"/>
      <c r="C99" s="8"/>
      <c r="D99" s="8"/>
      <c r="E99" s="8"/>
      <c r="F99" s="58">
        <v>613500</v>
      </c>
      <c r="G99" s="69"/>
      <c r="H99" s="9" t="s">
        <v>8</v>
      </c>
      <c r="I99" s="100">
        <v>600</v>
      </c>
      <c r="J99" s="84">
        <v>0</v>
      </c>
      <c r="K99" s="163">
        <f t="shared" si="43"/>
        <v>600</v>
      </c>
      <c r="L99" s="100"/>
      <c r="M99" s="84"/>
      <c r="N99" s="203">
        <f t="shared" si="44"/>
        <v>0</v>
      </c>
      <c r="O99" s="224">
        <f t="shared" si="25"/>
        <v>0</v>
      </c>
    </row>
    <row r="100" spans="2:15" ht="14.25" x14ac:dyDescent="0.2">
      <c r="B100" s="50"/>
      <c r="C100" s="8"/>
      <c r="D100" s="8"/>
      <c r="E100" s="8"/>
      <c r="F100" s="58">
        <v>613600</v>
      </c>
      <c r="G100" s="69"/>
      <c r="H100" s="9" t="s">
        <v>71</v>
      </c>
      <c r="I100" s="100">
        <v>0</v>
      </c>
      <c r="J100" s="84">
        <v>0</v>
      </c>
      <c r="K100" s="163">
        <f t="shared" si="43"/>
        <v>0</v>
      </c>
      <c r="L100" s="100"/>
      <c r="M100" s="84"/>
      <c r="N100" s="203">
        <f t="shared" si="44"/>
        <v>0</v>
      </c>
      <c r="O100" s="224" t="str">
        <f t="shared" si="25"/>
        <v/>
      </c>
    </row>
    <row r="101" spans="2:15" ht="14.25" x14ac:dyDescent="0.2">
      <c r="B101" s="50"/>
      <c r="C101" s="8"/>
      <c r="D101" s="8"/>
      <c r="E101" s="8"/>
      <c r="F101" s="58">
        <v>613700</v>
      </c>
      <c r="G101" s="69"/>
      <c r="H101" s="9" t="s">
        <v>9</v>
      </c>
      <c r="I101" s="100">
        <v>28300</v>
      </c>
      <c r="J101" s="84">
        <v>0</v>
      </c>
      <c r="K101" s="163">
        <f t="shared" si="43"/>
        <v>28300</v>
      </c>
      <c r="L101" s="100"/>
      <c r="M101" s="84"/>
      <c r="N101" s="203">
        <f t="shared" si="44"/>
        <v>0</v>
      </c>
      <c r="O101" s="224">
        <f t="shared" si="25"/>
        <v>0</v>
      </c>
    </row>
    <row r="102" spans="2:15" ht="14.25" x14ac:dyDescent="0.2">
      <c r="B102" s="50"/>
      <c r="C102" s="8"/>
      <c r="D102" s="8"/>
      <c r="E102" s="8"/>
      <c r="F102" s="58">
        <v>613800</v>
      </c>
      <c r="G102" s="69"/>
      <c r="H102" s="9" t="s">
        <v>60</v>
      </c>
      <c r="I102" s="100">
        <v>1400</v>
      </c>
      <c r="J102" s="84">
        <v>0</v>
      </c>
      <c r="K102" s="163">
        <f t="shared" si="43"/>
        <v>1400</v>
      </c>
      <c r="L102" s="100"/>
      <c r="M102" s="84"/>
      <c r="N102" s="203">
        <f t="shared" si="44"/>
        <v>0</v>
      </c>
      <c r="O102" s="224">
        <f t="shared" si="25"/>
        <v>0</v>
      </c>
    </row>
    <row r="103" spans="2:15" ht="14.25" x14ac:dyDescent="0.2">
      <c r="B103" s="50"/>
      <c r="C103" s="8"/>
      <c r="D103" s="8"/>
      <c r="E103" s="8"/>
      <c r="F103" s="58">
        <v>613900</v>
      </c>
      <c r="G103" s="69"/>
      <c r="H103" s="9" t="s">
        <v>61</v>
      </c>
      <c r="I103" s="100">
        <v>30000</v>
      </c>
      <c r="J103" s="84">
        <v>0</v>
      </c>
      <c r="K103" s="163">
        <f t="shared" si="43"/>
        <v>30000</v>
      </c>
      <c r="L103" s="100"/>
      <c r="M103" s="84"/>
      <c r="N103" s="203">
        <f t="shared" si="44"/>
        <v>0</v>
      </c>
      <c r="O103" s="224">
        <f t="shared" si="25"/>
        <v>0</v>
      </c>
    </row>
    <row r="104" spans="2:15" ht="14.25" x14ac:dyDescent="0.2">
      <c r="B104" s="51"/>
      <c r="C104" s="4"/>
      <c r="D104" s="4"/>
      <c r="E104" s="4"/>
      <c r="F104" s="57"/>
      <c r="G104" s="68"/>
      <c r="H104" s="10"/>
      <c r="I104" s="116"/>
      <c r="J104" s="54"/>
      <c r="K104" s="164"/>
      <c r="L104" s="116"/>
      <c r="M104" s="54"/>
      <c r="N104" s="204"/>
      <c r="O104" s="224" t="str">
        <f t="shared" si="25"/>
        <v/>
      </c>
    </row>
    <row r="105" spans="2:15" ht="15" x14ac:dyDescent="0.25">
      <c r="B105" s="51"/>
      <c r="C105" s="4"/>
      <c r="D105" s="4"/>
      <c r="E105" s="4"/>
      <c r="F105" s="57">
        <v>821000</v>
      </c>
      <c r="G105" s="68"/>
      <c r="H105" s="10" t="s">
        <v>12</v>
      </c>
      <c r="I105" s="110">
        <f t="shared" ref="I105" si="45">SUM(I106:I107)</f>
        <v>20000</v>
      </c>
      <c r="J105" s="52">
        <f t="shared" ref="J105:N105" si="46">SUM(J106:J107)</f>
        <v>0</v>
      </c>
      <c r="K105" s="165">
        <f t="shared" si="46"/>
        <v>20000</v>
      </c>
      <c r="L105" s="110">
        <f t="shared" si="46"/>
        <v>0</v>
      </c>
      <c r="M105" s="52">
        <f t="shared" si="46"/>
        <v>0</v>
      </c>
      <c r="N105" s="205">
        <f t="shared" si="46"/>
        <v>0</v>
      </c>
      <c r="O105" s="228">
        <f t="shared" si="25"/>
        <v>0</v>
      </c>
    </row>
    <row r="106" spans="2:15" ht="14.25" x14ac:dyDescent="0.2">
      <c r="B106" s="50"/>
      <c r="C106" s="8"/>
      <c r="D106" s="8"/>
      <c r="E106" s="8"/>
      <c r="F106" s="58">
        <v>821200</v>
      </c>
      <c r="G106" s="69"/>
      <c r="H106" s="9" t="s">
        <v>13</v>
      </c>
      <c r="I106" s="116">
        <v>10000</v>
      </c>
      <c r="J106" s="54">
        <v>0</v>
      </c>
      <c r="K106" s="163">
        <f t="shared" ref="K106:K107" si="47">SUM(I106:J106)</f>
        <v>10000</v>
      </c>
      <c r="L106" s="116"/>
      <c r="M106" s="54"/>
      <c r="N106" s="203">
        <f t="shared" ref="N106:N107" si="48">SUM(L106:M106)</f>
        <v>0</v>
      </c>
      <c r="O106" s="224">
        <f t="shared" si="25"/>
        <v>0</v>
      </c>
    </row>
    <row r="107" spans="2:15" ht="14.25" x14ac:dyDescent="0.2">
      <c r="B107" s="50"/>
      <c r="C107" s="8"/>
      <c r="D107" s="8"/>
      <c r="E107" s="8"/>
      <c r="F107" s="58">
        <v>821300</v>
      </c>
      <c r="G107" s="69"/>
      <c r="H107" s="9" t="s">
        <v>14</v>
      </c>
      <c r="I107" s="116">
        <v>10000</v>
      </c>
      <c r="J107" s="54">
        <v>0</v>
      </c>
      <c r="K107" s="163">
        <f t="shared" si="47"/>
        <v>10000</v>
      </c>
      <c r="L107" s="116"/>
      <c r="M107" s="54"/>
      <c r="N107" s="203">
        <f t="shared" si="48"/>
        <v>0</v>
      </c>
      <c r="O107" s="224">
        <f t="shared" si="25"/>
        <v>0</v>
      </c>
    </row>
    <row r="108" spans="2:15" ht="14.25" x14ac:dyDescent="0.2">
      <c r="B108" s="50"/>
      <c r="C108" s="8"/>
      <c r="D108" s="8"/>
      <c r="E108" s="8"/>
      <c r="F108" s="58"/>
      <c r="G108" s="69"/>
      <c r="H108" s="9"/>
      <c r="I108" s="116"/>
      <c r="J108" s="54"/>
      <c r="K108" s="164"/>
      <c r="L108" s="116"/>
      <c r="M108" s="54"/>
      <c r="N108" s="204"/>
      <c r="O108" s="224" t="str">
        <f t="shared" si="25"/>
        <v/>
      </c>
    </row>
    <row r="109" spans="2:15" ht="15" x14ac:dyDescent="0.25">
      <c r="B109" s="51"/>
      <c r="C109" s="4"/>
      <c r="D109" s="4"/>
      <c r="E109" s="4"/>
      <c r="F109" s="57"/>
      <c r="G109" s="68"/>
      <c r="H109" s="10" t="s">
        <v>15</v>
      </c>
      <c r="I109" s="111" t="s">
        <v>382</v>
      </c>
      <c r="J109" s="47"/>
      <c r="K109" s="166" t="s">
        <v>382</v>
      </c>
      <c r="L109" s="111"/>
      <c r="M109" s="47"/>
      <c r="N109" s="206"/>
      <c r="O109" s="224"/>
    </row>
    <row r="110" spans="2:15" ht="15" x14ac:dyDescent="0.25">
      <c r="B110" s="51"/>
      <c r="C110" s="4"/>
      <c r="D110" s="4"/>
      <c r="E110" s="4"/>
      <c r="F110" s="57"/>
      <c r="G110" s="68"/>
      <c r="H110" s="4" t="s">
        <v>24</v>
      </c>
      <c r="I110" s="110">
        <f t="shared" ref="I110:N110" si="49">I87+I91+I94+I105</f>
        <v>1765550</v>
      </c>
      <c r="J110" s="52">
        <f t="shared" si="49"/>
        <v>0</v>
      </c>
      <c r="K110" s="165">
        <f t="shared" si="49"/>
        <v>1765550</v>
      </c>
      <c r="L110" s="110">
        <f t="shared" si="49"/>
        <v>0</v>
      </c>
      <c r="M110" s="52">
        <f t="shared" si="49"/>
        <v>0</v>
      </c>
      <c r="N110" s="205">
        <f t="shared" si="49"/>
        <v>0</v>
      </c>
      <c r="O110" s="228">
        <f t="shared" si="25"/>
        <v>0</v>
      </c>
    </row>
    <row r="111" spans="2:15" ht="15" x14ac:dyDescent="0.25">
      <c r="B111" s="51"/>
      <c r="C111" s="4"/>
      <c r="D111" s="4"/>
      <c r="E111" s="4"/>
      <c r="F111" s="57"/>
      <c r="G111" s="68"/>
      <c r="H111" s="4" t="s">
        <v>16</v>
      </c>
      <c r="I111" s="110"/>
      <c r="J111" s="52"/>
      <c r="K111" s="165"/>
      <c r="L111" s="110"/>
      <c r="M111" s="52"/>
      <c r="N111" s="205"/>
      <c r="O111" s="224" t="str">
        <f t="shared" si="25"/>
        <v/>
      </c>
    </row>
    <row r="112" spans="2:15" ht="14.25" x14ac:dyDescent="0.2">
      <c r="B112" s="51"/>
      <c r="C112" s="4"/>
      <c r="D112" s="4"/>
      <c r="E112" s="4"/>
      <c r="F112" s="57"/>
      <c r="G112" s="68"/>
      <c r="H112" s="4" t="s">
        <v>17</v>
      </c>
      <c r="I112" s="108"/>
      <c r="J112" s="46"/>
      <c r="K112" s="164"/>
      <c r="L112" s="108"/>
      <c r="M112" s="46"/>
      <c r="N112" s="204"/>
      <c r="O112" s="224" t="str">
        <f t="shared" si="25"/>
        <v/>
      </c>
    </row>
    <row r="113" spans="2:15" ht="15" thickBot="1" x14ac:dyDescent="0.25">
      <c r="B113" s="6"/>
      <c r="C113" s="7"/>
      <c r="D113" s="7"/>
      <c r="E113" s="7"/>
      <c r="F113" s="59"/>
      <c r="G113" s="70"/>
      <c r="H113" s="7"/>
      <c r="I113" s="112"/>
      <c r="J113" s="13"/>
      <c r="K113" s="167"/>
      <c r="L113" s="112"/>
      <c r="M113" s="13"/>
      <c r="N113" s="207"/>
      <c r="O113" s="227" t="str">
        <f t="shared" si="25"/>
        <v/>
      </c>
    </row>
    <row r="114" spans="2:15" x14ac:dyDescent="0.2">
      <c r="O114" s="230" t="str">
        <f t="shared" si="25"/>
        <v/>
      </c>
    </row>
    <row r="115" spans="2:15" ht="15" x14ac:dyDescent="0.25">
      <c r="B115" s="2" t="s">
        <v>44</v>
      </c>
      <c r="C115" s="3" t="s">
        <v>37</v>
      </c>
      <c r="D115" s="3" t="s">
        <v>33</v>
      </c>
      <c r="E115" s="136" t="s">
        <v>152</v>
      </c>
      <c r="F115" s="49"/>
      <c r="G115" s="49"/>
      <c r="H115" s="182" t="s">
        <v>182</v>
      </c>
      <c r="I115" s="1"/>
      <c r="J115" s="49"/>
      <c r="K115" s="161"/>
      <c r="L115" s="1"/>
      <c r="M115" s="49"/>
      <c r="N115" s="201"/>
      <c r="O115" s="224" t="str">
        <f t="shared" ref="O115:O174" si="50">IF(K115=0,"",N115/K115*100)</f>
        <v/>
      </c>
    </row>
    <row r="116" spans="2:15" ht="15" x14ac:dyDescent="0.25">
      <c r="B116" s="51"/>
      <c r="C116" s="4"/>
      <c r="D116" s="4"/>
      <c r="E116" s="4"/>
      <c r="F116" s="57">
        <v>611000</v>
      </c>
      <c r="G116" s="68"/>
      <c r="H116" s="10" t="s">
        <v>57</v>
      </c>
      <c r="I116" s="106">
        <f>I117+I118</f>
        <v>1442270</v>
      </c>
      <c r="J116" s="32">
        <f t="shared" ref="J116:N116" si="51">SUM(J117:J119)</f>
        <v>0</v>
      </c>
      <c r="K116" s="162">
        <f t="shared" si="51"/>
        <v>1442270</v>
      </c>
      <c r="L116" s="106">
        <f t="shared" si="51"/>
        <v>0</v>
      </c>
      <c r="M116" s="32">
        <f t="shared" si="51"/>
        <v>0</v>
      </c>
      <c r="N116" s="202">
        <f t="shared" si="51"/>
        <v>0</v>
      </c>
      <c r="O116" s="228">
        <f t="shared" si="50"/>
        <v>0</v>
      </c>
    </row>
    <row r="117" spans="2:15" ht="14.25" x14ac:dyDescent="0.2">
      <c r="B117" s="50"/>
      <c r="C117" s="8"/>
      <c r="D117" s="8"/>
      <c r="E117" s="8"/>
      <c r="F117" s="58">
        <v>611100</v>
      </c>
      <c r="G117" s="69"/>
      <c r="H117" s="9" t="s">
        <v>68</v>
      </c>
      <c r="I117" s="119">
        <f>1117120+2*730+1280+2*1820+5710+63680</f>
        <v>1192890</v>
      </c>
      <c r="J117" s="34">
        <v>0</v>
      </c>
      <c r="K117" s="163">
        <f>SUM(I117:J117)</f>
        <v>1192890</v>
      </c>
      <c r="L117" s="119"/>
      <c r="M117" s="34"/>
      <c r="N117" s="203">
        <f>SUM(L117:M117)</f>
        <v>0</v>
      </c>
      <c r="O117" s="224">
        <f t="shared" si="50"/>
        <v>0</v>
      </c>
    </row>
    <row r="118" spans="2:15" ht="14.25" x14ac:dyDescent="0.2">
      <c r="B118" s="50"/>
      <c r="C118" s="8"/>
      <c r="D118" s="8"/>
      <c r="E118" s="8"/>
      <c r="F118" s="58">
        <v>611200</v>
      </c>
      <c r="G118" s="69"/>
      <c r="H118" s="9" t="s">
        <v>69</v>
      </c>
      <c r="I118" s="119">
        <f>225200+2*1620+2840+2*4050+10000</f>
        <v>249380</v>
      </c>
      <c r="J118" s="34">
        <v>0</v>
      </c>
      <c r="K118" s="163">
        <f t="shared" ref="K118" si="52">SUM(I118:J118)</f>
        <v>249380</v>
      </c>
      <c r="L118" s="119"/>
      <c r="M118" s="34"/>
      <c r="N118" s="203">
        <f t="shared" ref="N118" si="53">SUM(L118:M118)</f>
        <v>0</v>
      </c>
      <c r="O118" s="224">
        <f t="shared" si="50"/>
        <v>0</v>
      </c>
    </row>
    <row r="119" spans="2:15" ht="14.25" x14ac:dyDescent="0.2">
      <c r="B119" s="50"/>
      <c r="C119" s="8"/>
      <c r="D119" s="8"/>
      <c r="E119" s="8"/>
      <c r="F119" s="58"/>
      <c r="G119" s="69"/>
      <c r="H119" s="9"/>
      <c r="I119" s="119"/>
      <c r="J119" s="34"/>
      <c r="K119" s="163"/>
      <c r="L119" s="119"/>
      <c r="M119" s="34"/>
      <c r="N119" s="203"/>
      <c r="O119" s="224" t="str">
        <f t="shared" si="50"/>
        <v/>
      </c>
    </row>
    <row r="120" spans="2:15" ht="15" x14ac:dyDescent="0.25">
      <c r="B120" s="51"/>
      <c r="C120" s="4"/>
      <c r="D120" s="4"/>
      <c r="E120" s="4"/>
      <c r="F120" s="57">
        <v>612000</v>
      </c>
      <c r="G120" s="68"/>
      <c r="H120" s="10" t="s">
        <v>56</v>
      </c>
      <c r="I120" s="106">
        <f>I121</f>
        <v>63200</v>
      </c>
      <c r="J120" s="32">
        <f t="shared" ref="J120:N120" si="54">J121</f>
        <v>0</v>
      </c>
      <c r="K120" s="162">
        <f t="shared" si="54"/>
        <v>63200</v>
      </c>
      <c r="L120" s="106">
        <f t="shared" si="54"/>
        <v>0</v>
      </c>
      <c r="M120" s="32">
        <f t="shared" si="54"/>
        <v>0</v>
      </c>
      <c r="N120" s="202">
        <f t="shared" si="54"/>
        <v>0</v>
      </c>
      <c r="O120" s="228">
        <f t="shared" si="50"/>
        <v>0</v>
      </c>
    </row>
    <row r="121" spans="2:15" ht="14.25" x14ac:dyDescent="0.2">
      <c r="B121" s="50"/>
      <c r="C121" s="8"/>
      <c r="D121" s="8"/>
      <c r="E121" s="8"/>
      <c r="F121" s="58">
        <v>612100</v>
      </c>
      <c r="G121" s="69"/>
      <c r="H121" s="145" t="s">
        <v>5</v>
      </c>
      <c r="I121" s="119">
        <f>58800+2*120+210+2*300+3350</f>
        <v>63200</v>
      </c>
      <c r="J121" s="34">
        <v>0</v>
      </c>
      <c r="K121" s="163">
        <f>SUM(I121:J121)</f>
        <v>63200</v>
      </c>
      <c r="L121" s="119"/>
      <c r="M121" s="34"/>
      <c r="N121" s="203">
        <f>SUM(L121:M121)</f>
        <v>0</v>
      </c>
      <c r="O121" s="224">
        <f t="shared" si="50"/>
        <v>0</v>
      </c>
    </row>
    <row r="122" spans="2:15" ht="14.25" x14ac:dyDescent="0.2">
      <c r="B122" s="50"/>
      <c r="C122" s="8"/>
      <c r="D122" s="8"/>
      <c r="E122" s="8"/>
      <c r="F122" s="58"/>
      <c r="G122" s="69"/>
      <c r="H122" s="9"/>
      <c r="I122" s="116"/>
      <c r="J122" s="54"/>
      <c r="K122" s="164"/>
      <c r="L122" s="116"/>
      <c r="M122" s="54"/>
      <c r="N122" s="204"/>
      <c r="O122" s="224" t="str">
        <f t="shared" si="50"/>
        <v/>
      </c>
    </row>
    <row r="123" spans="2:15" ht="15" x14ac:dyDescent="0.25">
      <c r="B123" s="51"/>
      <c r="C123" s="4"/>
      <c r="D123" s="4"/>
      <c r="E123" s="4"/>
      <c r="F123" s="57">
        <v>613000</v>
      </c>
      <c r="G123" s="68"/>
      <c r="H123" s="10" t="s">
        <v>58</v>
      </c>
      <c r="I123" s="109">
        <f>SUM(I124:I132)</f>
        <v>186000</v>
      </c>
      <c r="J123" s="55">
        <f t="shared" ref="J123:N123" si="55">SUM(J124:J132)</f>
        <v>0</v>
      </c>
      <c r="K123" s="165">
        <f t="shared" si="55"/>
        <v>186000</v>
      </c>
      <c r="L123" s="109">
        <f t="shared" si="55"/>
        <v>0</v>
      </c>
      <c r="M123" s="55">
        <f t="shared" si="55"/>
        <v>0</v>
      </c>
      <c r="N123" s="205">
        <f t="shared" si="55"/>
        <v>0</v>
      </c>
      <c r="O123" s="228">
        <f t="shared" si="50"/>
        <v>0</v>
      </c>
    </row>
    <row r="124" spans="2:15" ht="14.25" x14ac:dyDescent="0.2">
      <c r="B124" s="50"/>
      <c r="C124" s="8"/>
      <c r="D124" s="8"/>
      <c r="E124" s="8"/>
      <c r="F124" s="58">
        <v>613100</v>
      </c>
      <c r="G124" s="69"/>
      <c r="H124" s="9" t="s">
        <v>6</v>
      </c>
      <c r="I124" s="100">
        <v>5500</v>
      </c>
      <c r="J124" s="84">
        <v>0</v>
      </c>
      <c r="K124" s="163">
        <f t="shared" ref="K124:K132" si="56">SUM(I124:J124)</f>
        <v>5500</v>
      </c>
      <c r="L124" s="100"/>
      <c r="M124" s="84"/>
      <c r="N124" s="203">
        <f t="shared" ref="N124:N132" si="57">SUM(L124:M124)</f>
        <v>0</v>
      </c>
      <c r="O124" s="224">
        <f t="shared" si="50"/>
        <v>0</v>
      </c>
    </row>
    <row r="125" spans="2:15" ht="14.25" x14ac:dyDescent="0.2">
      <c r="B125" s="50"/>
      <c r="C125" s="8"/>
      <c r="D125" s="8"/>
      <c r="E125" s="8"/>
      <c r="F125" s="58">
        <v>613200</v>
      </c>
      <c r="G125" s="69"/>
      <c r="H125" s="9" t="s">
        <v>7</v>
      </c>
      <c r="I125" s="100">
        <v>70000</v>
      </c>
      <c r="J125" s="84">
        <v>0</v>
      </c>
      <c r="K125" s="163">
        <f t="shared" si="56"/>
        <v>70000</v>
      </c>
      <c r="L125" s="100"/>
      <c r="M125" s="84"/>
      <c r="N125" s="203">
        <f t="shared" si="57"/>
        <v>0</v>
      </c>
      <c r="O125" s="224">
        <f t="shared" si="50"/>
        <v>0</v>
      </c>
    </row>
    <row r="126" spans="2:15" ht="14.25" x14ac:dyDescent="0.2">
      <c r="B126" s="50"/>
      <c r="C126" s="8"/>
      <c r="D126" s="8"/>
      <c r="E126" s="8"/>
      <c r="F126" s="58">
        <v>613300</v>
      </c>
      <c r="G126" s="69"/>
      <c r="H126" s="9" t="s">
        <v>70</v>
      </c>
      <c r="I126" s="100">
        <v>10000</v>
      </c>
      <c r="J126" s="84">
        <v>0</v>
      </c>
      <c r="K126" s="163">
        <f t="shared" si="56"/>
        <v>10000</v>
      </c>
      <c r="L126" s="100"/>
      <c r="M126" s="84"/>
      <c r="N126" s="203">
        <f t="shared" si="57"/>
        <v>0</v>
      </c>
      <c r="O126" s="224">
        <f t="shared" si="50"/>
        <v>0</v>
      </c>
    </row>
    <row r="127" spans="2:15" ht="14.25" x14ac:dyDescent="0.2">
      <c r="B127" s="50"/>
      <c r="C127" s="8"/>
      <c r="D127" s="8"/>
      <c r="E127" s="8"/>
      <c r="F127" s="58">
        <v>613400</v>
      </c>
      <c r="G127" s="69"/>
      <c r="H127" s="9" t="s">
        <v>59</v>
      </c>
      <c r="I127" s="100">
        <v>20000</v>
      </c>
      <c r="J127" s="84">
        <v>0</v>
      </c>
      <c r="K127" s="163">
        <f t="shared" si="56"/>
        <v>20000</v>
      </c>
      <c r="L127" s="100"/>
      <c r="M127" s="84"/>
      <c r="N127" s="203">
        <f t="shared" si="57"/>
        <v>0</v>
      </c>
      <c r="O127" s="224">
        <f t="shared" si="50"/>
        <v>0</v>
      </c>
    </row>
    <row r="128" spans="2:15" ht="14.25" x14ac:dyDescent="0.2">
      <c r="B128" s="50"/>
      <c r="C128" s="8"/>
      <c r="D128" s="8"/>
      <c r="E128" s="8"/>
      <c r="F128" s="58">
        <v>613500</v>
      </c>
      <c r="G128" s="69"/>
      <c r="H128" s="9" t="s">
        <v>8</v>
      </c>
      <c r="I128" s="100">
        <v>4000</v>
      </c>
      <c r="J128" s="84">
        <v>0</v>
      </c>
      <c r="K128" s="163">
        <f t="shared" si="56"/>
        <v>4000</v>
      </c>
      <c r="L128" s="100"/>
      <c r="M128" s="84"/>
      <c r="N128" s="203">
        <f t="shared" si="57"/>
        <v>0</v>
      </c>
      <c r="O128" s="224">
        <f t="shared" si="50"/>
        <v>0</v>
      </c>
    </row>
    <row r="129" spans="2:15" ht="14.25" x14ac:dyDescent="0.2">
      <c r="B129" s="50"/>
      <c r="C129" s="8"/>
      <c r="D129" s="8"/>
      <c r="E129" s="8"/>
      <c r="F129" s="58">
        <v>613600</v>
      </c>
      <c r="G129" s="69"/>
      <c r="H129" s="9" t="s">
        <v>71</v>
      </c>
      <c r="I129" s="100">
        <v>0</v>
      </c>
      <c r="J129" s="84">
        <v>0</v>
      </c>
      <c r="K129" s="163">
        <f t="shared" si="56"/>
        <v>0</v>
      </c>
      <c r="L129" s="100"/>
      <c r="M129" s="84"/>
      <c r="N129" s="203">
        <f t="shared" si="57"/>
        <v>0</v>
      </c>
      <c r="O129" s="224" t="str">
        <f t="shared" si="50"/>
        <v/>
      </c>
    </row>
    <row r="130" spans="2:15" ht="14.25" x14ac:dyDescent="0.2">
      <c r="B130" s="50"/>
      <c r="C130" s="8"/>
      <c r="D130" s="8"/>
      <c r="E130" s="8"/>
      <c r="F130" s="58">
        <v>613700</v>
      </c>
      <c r="G130" s="69"/>
      <c r="H130" s="9" t="s">
        <v>9</v>
      </c>
      <c r="I130" s="100">
        <v>20000</v>
      </c>
      <c r="J130" s="84">
        <v>0</v>
      </c>
      <c r="K130" s="163">
        <f t="shared" si="56"/>
        <v>20000</v>
      </c>
      <c r="L130" s="100"/>
      <c r="M130" s="84"/>
      <c r="N130" s="203">
        <f t="shared" si="57"/>
        <v>0</v>
      </c>
      <c r="O130" s="224">
        <f t="shared" si="50"/>
        <v>0</v>
      </c>
    </row>
    <row r="131" spans="2:15" ht="14.25" x14ac:dyDescent="0.2">
      <c r="B131" s="50"/>
      <c r="C131" s="8"/>
      <c r="D131" s="8"/>
      <c r="E131" s="8"/>
      <c r="F131" s="58">
        <v>613800</v>
      </c>
      <c r="G131" s="69"/>
      <c r="H131" s="9" t="s">
        <v>60</v>
      </c>
      <c r="I131" s="100">
        <v>1500</v>
      </c>
      <c r="J131" s="84">
        <v>0</v>
      </c>
      <c r="K131" s="163">
        <f t="shared" si="56"/>
        <v>1500</v>
      </c>
      <c r="L131" s="100"/>
      <c r="M131" s="84"/>
      <c r="N131" s="203">
        <f t="shared" si="57"/>
        <v>0</v>
      </c>
      <c r="O131" s="224">
        <f t="shared" si="50"/>
        <v>0</v>
      </c>
    </row>
    <row r="132" spans="2:15" ht="14.25" x14ac:dyDescent="0.2">
      <c r="B132" s="50"/>
      <c r="C132" s="8"/>
      <c r="D132" s="8"/>
      <c r="E132" s="8"/>
      <c r="F132" s="58">
        <v>613900</v>
      </c>
      <c r="G132" s="69"/>
      <c r="H132" s="9" t="s">
        <v>61</v>
      </c>
      <c r="I132" s="101">
        <v>55000</v>
      </c>
      <c r="J132" s="83">
        <v>0</v>
      </c>
      <c r="K132" s="163">
        <f t="shared" si="56"/>
        <v>55000</v>
      </c>
      <c r="L132" s="101"/>
      <c r="M132" s="83"/>
      <c r="N132" s="203">
        <f t="shared" si="57"/>
        <v>0</v>
      </c>
      <c r="O132" s="224">
        <f t="shared" si="50"/>
        <v>0</v>
      </c>
    </row>
    <row r="133" spans="2:15" ht="14.25" x14ac:dyDescent="0.2">
      <c r="B133" s="51"/>
      <c r="C133" s="4"/>
      <c r="D133" s="4"/>
      <c r="E133" s="4"/>
      <c r="F133" s="57"/>
      <c r="G133" s="68"/>
      <c r="H133" s="10"/>
      <c r="I133" s="116"/>
      <c r="J133" s="54"/>
      <c r="K133" s="164"/>
      <c r="L133" s="116"/>
      <c r="M133" s="54"/>
      <c r="N133" s="204"/>
      <c r="O133" s="224" t="str">
        <f t="shared" si="50"/>
        <v/>
      </c>
    </row>
    <row r="134" spans="2:15" ht="15" x14ac:dyDescent="0.25">
      <c r="B134" s="51"/>
      <c r="C134" s="4"/>
      <c r="D134" s="4"/>
      <c r="E134" s="4"/>
      <c r="F134" s="57">
        <v>821000</v>
      </c>
      <c r="G134" s="68"/>
      <c r="H134" s="10" t="s">
        <v>12</v>
      </c>
      <c r="I134" s="110">
        <f t="shared" ref="I134" si="58">SUM(I135:I136)</f>
        <v>32000</v>
      </c>
      <c r="J134" s="52">
        <f t="shared" ref="J134:N134" si="59">SUM(J135:J136)</f>
        <v>0</v>
      </c>
      <c r="K134" s="165">
        <f t="shared" si="59"/>
        <v>32000</v>
      </c>
      <c r="L134" s="110">
        <f t="shared" si="59"/>
        <v>0</v>
      </c>
      <c r="M134" s="52">
        <f t="shared" si="59"/>
        <v>0</v>
      </c>
      <c r="N134" s="205">
        <f t="shared" si="59"/>
        <v>0</v>
      </c>
      <c r="O134" s="228">
        <f t="shared" si="50"/>
        <v>0</v>
      </c>
    </row>
    <row r="135" spans="2:15" ht="14.25" x14ac:dyDescent="0.2">
      <c r="B135" s="50"/>
      <c r="C135" s="8"/>
      <c r="D135" s="8"/>
      <c r="E135" s="8"/>
      <c r="F135" s="58">
        <v>821200</v>
      </c>
      <c r="G135" s="69"/>
      <c r="H135" s="9" t="s">
        <v>13</v>
      </c>
      <c r="I135" s="116">
        <v>27000</v>
      </c>
      <c r="J135" s="54">
        <v>0</v>
      </c>
      <c r="K135" s="163">
        <f t="shared" ref="K135:K136" si="60">SUM(I135:J135)</f>
        <v>27000</v>
      </c>
      <c r="L135" s="116"/>
      <c r="M135" s="54"/>
      <c r="N135" s="203">
        <f t="shared" ref="N135:N136" si="61">SUM(L135:M135)</f>
        <v>0</v>
      </c>
      <c r="O135" s="224">
        <f t="shared" si="50"/>
        <v>0</v>
      </c>
    </row>
    <row r="136" spans="2:15" ht="14.25" x14ac:dyDescent="0.2">
      <c r="B136" s="50"/>
      <c r="C136" s="8"/>
      <c r="D136" s="8"/>
      <c r="E136" s="8"/>
      <c r="F136" s="58">
        <v>821300</v>
      </c>
      <c r="G136" s="69"/>
      <c r="H136" s="9" t="s">
        <v>14</v>
      </c>
      <c r="I136" s="116">
        <v>5000</v>
      </c>
      <c r="J136" s="54">
        <v>0</v>
      </c>
      <c r="K136" s="163">
        <f t="shared" si="60"/>
        <v>5000</v>
      </c>
      <c r="L136" s="116"/>
      <c r="M136" s="54"/>
      <c r="N136" s="203">
        <f t="shared" si="61"/>
        <v>0</v>
      </c>
      <c r="O136" s="224">
        <f t="shared" si="50"/>
        <v>0</v>
      </c>
    </row>
    <row r="137" spans="2:15" ht="14.25" x14ac:dyDescent="0.2">
      <c r="B137" s="50"/>
      <c r="C137" s="8"/>
      <c r="D137" s="8"/>
      <c r="E137" s="8"/>
      <c r="F137" s="58"/>
      <c r="G137" s="69"/>
      <c r="H137" s="9"/>
      <c r="I137" s="116"/>
      <c r="J137" s="54"/>
      <c r="K137" s="164"/>
      <c r="L137" s="116"/>
      <c r="M137" s="54"/>
      <c r="N137" s="204"/>
      <c r="O137" s="224" t="str">
        <f t="shared" si="50"/>
        <v/>
      </c>
    </row>
    <row r="138" spans="2:15" ht="15" x14ac:dyDescent="0.25">
      <c r="B138" s="51"/>
      <c r="C138" s="4"/>
      <c r="D138" s="4"/>
      <c r="E138" s="4"/>
      <c r="F138" s="57"/>
      <c r="G138" s="68"/>
      <c r="H138" s="10" t="s">
        <v>15</v>
      </c>
      <c r="I138" s="111" t="s">
        <v>383</v>
      </c>
      <c r="J138" s="47"/>
      <c r="K138" s="166" t="s">
        <v>383</v>
      </c>
      <c r="L138" s="111"/>
      <c r="M138" s="47"/>
      <c r="N138" s="206"/>
      <c r="O138" s="224"/>
    </row>
    <row r="139" spans="2:15" ht="15" x14ac:dyDescent="0.25">
      <c r="B139" s="51"/>
      <c r="C139" s="4"/>
      <c r="D139" s="4"/>
      <c r="E139" s="4"/>
      <c r="F139" s="57"/>
      <c r="G139" s="68"/>
      <c r="H139" s="4" t="s">
        <v>24</v>
      </c>
      <c r="I139" s="110">
        <f t="shared" ref="I139:N139" si="62">I116+I120+I123+I134</f>
        <v>1723470</v>
      </c>
      <c r="J139" s="52">
        <f t="shared" si="62"/>
        <v>0</v>
      </c>
      <c r="K139" s="165">
        <f t="shared" si="62"/>
        <v>1723470</v>
      </c>
      <c r="L139" s="110">
        <f t="shared" si="62"/>
        <v>0</v>
      </c>
      <c r="M139" s="52">
        <f t="shared" si="62"/>
        <v>0</v>
      </c>
      <c r="N139" s="205">
        <f t="shared" si="62"/>
        <v>0</v>
      </c>
      <c r="O139" s="228">
        <f t="shared" si="50"/>
        <v>0</v>
      </c>
    </row>
    <row r="140" spans="2:15" ht="15" x14ac:dyDescent="0.25">
      <c r="B140" s="51"/>
      <c r="C140" s="4"/>
      <c r="D140" s="4"/>
      <c r="E140" s="4"/>
      <c r="F140" s="57"/>
      <c r="G140" s="68"/>
      <c r="H140" s="4" t="s">
        <v>16</v>
      </c>
      <c r="I140" s="110">
        <f t="shared" ref="I140:N140" si="63">I139+I110+I81</f>
        <v>5803350</v>
      </c>
      <c r="J140" s="52">
        <f t="shared" si="63"/>
        <v>0</v>
      </c>
      <c r="K140" s="165">
        <f t="shared" si="63"/>
        <v>5803350</v>
      </c>
      <c r="L140" s="110">
        <f t="shared" si="63"/>
        <v>0</v>
      </c>
      <c r="M140" s="52">
        <f t="shared" si="63"/>
        <v>0</v>
      </c>
      <c r="N140" s="205">
        <f t="shared" si="63"/>
        <v>0</v>
      </c>
      <c r="O140" s="228">
        <f t="shared" si="50"/>
        <v>0</v>
      </c>
    </row>
    <row r="141" spans="2:15" ht="14.25" x14ac:dyDescent="0.2">
      <c r="B141" s="51"/>
      <c r="C141" s="4"/>
      <c r="D141" s="4"/>
      <c r="E141" s="4"/>
      <c r="F141" s="57"/>
      <c r="G141" s="68"/>
      <c r="H141" s="4" t="s">
        <v>17</v>
      </c>
      <c r="I141" s="108"/>
      <c r="J141" s="46"/>
      <c r="K141" s="164"/>
      <c r="L141" s="108"/>
      <c r="M141" s="46"/>
      <c r="N141" s="204"/>
      <c r="O141" s="224" t="str">
        <f t="shared" si="50"/>
        <v/>
      </c>
    </row>
    <row r="142" spans="2:15" ht="15" thickBot="1" x14ac:dyDescent="0.25">
      <c r="B142" s="6"/>
      <c r="C142" s="7"/>
      <c r="D142" s="7"/>
      <c r="E142" s="7"/>
      <c r="F142" s="59"/>
      <c r="G142" s="70"/>
      <c r="H142" s="7"/>
      <c r="I142" s="112"/>
      <c r="J142" s="13"/>
      <c r="K142" s="167"/>
      <c r="L142" s="112"/>
      <c r="M142" s="13"/>
      <c r="N142" s="207"/>
      <c r="O142" s="227" t="str">
        <f t="shared" si="50"/>
        <v/>
      </c>
    </row>
    <row r="143" spans="2:15" x14ac:dyDescent="0.2">
      <c r="O143" s="230" t="str">
        <f t="shared" si="50"/>
        <v/>
      </c>
    </row>
    <row r="144" spans="2:15" ht="15" x14ac:dyDescent="0.25">
      <c r="B144" s="2" t="s">
        <v>44</v>
      </c>
      <c r="C144" s="3" t="s">
        <v>45</v>
      </c>
      <c r="D144" s="3" t="s">
        <v>4</v>
      </c>
      <c r="E144" s="136" t="s">
        <v>153</v>
      </c>
      <c r="F144" s="49"/>
      <c r="G144" s="49"/>
      <c r="H144" s="182" t="s">
        <v>183</v>
      </c>
      <c r="I144" s="115"/>
      <c r="J144" s="23"/>
      <c r="K144" s="168"/>
      <c r="L144" s="115"/>
      <c r="M144" s="23"/>
      <c r="N144" s="217"/>
      <c r="O144" s="224" t="str">
        <f t="shared" si="50"/>
        <v/>
      </c>
    </row>
    <row r="145" spans="2:15" ht="15" x14ac:dyDescent="0.25">
      <c r="B145" s="51"/>
      <c r="C145" s="4"/>
      <c r="D145" s="4"/>
      <c r="E145" s="4"/>
      <c r="F145" s="57">
        <v>611000</v>
      </c>
      <c r="G145" s="68"/>
      <c r="H145" s="10" t="s">
        <v>57</v>
      </c>
      <c r="I145" s="106">
        <f>I146+I147</f>
        <v>2140040</v>
      </c>
      <c r="J145" s="32">
        <f t="shared" ref="J145:N145" si="64">SUM(J146:J148)</f>
        <v>0</v>
      </c>
      <c r="K145" s="162">
        <f t="shared" si="64"/>
        <v>2140040</v>
      </c>
      <c r="L145" s="106">
        <f t="shared" si="64"/>
        <v>0</v>
      </c>
      <c r="M145" s="32">
        <f t="shared" si="64"/>
        <v>0</v>
      </c>
      <c r="N145" s="202">
        <f t="shared" si="64"/>
        <v>0</v>
      </c>
      <c r="O145" s="228">
        <f t="shared" si="50"/>
        <v>0</v>
      </c>
    </row>
    <row r="146" spans="2:15" ht="14.25" x14ac:dyDescent="0.2">
      <c r="B146" s="50"/>
      <c r="C146" s="8"/>
      <c r="D146" s="8"/>
      <c r="E146" s="8"/>
      <c r="F146" s="58">
        <v>611100</v>
      </c>
      <c r="G146" s="69"/>
      <c r="H146" s="9" t="s">
        <v>68</v>
      </c>
      <c r="I146" s="119">
        <f>1700950+730+5*1280+2*1820+96950</f>
        <v>1808670</v>
      </c>
      <c r="J146" s="34">
        <v>0</v>
      </c>
      <c r="K146" s="163">
        <f>SUM(I146:J146)</f>
        <v>1808670</v>
      </c>
      <c r="L146" s="119"/>
      <c r="M146" s="34"/>
      <c r="N146" s="203">
        <f>SUM(L146:M146)</f>
        <v>0</v>
      </c>
      <c r="O146" s="224">
        <f t="shared" si="50"/>
        <v>0</v>
      </c>
    </row>
    <row r="147" spans="2:15" ht="14.25" x14ac:dyDescent="0.2">
      <c r="B147" s="50"/>
      <c r="C147" s="8"/>
      <c r="D147" s="8"/>
      <c r="E147" s="8"/>
      <c r="F147" s="58">
        <v>611200</v>
      </c>
      <c r="G147" s="69"/>
      <c r="H147" s="9" t="s">
        <v>69</v>
      </c>
      <c r="I147" s="119">
        <f>307450+1620+5*2840+2*4050</f>
        <v>331370</v>
      </c>
      <c r="J147" s="34">
        <v>0</v>
      </c>
      <c r="K147" s="163">
        <f t="shared" ref="K147" si="65">SUM(I147:J147)</f>
        <v>331370</v>
      </c>
      <c r="L147" s="119"/>
      <c r="M147" s="34"/>
      <c r="N147" s="203">
        <f t="shared" ref="N147" si="66">SUM(L147:M147)</f>
        <v>0</v>
      </c>
      <c r="O147" s="224">
        <f t="shared" si="50"/>
        <v>0</v>
      </c>
    </row>
    <row r="148" spans="2:15" ht="14.25" x14ac:dyDescent="0.2">
      <c r="B148" s="50"/>
      <c r="C148" s="8"/>
      <c r="D148" s="8"/>
      <c r="E148" s="8"/>
      <c r="F148" s="58"/>
      <c r="G148" s="69"/>
      <c r="H148" s="9"/>
      <c r="I148" s="119"/>
      <c r="J148" s="34"/>
      <c r="K148" s="163"/>
      <c r="L148" s="119"/>
      <c r="M148" s="34"/>
      <c r="N148" s="203"/>
      <c r="O148" s="224" t="str">
        <f t="shared" si="50"/>
        <v/>
      </c>
    </row>
    <row r="149" spans="2:15" ht="15" x14ac:dyDescent="0.25">
      <c r="B149" s="51"/>
      <c r="C149" s="4"/>
      <c r="D149" s="4"/>
      <c r="E149" s="4"/>
      <c r="F149" s="57">
        <v>612000</v>
      </c>
      <c r="G149" s="68"/>
      <c r="H149" s="10" t="s">
        <v>56</v>
      </c>
      <c r="I149" s="106">
        <f>I150</f>
        <v>88580</v>
      </c>
      <c r="J149" s="32">
        <f t="shared" ref="J149:N149" si="67">J150</f>
        <v>0</v>
      </c>
      <c r="K149" s="162">
        <f t="shared" si="67"/>
        <v>88580</v>
      </c>
      <c r="L149" s="106">
        <f t="shared" si="67"/>
        <v>0</v>
      </c>
      <c r="M149" s="32">
        <f t="shared" si="67"/>
        <v>0</v>
      </c>
      <c r="N149" s="202">
        <f t="shared" si="67"/>
        <v>0</v>
      </c>
      <c r="O149" s="228">
        <f t="shared" si="50"/>
        <v>0</v>
      </c>
    </row>
    <row r="150" spans="2:15" ht="14.25" x14ac:dyDescent="0.2">
      <c r="B150" s="50"/>
      <c r="C150" s="8"/>
      <c r="D150" s="8"/>
      <c r="E150" s="8"/>
      <c r="F150" s="58">
        <v>612100</v>
      </c>
      <c r="G150" s="69"/>
      <c r="H150" s="145" t="s">
        <v>5</v>
      </c>
      <c r="I150" s="119">
        <f>82130+120+5*210+2*300+4680</f>
        <v>88580</v>
      </c>
      <c r="J150" s="34">
        <v>0</v>
      </c>
      <c r="K150" s="163">
        <f>SUM(I150:J150)</f>
        <v>88580</v>
      </c>
      <c r="L150" s="119"/>
      <c r="M150" s="34"/>
      <c r="N150" s="203">
        <f>SUM(L150:M150)</f>
        <v>0</v>
      </c>
      <c r="O150" s="224">
        <f t="shared" si="50"/>
        <v>0</v>
      </c>
    </row>
    <row r="151" spans="2:15" ht="14.25" x14ac:dyDescent="0.2">
      <c r="B151" s="50"/>
      <c r="C151" s="8"/>
      <c r="D151" s="8"/>
      <c r="E151" s="8"/>
      <c r="F151" s="58"/>
      <c r="G151" s="69"/>
      <c r="H151" s="9"/>
      <c r="I151" s="116"/>
      <c r="J151" s="54"/>
      <c r="K151" s="164"/>
      <c r="L151" s="116"/>
      <c r="M151" s="54"/>
      <c r="N151" s="204"/>
      <c r="O151" s="224" t="str">
        <f t="shared" si="50"/>
        <v/>
      </c>
    </row>
    <row r="152" spans="2:15" ht="15" x14ac:dyDescent="0.25">
      <c r="B152" s="51"/>
      <c r="C152" s="4"/>
      <c r="D152" s="4"/>
      <c r="E152" s="4"/>
      <c r="F152" s="57">
        <v>613000</v>
      </c>
      <c r="G152" s="68"/>
      <c r="H152" s="10" t="s">
        <v>58</v>
      </c>
      <c r="I152" s="109">
        <f>SUM(I153:I161)</f>
        <v>130200</v>
      </c>
      <c r="J152" s="55">
        <f t="shared" ref="J152:N152" si="68">SUM(J153:J161)</f>
        <v>0</v>
      </c>
      <c r="K152" s="165">
        <f t="shared" si="68"/>
        <v>130200</v>
      </c>
      <c r="L152" s="109">
        <f t="shared" si="68"/>
        <v>0</v>
      </c>
      <c r="M152" s="55">
        <f t="shared" si="68"/>
        <v>0</v>
      </c>
      <c r="N152" s="205">
        <f t="shared" si="68"/>
        <v>0</v>
      </c>
      <c r="O152" s="228">
        <f t="shared" si="50"/>
        <v>0</v>
      </c>
    </row>
    <row r="153" spans="2:15" ht="14.25" x14ac:dyDescent="0.2">
      <c r="B153" s="50"/>
      <c r="C153" s="8"/>
      <c r="D153" s="8"/>
      <c r="E153" s="8"/>
      <c r="F153" s="58">
        <v>613100</v>
      </c>
      <c r="G153" s="69"/>
      <c r="H153" s="9" t="s">
        <v>6</v>
      </c>
      <c r="I153" s="100">
        <v>5500</v>
      </c>
      <c r="J153" s="84">
        <v>0</v>
      </c>
      <c r="K153" s="163">
        <f t="shared" ref="K153:K161" si="69">SUM(I153:J153)</f>
        <v>5500</v>
      </c>
      <c r="L153" s="100"/>
      <c r="M153" s="84"/>
      <c r="N153" s="203">
        <f t="shared" ref="N153:N161" si="70">SUM(L153:M153)</f>
        <v>0</v>
      </c>
      <c r="O153" s="224">
        <f t="shared" si="50"/>
        <v>0</v>
      </c>
    </row>
    <row r="154" spans="2:15" ht="14.25" x14ac:dyDescent="0.2">
      <c r="B154" s="50"/>
      <c r="C154" s="8"/>
      <c r="D154" s="8"/>
      <c r="E154" s="8"/>
      <c r="F154" s="58">
        <v>613200</v>
      </c>
      <c r="G154" s="69"/>
      <c r="H154" s="9" t="s">
        <v>7</v>
      </c>
      <c r="I154" s="100">
        <v>50000</v>
      </c>
      <c r="J154" s="84">
        <v>0</v>
      </c>
      <c r="K154" s="163">
        <f t="shared" si="69"/>
        <v>50000</v>
      </c>
      <c r="L154" s="100"/>
      <c r="M154" s="84"/>
      <c r="N154" s="203">
        <f t="shared" si="70"/>
        <v>0</v>
      </c>
      <c r="O154" s="224">
        <f t="shared" si="50"/>
        <v>0</v>
      </c>
    </row>
    <row r="155" spans="2:15" ht="14.25" x14ac:dyDescent="0.2">
      <c r="B155" s="50"/>
      <c r="C155" s="8"/>
      <c r="D155" s="8"/>
      <c r="E155" s="8"/>
      <c r="F155" s="58">
        <v>613300</v>
      </c>
      <c r="G155" s="69"/>
      <c r="H155" s="9" t="s">
        <v>70</v>
      </c>
      <c r="I155" s="100">
        <v>8000</v>
      </c>
      <c r="J155" s="84">
        <v>0</v>
      </c>
      <c r="K155" s="163">
        <f t="shared" si="69"/>
        <v>8000</v>
      </c>
      <c r="L155" s="100"/>
      <c r="M155" s="84"/>
      <c r="N155" s="203">
        <f t="shared" si="70"/>
        <v>0</v>
      </c>
      <c r="O155" s="224">
        <f t="shared" si="50"/>
        <v>0</v>
      </c>
    </row>
    <row r="156" spans="2:15" ht="14.25" x14ac:dyDescent="0.2">
      <c r="B156" s="50"/>
      <c r="C156" s="8"/>
      <c r="D156" s="8"/>
      <c r="E156" s="8"/>
      <c r="F156" s="58">
        <v>613400</v>
      </c>
      <c r="G156" s="69"/>
      <c r="H156" s="9" t="s">
        <v>59</v>
      </c>
      <c r="I156" s="100">
        <v>19000</v>
      </c>
      <c r="J156" s="84">
        <v>0</v>
      </c>
      <c r="K156" s="163">
        <f t="shared" si="69"/>
        <v>19000</v>
      </c>
      <c r="L156" s="100"/>
      <c r="M156" s="84"/>
      <c r="N156" s="203">
        <f t="shared" si="70"/>
        <v>0</v>
      </c>
      <c r="O156" s="224">
        <f t="shared" si="50"/>
        <v>0</v>
      </c>
    </row>
    <row r="157" spans="2:15" ht="14.25" x14ac:dyDescent="0.2">
      <c r="B157" s="50"/>
      <c r="C157" s="8"/>
      <c r="D157" s="8"/>
      <c r="E157" s="8"/>
      <c r="F157" s="58">
        <v>613500</v>
      </c>
      <c r="G157" s="69"/>
      <c r="H157" s="9" t="s">
        <v>8</v>
      </c>
      <c r="I157" s="100">
        <v>500</v>
      </c>
      <c r="J157" s="84">
        <v>0</v>
      </c>
      <c r="K157" s="163">
        <f t="shared" si="69"/>
        <v>500</v>
      </c>
      <c r="L157" s="100"/>
      <c r="M157" s="84"/>
      <c r="N157" s="203">
        <f t="shared" si="70"/>
        <v>0</v>
      </c>
      <c r="O157" s="224">
        <f t="shared" si="50"/>
        <v>0</v>
      </c>
    </row>
    <row r="158" spans="2:15" ht="14.25" x14ac:dyDescent="0.2">
      <c r="B158" s="50"/>
      <c r="C158" s="8"/>
      <c r="D158" s="8"/>
      <c r="E158" s="8"/>
      <c r="F158" s="58">
        <v>613600</v>
      </c>
      <c r="G158" s="69"/>
      <c r="H158" s="9" t="s">
        <v>71</v>
      </c>
      <c r="I158" s="100">
        <v>0</v>
      </c>
      <c r="J158" s="84">
        <v>0</v>
      </c>
      <c r="K158" s="163">
        <f t="shared" si="69"/>
        <v>0</v>
      </c>
      <c r="L158" s="100"/>
      <c r="M158" s="84"/>
      <c r="N158" s="203">
        <f t="shared" si="70"/>
        <v>0</v>
      </c>
      <c r="O158" s="224" t="str">
        <f t="shared" si="50"/>
        <v/>
      </c>
    </row>
    <row r="159" spans="2:15" ht="14.25" x14ac:dyDescent="0.2">
      <c r="B159" s="50"/>
      <c r="C159" s="8"/>
      <c r="D159" s="8"/>
      <c r="E159" s="8"/>
      <c r="F159" s="58">
        <v>613700</v>
      </c>
      <c r="G159" s="69"/>
      <c r="H159" s="9" t="s">
        <v>9</v>
      </c>
      <c r="I159" s="100">
        <v>11000</v>
      </c>
      <c r="J159" s="84">
        <v>0</v>
      </c>
      <c r="K159" s="163">
        <f t="shared" si="69"/>
        <v>11000</v>
      </c>
      <c r="L159" s="100"/>
      <c r="M159" s="84"/>
      <c r="N159" s="203">
        <f t="shared" si="70"/>
        <v>0</v>
      </c>
      <c r="O159" s="224">
        <f t="shared" si="50"/>
        <v>0</v>
      </c>
    </row>
    <row r="160" spans="2:15" ht="14.25" x14ac:dyDescent="0.2">
      <c r="B160" s="50"/>
      <c r="C160" s="8"/>
      <c r="D160" s="8"/>
      <c r="E160" s="8"/>
      <c r="F160" s="58">
        <v>613800</v>
      </c>
      <c r="G160" s="69"/>
      <c r="H160" s="9" t="s">
        <v>60</v>
      </c>
      <c r="I160" s="100">
        <v>2200</v>
      </c>
      <c r="J160" s="84">
        <v>0</v>
      </c>
      <c r="K160" s="163">
        <f t="shared" si="69"/>
        <v>2200</v>
      </c>
      <c r="L160" s="100"/>
      <c r="M160" s="84"/>
      <c r="N160" s="203">
        <f t="shared" si="70"/>
        <v>0</v>
      </c>
      <c r="O160" s="224">
        <f t="shared" si="50"/>
        <v>0</v>
      </c>
    </row>
    <row r="161" spans="2:15" ht="14.25" x14ac:dyDescent="0.2">
      <c r="B161" s="50"/>
      <c r="C161" s="8"/>
      <c r="D161" s="8"/>
      <c r="E161" s="8"/>
      <c r="F161" s="58">
        <v>613900</v>
      </c>
      <c r="G161" s="69"/>
      <c r="H161" s="9" t="s">
        <v>61</v>
      </c>
      <c r="I161" s="100">
        <v>34000</v>
      </c>
      <c r="J161" s="84">
        <v>0</v>
      </c>
      <c r="K161" s="163">
        <f t="shared" si="69"/>
        <v>34000</v>
      </c>
      <c r="L161" s="100"/>
      <c r="M161" s="84"/>
      <c r="N161" s="203">
        <f t="shared" si="70"/>
        <v>0</v>
      </c>
      <c r="O161" s="224">
        <f t="shared" si="50"/>
        <v>0</v>
      </c>
    </row>
    <row r="162" spans="2:15" ht="14.25" x14ac:dyDescent="0.2">
      <c r="B162" s="51"/>
      <c r="C162" s="4"/>
      <c r="D162" s="4"/>
      <c r="E162" s="4"/>
      <c r="F162" s="57"/>
      <c r="G162" s="68"/>
      <c r="H162" s="10"/>
      <c r="I162" s="100"/>
      <c r="J162" s="84"/>
      <c r="K162" s="151"/>
      <c r="L162" s="100"/>
      <c r="M162" s="84"/>
      <c r="N162" s="218"/>
      <c r="O162" s="224" t="str">
        <f t="shared" si="50"/>
        <v/>
      </c>
    </row>
    <row r="163" spans="2:15" ht="15" x14ac:dyDescent="0.25">
      <c r="B163" s="51"/>
      <c r="C163" s="4"/>
      <c r="D163" s="4"/>
      <c r="E163" s="4"/>
      <c r="F163" s="57">
        <v>821000</v>
      </c>
      <c r="G163" s="68"/>
      <c r="H163" s="10" t="s">
        <v>12</v>
      </c>
      <c r="I163" s="110">
        <f t="shared" ref="I163" si="71">SUM(I164:I165)</f>
        <v>35000</v>
      </c>
      <c r="J163" s="52">
        <f t="shared" ref="J163:N163" si="72">SUM(J164:J165)</f>
        <v>0</v>
      </c>
      <c r="K163" s="165">
        <f t="shared" si="72"/>
        <v>35000</v>
      </c>
      <c r="L163" s="110">
        <f t="shared" si="72"/>
        <v>0</v>
      </c>
      <c r="M163" s="52">
        <f t="shared" si="72"/>
        <v>0</v>
      </c>
      <c r="N163" s="205">
        <f t="shared" si="72"/>
        <v>0</v>
      </c>
      <c r="O163" s="228">
        <f t="shared" si="50"/>
        <v>0</v>
      </c>
    </row>
    <row r="164" spans="2:15" ht="14.25" x14ac:dyDescent="0.2">
      <c r="B164" s="50"/>
      <c r="C164" s="8"/>
      <c r="D164" s="8"/>
      <c r="E164" s="8"/>
      <c r="F164" s="58">
        <v>821200</v>
      </c>
      <c r="G164" s="69"/>
      <c r="H164" s="9" t="s">
        <v>13</v>
      </c>
      <c r="I164" s="116">
        <v>20000</v>
      </c>
      <c r="J164" s="54">
        <v>0</v>
      </c>
      <c r="K164" s="163">
        <f t="shared" ref="K164:K165" si="73">SUM(I164:J164)</f>
        <v>20000</v>
      </c>
      <c r="L164" s="116"/>
      <c r="M164" s="54"/>
      <c r="N164" s="203">
        <f t="shared" ref="N164:N165" si="74">SUM(L164:M164)</f>
        <v>0</v>
      </c>
      <c r="O164" s="224">
        <f t="shared" si="50"/>
        <v>0</v>
      </c>
    </row>
    <row r="165" spans="2:15" ht="14.25" x14ac:dyDescent="0.2">
      <c r="B165" s="50"/>
      <c r="C165" s="8"/>
      <c r="D165" s="8"/>
      <c r="E165" s="8"/>
      <c r="F165" s="58">
        <v>821300</v>
      </c>
      <c r="G165" s="69"/>
      <c r="H165" s="9" t="s">
        <v>14</v>
      </c>
      <c r="I165" s="116">
        <v>15000</v>
      </c>
      <c r="J165" s="54">
        <v>0</v>
      </c>
      <c r="K165" s="163">
        <f t="shared" si="73"/>
        <v>15000</v>
      </c>
      <c r="L165" s="116"/>
      <c r="M165" s="54"/>
      <c r="N165" s="203">
        <f t="shared" si="74"/>
        <v>0</v>
      </c>
      <c r="O165" s="224">
        <f t="shared" si="50"/>
        <v>0</v>
      </c>
    </row>
    <row r="166" spans="2:15" ht="14.25" x14ac:dyDescent="0.2">
      <c r="B166" s="50"/>
      <c r="C166" s="8"/>
      <c r="D166" s="8"/>
      <c r="E166" s="8"/>
      <c r="F166" s="58"/>
      <c r="G166" s="69"/>
      <c r="H166" s="9"/>
      <c r="I166" s="116"/>
      <c r="J166" s="54"/>
      <c r="K166" s="164"/>
      <c r="L166" s="116"/>
      <c r="M166" s="54"/>
      <c r="N166" s="204"/>
      <c r="O166" s="224" t="str">
        <f t="shared" si="50"/>
        <v/>
      </c>
    </row>
    <row r="167" spans="2:15" ht="15" x14ac:dyDescent="0.25">
      <c r="B167" s="51"/>
      <c r="C167" s="4"/>
      <c r="D167" s="4"/>
      <c r="E167" s="4"/>
      <c r="F167" s="57"/>
      <c r="G167" s="68"/>
      <c r="H167" s="10" t="s">
        <v>15</v>
      </c>
      <c r="I167" s="111" t="s">
        <v>384</v>
      </c>
      <c r="J167" s="47"/>
      <c r="K167" s="166" t="s">
        <v>384</v>
      </c>
      <c r="L167" s="111"/>
      <c r="M167" s="47"/>
      <c r="N167" s="206"/>
      <c r="O167" s="224"/>
    </row>
    <row r="168" spans="2:15" ht="15" x14ac:dyDescent="0.25">
      <c r="B168" s="51"/>
      <c r="C168" s="4"/>
      <c r="D168" s="4"/>
      <c r="E168" s="4"/>
      <c r="F168" s="57"/>
      <c r="G168" s="68"/>
      <c r="H168" s="4" t="s">
        <v>24</v>
      </c>
      <c r="I168" s="110">
        <f t="shared" ref="I168:N168" si="75">I145+I149+I152+I163</f>
        <v>2393820</v>
      </c>
      <c r="J168" s="52">
        <f t="shared" si="75"/>
        <v>0</v>
      </c>
      <c r="K168" s="165">
        <f t="shared" si="75"/>
        <v>2393820</v>
      </c>
      <c r="L168" s="110">
        <f t="shared" si="75"/>
        <v>0</v>
      </c>
      <c r="M168" s="52">
        <f t="shared" si="75"/>
        <v>0</v>
      </c>
      <c r="N168" s="205">
        <f t="shared" si="75"/>
        <v>0</v>
      </c>
      <c r="O168" s="228">
        <f t="shared" si="50"/>
        <v>0</v>
      </c>
    </row>
    <row r="169" spans="2:15" ht="15" x14ac:dyDescent="0.25">
      <c r="B169" s="51"/>
      <c r="C169" s="4"/>
      <c r="D169" s="4"/>
      <c r="E169" s="4"/>
      <c r="F169" s="57"/>
      <c r="G169" s="68"/>
      <c r="H169" s="4" t="s">
        <v>16</v>
      </c>
      <c r="I169" s="110"/>
      <c r="J169" s="52"/>
      <c r="K169" s="165"/>
      <c r="L169" s="110"/>
      <c r="M169" s="52"/>
      <c r="N169" s="205"/>
      <c r="O169" s="224" t="str">
        <f t="shared" si="50"/>
        <v/>
      </c>
    </row>
    <row r="170" spans="2:15" ht="14.25" x14ac:dyDescent="0.2">
      <c r="B170" s="51"/>
      <c r="C170" s="4"/>
      <c r="D170" s="4"/>
      <c r="E170" s="4"/>
      <c r="F170" s="57"/>
      <c r="G170" s="68"/>
      <c r="H170" s="4" t="s">
        <v>17</v>
      </c>
      <c r="I170" s="108"/>
      <c r="J170" s="46"/>
      <c r="K170" s="164"/>
      <c r="L170" s="108"/>
      <c r="M170" s="46"/>
      <c r="N170" s="204"/>
      <c r="O170" s="224" t="str">
        <f t="shared" si="50"/>
        <v/>
      </c>
    </row>
    <row r="171" spans="2:15" ht="15" thickBot="1" x14ac:dyDescent="0.25">
      <c r="B171" s="6"/>
      <c r="C171" s="7"/>
      <c r="D171" s="7"/>
      <c r="E171" s="7"/>
      <c r="F171" s="59"/>
      <c r="G171" s="70"/>
      <c r="H171" s="7"/>
      <c r="I171" s="112"/>
      <c r="J171" s="13"/>
      <c r="K171" s="167"/>
      <c r="L171" s="112"/>
      <c r="M171" s="13"/>
      <c r="N171" s="207"/>
      <c r="O171" s="227" t="str">
        <f t="shared" si="50"/>
        <v/>
      </c>
    </row>
    <row r="172" spans="2:15" x14ac:dyDescent="0.2">
      <c r="O172" s="230" t="str">
        <f t="shared" si="50"/>
        <v/>
      </c>
    </row>
    <row r="173" spans="2:15" ht="15" x14ac:dyDescent="0.25">
      <c r="B173" s="2" t="s">
        <v>44</v>
      </c>
      <c r="C173" s="3" t="s">
        <v>45</v>
      </c>
      <c r="D173" s="3" t="s">
        <v>27</v>
      </c>
      <c r="E173" s="136" t="s">
        <v>153</v>
      </c>
      <c r="F173" s="49"/>
      <c r="G173" s="49"/>
      <c r="H173" s="182" t="s">
        <v>184</v>
      </c>
      <c r="I173" s="1"/>
      <c r="J173" s="49"/>
      <c r="K173" s="161"/>
      <c r="L173" s="1"/>
      <c r="M173" s="49"/>
      <c r="N173" s="201"/>
      <c r="O173" s="224" t="str">
        <f t="shared" si="50"/>
        <v/>
      </c>
    </row>
    <row r="174" spans="2:15" ht="15" x14ac:dyDescent="0.25">
      <c r="B174" s="51"/>
      <c r="C174" s="4"/>
      <c r="D174" s="4"/>
      <c r="E174" s="4"/>
      <c r="F174" s="57">
        <v>611000</v>
      </c>
      <c r="G174" s="68"/>
      <c r="H174" s="10" t="s">
        <v>57</v>
      </c>
      <c r="I174" s="106">
        <f>I175+I176</f>
        <v>4235750</v>
      </c>
      <c r="J174" s="32">
        <f t="shared" ref="J174:N174" si="76">SUM(J175:J177)</f>
        <v>0</v>
      </c>
      <c r="K174" s="162">
        <f t="shared" si="76"/>
        <v>4235750</v>
      </c>
      <c r="L174" s="106">
        <f t="shared" si="76"/>
        <v>0</v>
      </c>
      <c r="M174" s="32">
        <f t="shared" si="76"/>
        <v>0</v>
      </c>
      <c r="N174" s="202">
        <f t="shared" si="76"/>
        <v>0</v>
      </c>
      <c r="O174" s="228">
        <f t="shared" si="50"/>
        <v>0</v>
      </c>
    </row>
    <row r="175" spans="2:15" ht="14.25" x14ac:dyDescent="0.2">
      <c r="B175" s="50"/>
      <c r="C175" s="8"/>
      <c r="D175" s="8"/>
      <c r="E175" s="8"/>
      <c r="F175" s="58">
        <v>611100</v>
      </c>
      <c r="G175" s="69"/>
      <c r="H175" s="9" t="s">
        <v>68</v>
      </c>
      <c r="I175" s="107">
        <f>3334600+2*1280+4*1820+2890+3670+2720+190070</f>
        <v>3543790</v>
      </c>
      <c r="J175" s="31">
        <v>0</v>
      </c>
      <c r="K175" s="163">
        <f>SUM(I175:J175)</f>
        <v>3543790</v>
      </c>
      <c r="L175" s="107"/>
      <c r="M175" s="31"/>
      <c r="N175" s="203">
        <f>SUM(L175:M175)</f>
        <v>0</v>
      </c>
      <c r="O175" s="224">
        <f t="shared" ref="O175:O234" si="77">IF(K175=0,"",N175/K175*100)</f>
        <v>0</v>
      </c>
    </row>
    <row r="176" spans="2:15" ht="14.25" x14ac:dyDescent="0.2">
      <c r="B176" s="50"/>
      <c r="C176" s="8"/>
      <c r="D176" s="8"/>
      <c r="E176" s="8"/>
      <c r="F176" s="58">
        <v>611200</v>
      </c>
      <c r="G176" s="69"/>
      <c r="H176" s="9" t="s">
        <v>69</v>
      </c>
      <c r="I176" s="107">
        <f>629000+2*2840+4*4050+6480+7130+12160+8240+7070</f>
        <v>691960</v>
      </c>
      <c r="J176" s="31">
        <v>0</v>
      </c>
      <c r="K176" s="163">
        <f t="shared" ref="K176" si="78">SUM(I176:J176)</f>
        <v>691960</v>
      </c>
      <c r="L176" s="107"/>
      <c r="M176" s="31"/>
      <c r="N176" s="203">
        <f t="shared" ref="N176" si="79">SUM(L176:M176)</f>
        <v>0</v>
      </c>
      <c r="O176" s="224">
        <f t="shared" si="77"/>
        <v>0</v>
      </c>
    </row>
    <row r="177" spans="2:15" ht="14.25" x14ac:dyDescent="0.2">
      <c r="B177" s="50"/>
      <c r="C177" s="8"/>
      <c r="D177" s="8"/>
      <c r="E177" s="8"/>
      <c r="F177" s="58"/>
      <c r="G177" s="69"/>
      <c r="H177" s="9"/>
      <c r="I177" s="107"/>
      <c r="J177" s="31"/>
      <c r="K177" s="163"/>
      <c r="L177" s="107"/>
      <c r="M177" s="31"/>
      <c r="N177" s="203"/>
      <c r="O177" s="224" t="str">
        <f t="shared" si="77"/>
        <v/>
      </c>
    </row>
    <row r="178" spans="2:15" ht="15" x14ac:dyDescent="0.25">
      <c r="B178" s="51"/>
      <c r="C178" s="4"/>
      <c r="D178" s="4"/>
      <c r="E178" s="4"/>
      <c r="F178" s="57">
        <v>612000</v>
      </c>
      <c r="G178" s="68"/>
      <c r="H178" s="10" t="s">
        <v>56</v>
      </c>
      <c r="I178" s="106">
        <f>I179</f>
        <v>181520</v>
      </c>
      <c r="J178" s="32">
        <f t="shared" ref="J178:N178" si="80">J179</f>
        <v>0</v>
      </c>
      <c r="K178" s="162">
        <f t="shared" si="80"/>
        <v>181520</v>
      </c>
      <c r="L178" s="106">
        <f t="shared" si="80"/>
        <v>0</v>
      </c>
      <c r="M178" s="32">
        <f t="shared" si="80"/>
        <v>0</v>
      </c>
      <c r="N178" s="202">
        <f t="shared" si="80"/>
        <v>0</v>
      </c>
      <c r="O178" s="228">
        <f t="shared" si="77"/>
        <v>0</v>
      </c>
    </row>
    <row r="179" spans="2:15" ht="14.25" x14ac:dyDescent="0.2">
      <c r="B179" s="50"/>
      <c r="C179" s="8"/>
      <c r="D179" s="8"/>
      <c r="E179" s="8"/>
      <c r="F179" s="58">
        <v>612100</v>
      </c>
      <c r="G179" s="69"/>
      <c r="H179" s="145" t="s">
        <v>5</v>
      </c>
      <c r="I179" s="107">
        <f>170200+2*210+4*300+9700</f>
        <v>181520</v>
      </c>
      <c r="J179" s="31">
        <v>0</v>
      </c>
      <c r="K179" s="163">
        <f>SUM(I179:J179)</f>
        <v>181520</v>
      </c>
      <c r="L179" s="107"/>
      <c r="M179" s="31"/>
      <c r="N179" s="203">
        <f>SUM(L179:M179)</f>
        <v>0</v>
      </c>
      <c r="O179" s="224">
        <f t="shared" si="77"/>
        <v>0</v>
      </c>
    </row>
    <row r="180" spans="2:15" ht="14.25" x14ac:dyDescent="0.2">
      <c r="B180" s="50"/>
      <c r="C180" s="8"/>
      <c r="D180" s="8"/>
      <c r="E180" s="8"/>
      <c r="F180" s="58"/>
      <c r="G180" s="69"/>
      <c r="H180" s="9"/>
      <c r="I180" s="108"/>
      <c r="J180" s="46"/>
      <c r="K180" s="164"/>
      <c r="L180" s="108"/>
      <c r="M180" s="46"/>
      <c r="N180" s="204"/>
      <c r="O180" s="224" t="str">
        <f t="shared" si="77"/>
        <v/>
      </c>
    </row>
    <row r="181" spans="2:15" ht="15" x14ac:dyDescent="0.25">
      <c r="B181" s="51"/>
      <c r="C181" s="4"/>
      <c r="D181" s="4"/>
      <c r="E181" s="4"/>
      <c r="F181" s="57">
        <v>613000</v>
      </c>
      <c r="G181" s="68"/>
      <c r="H181" s="10" t="s">
        <v>58</v>
      </c>
      <c r="I181" s="109">
        <f>SUM(I182:I190)</f>
        <v>241500</v>
      </c>
      <c r="J181" s="55">
        <f t="shared" ref="J181:N181" si="81">SUM(J182:J190)</f>
        <v>0</v>
      </c>
      <c r="K181" s="165">
        <f t="shared" si="81"/>
        <v>241500</v>
      </c>
      <c r="L181" s="109">
        <f t="shared" si="81"/>
        <v>0</v>
      </c>
      <c r="M181" s="55">
        <f t="shared" si="81"/>
        <v>0</v>
      </c>
      <c r="N181" s="205">
        <f t="shared" si="81"/>
        <v>0</v>
      </c>
      <c r="O181" s="228">
        <f t="shared" si="77"/>
        <v>0</v>
      </c>
    </row>
    <row r="182" spans="2:15" ht="14.25" x14ac:dyDescent="0.2">
      <c r="B182" s="50"/>
      <c r="C182" s="8"/>
      <c r="D182" s="8"/>
      <c r="E182" s="8"/>
      <c r="F182" s="58">
        <v>613100</v>
      </c>
      <c r="G182" s="69"/>
      <c r="H182" s="9" t="s">
        <v>6</v>
      </c>
      <c r="I182" s="99">
        <v>11000</v>
      </c>
      <c r="J182" s="82">
        <v>0</v>
      </c>
      <c r="K182" s="163">
        <f t="shared" ref="K182:K190" si="82">SUM(I182:J182)</f>
        <v>11000</v>
      </c>
      <c r="L182" s="99"/>
      <c r="M182" s="82"/>
      <c r="N182" s="203">
        <f t="shared" ref="N182:N190" si="83">SUM(L182:M182)</f>
        <v>0</v>
      </c>
      <c r="O182" s="224">
        <f t="shared" si="77"/>
        <v>0</v>
      </c>
    </row>
    <row r="183" spans="2:15" ht="14.25" x14ac:dyDescent="0.2">
      <c r="B183" s="50"/>
      <c r="C183" s="8"/>
      <c r="D183" s="8"/>
      <c r="E183" s="8"/>
      <c r="F183" s="58">
        <v>613200</v>
      </c>
      <c r="G183" s="69"/>
      <c r="H183" s="9" t="s">
        <v>7</v>
      </c>
      <c r="I183" s="99">
        <v>105000</v>
      </c>
      <c r="J183" s="82">
        <v>0</v>
      </c>
      <c r="K183" s="163">
        <f t="shared" si="82"/>
        <v>105000</v>
      </c>
      <c r="L183" s="99"/>
      <c r="M183" s="82"/>
      <c r="N183" s="203">
        <f t="shared" si="83"/>
        <v>0</v>
      </c>
      <c r="O183" s="224">
        <f t="shared" si="77"/>
        <v>0</v>
      </c>
    </row>
    <row r="184" spans="2:15" ht="14.25" x14ac:dyDescent="0.2">
      <c r="B184" s="50"/>
      <c r="C184" s="8"/>
      <c r="D184" s="8"/>
      <c r="E184" s="8"/>
      <c r="F184" s="58">
        <v>613300</v>
      </c>
      <c r="G184" s="69"/>
      <c r="H184" s="9" t="s">
        <v>70</v>
      </c>
      <c r="I184" s="99">
        <v>21500</v>
      </c>
      <c r="J184" s="82">
        <v>0</v>
      </c>
      <c r="K184" s="163">
        <f t="shared" si="82"/>
        <v>21500</v>
      </c>
      <c r="L184" s="99"/>
      <c r="M184" s="82"/>
      <c r="N184" s="203">
        <f t="shared" si="83"/>
        <v>0</v>
      </c>
      <c r="O184" s="224">
        <f t="shared" si="77"/>
        <v>0</v>
      </c>
    </row>
    <row r="185" spans="2:15" ht="14.25" x14ac:dyDescent="0.2">
      <c r="B185" s="50"/>
      <c r="C185" s="8"/>
      <c r="D185" s="8"/>
      <c r="E185" s="8"/>
      <c r="F185" s="58">
        <v>613400</v>
      </c>
      <c r="G185" s="69"/>
      <c r="H185" s="9" t="s">
        <v>59</v>
      </c>
      <c r="I185" s="99">
        <v>26000</v>
      </c>
      <c r="J185" s="82">
        <v>0</v>
      </c>
      <c r="K185" s="163">
        <f t="shared" si="82"/>
        <v>26000</v>
      </c>
      <c r="L185" s="99"/>
      <c r="M185" s="82"/>
      <c r="N185" s="203">
        <f t="shared" si="83"/>
        <v>0</v>
      </c>
      <c r="O185" s="224">
        <f t="shared" si="77"/>
        <v>0</v>
      </c>
    </row>
    <row r="186" spans="2:15" ht="14.25" x14ac:dyDescent="0.2">
      <c r="B186" s="50"/>
      <c r="C186" s="8"/>
      <c r="D186" s="8"/>
      <c r="E186" s="8"/>
      <c r="F186" s="58">
        <v>613500</v>
      </c>
      <c r="G186" s="69"/>
      <c r="H186" s="9" t="s">
        <v>8</v>
      </c>
      <c r="I186" s="99">
        <v>3000</v>
      </c>
      <c r="J186" s="82">
        <v>0</v>
      </c>
      <c r="K186" s="163">
        <f t="shared" si="82"/>
        <v>3000</v>
      </c>
      <c r="L186" s="99"/>
      <c r="M186" s="82"/>
      <c r="N186" s="203">
        <f t="shared" si="83"/>
        <v>0</v>
      </c>
      <c r="O186" s="224">
        <f t="shared" si="77"/>
        <v>0</v>
      </c>
    </row>
    <row r="187" spans="2:15" ht="14.25" x14ac:dyDescent="0.2">
      <c r="B187" s="50"/>
      <c r="C187" s="8"/>
      <c r="D187" s="8"/>
      <c r="E187" s="8"/>
      <c r="F187" s="58">
        <v>613600</v>
      </c>
      <c r="G187" s="69"/>
      <c r="H187" s="9" t="s">
        <v>71</v>
      </c>
      <c r="I187" s="99">
        <v>0</v>
      </c>
      <c r="J187" s="82">
        <v>0</v>
      </c>
      <c r="K187" s="163">
        <f t="shared" si="82"/>
        <v>0</v>
      </c>
      <c r="L187" s="99"/>
      <c r="M187" s="82"/>
      <c r="N187" s="203">
        <f t="shared" si="83"/>
        <v>0</v>
      </c>
      <c r="O187" s="224" t="str">
        <f t="shared" si="77"/>
        <v/>
      </c>
    </row>
    <row r="188" spans="2:15" ht="14.25" x14ac:dyDescent="0.2">
      <c r="B188" s="50"/>
      <c r="C188" s="8"/>
      <c r="D188" s="8"/>
      <c r="E188" s="8"/>
      <c r="F188" s="58">
        <v>613700</v>
      </c>
      <c r="G188" s="69"/>
      <c r="H188" s="9" t="s">
        <v>9</v>
      </c>
      <c r="I188" s="99">
        <v>25000</v>
      </c>
      <c r="J188" s="82">
        <v>0</v>
      </c>
      <c r="K188" s="163">
        <f t="shared" si="82"/>
        <v>25000</v>
      </c>
      <c r="L188" s="99"/>
      <c r="M188" s="82"/>
      <c r="N188" s="203">
        <f t="shared" si="83"/>
        <v>0</v>
      </c>
      <c r="O188" s="224">
        <f t="shared" si="77"/>
        <v>0</v>
      </c>
    </row>
    <row r="189" spans="2:15" ht="14.25" x14ac:dyDescent="0.2">
      <c r="B189" s="50"/>
      <c r="C189" s="8"/>
      <c r="D189" s="8"/>
      <c r="E189" s="8"/>
      <c r="F189" s="58">
        <v>613800</v>
      </c>
      <c r="G189" s="69"/>
      <c r="H189" s="9" t="s">
        <v>60</v>
      </c>
      <c r="I189" s="99">
        <v>3500</v>
      </c>
      <c r="J189" s="82">
        <v>0</v>
      </c>
      <c r="K189" s="163">
        <f t="shared" si="82"/>
        <v>3500</v>
      </c>
      <c r="L189" s="99"/>
      <c r="M189" s="82"/>
      <c r="N189" s="203">
        <f t="shared" si="83"/>
        <v>0</v>
      </c>
      <c r="O189" s="224">
        <f t="shared" si="77"/>
        <v>0</v>
      </c>
    </row>
    <row r="190" spans="2:15" ht="14.25" x14ac:dyDescent="0.2">
      <c r="B190" s="50"/>
      <c r="C190" s="8"/>
      <c r="D190" s="8"/>
      <c r="E190" s="8"/>
      <c r="F190" s="58">
        <v>613900</v>
      </c>
      <c r="G190" s="69"/>
      <c r="H190" s="9" t="s">
        <v>61</v>
      </c>
      <c r="I190" s="99">
        <v>46500</v>
      </c>
      <c r="J190" s="82">
        <v>0</v>
      </c>
      <c r="K190" s="163">
        <f t="shared" si="82"/>
        <v>46500</v>
      </c>
      <c r="L190" s="99"/>
      <c r="M190" s="82"/>
      <c r="N190" s="203">
        <f t="shared" si="83"/>
        <v>0</v>
      </c>
      <c r="O190" s="224">
        <f t="shared" si="77"/>
        <v>0</v>
      </c>
    </row>
    <row r="191" spans="2:15" ht="14.25" x14ac:dyDescent="0.2">
      <c r="B191" s="51"/>
      <c r="C191" s="4"/>
      <c r="D191" s="4"/>
      <c r="E191" s="4"/>
      <c r="F191" s="57"/>
      <c r="G191" s="68"/>
      <c r="H191" s="10"/>
      <c r="I191" s="108"/>
      <c r="J191" s="46"/>
      <c r="K191" s="164"/>
      <c r="L191" s="108"/>
      <c r="M191" s="46"/>
      <c r="N191" s="204"/>
      <c r="O191" s="224" t="str">
        <f t="shared" si="77"/>
        <v/>
      </c>
    </row>
    <row r="192" spans="2:15" ht="15" x14ac:dyDescent="0.25">
      <c r="B192" s="51"/>
      <c r="C192" s="4"/>
      <c r="D192" s="4"/>
      <c r="E192" s="4"/>
      <c r="F192" s="57">
        <v>821000</v>
      </c>
      <c r="G192" s="68"/>
      <c r="H192" s="10" t="s">
        <v>12</v>
      </c>
      <c r="I192" s="110">
        <f t="shared" ref="I192" si="84">SUM(I193:I195)</f>
        <v>56002</v>
      </c>
      <c r="J192" s="52">
        <f t="shared" ref="J192:N192" si="85">SUM(J193:J195)</f>
        <v>29338</v>
      </c>
      <c r="K192" s="165">
        <f t="shared" si="85"/>
        <v>85340</v>
      </c>
      <c r="L192" s="110">
        <f t="shared" si="85"/>
        <v>0</v>
      </c>
      <c r="M192" s="52">
        <f t="shared" si="85"/>
        <v>0</v>
      </c>
      <c r="N192" s="205">
        <f t="shared" si="85"/>
        <v>0</v>
      </c>
      <c r="O192" s="228">
        <f t="shared" si="77"/>
        <v>0</v>
      </c>
    </row>
    <row r="193" spans="2:15" ht="14.25" x14ac:dyDescent="0.2">
      <c r="B193" s="50"/>
      <c r="C193" s="8"/>
      <c r="D193" s="8"/>
      <c r="E193" s="8"/>
      <c r="F193" s="58">
        <v>821200</v>
      </c>
      <c r="G193" s="69"/>
      <c r="H193" s="9" t="s">
        <v>13</v>
      </c>
      <c r="I193" s="108">
        <f>27000+7000</f>
        <v>34000</v>
      </c>
      <c r="J193" s="46">
        <v>0</v>
      </c>
      <c r="K193" s="163">
        <f t="shared" ref="K193:K194" si="86">SUM(I193:J193)</f>
        <v>34000</v>
      </c>
      <c r="L193" s="108"/>
      <c r="M193" s="46"/>
      <c r="N193" s="203">
        <f t="shared" ref="N193:N194" si="87">SUM(L193:M193)</f>
        <v>0</v>
      </c>
      <c r="O193" s="224">
        <f t="shared" si="77"/>
        <v>0</v>
      </c>
    </row>
    <row r="194" spans="2:15" ht="14.25" x14ac:dyDescent="0.2">
      <c r="B194" s="50"/>
      <c r="C194" s="8"/>
      <c r="D194" s="8"/>
      <c r="E194" s="8"/>
      <c r="F194" s="58">
        <v>821300</v>
      </c>
      <c r="G194" s="69"/>
      <c r="H194" s="9" t="s">
        <v>14</v>
      </c>
      <c r="I194" s="108">
        <v>22002</v>
      </c>
      <c r="J194" s="46">
        <v>29338</v>
      </c>
      <c r="K194" s="163">
        <f t="shared" si="86"/>
        <v>51340</v>
      </c>
      <c r="L194" s="108"/>
      <c r="M194" s="46"/>
      <c r="N194" s="203">
        <f t="shared" si="87"/>
        <v>0</v>
      </c>
      <c r="O194" s="224">
        <f t="shared" si="77"/>
        <v>0</v>
      </c>
    </row>
    <row r="195" spans="2:15" ht="14.25" x14ac:dyDescent="0.2">
      <c r="B195" s="50"/>
      <c r="C195" s="8"/>
      <c r="D195" s="8"/>
      <c r="E195" s="8"/>
      <c r="F195" s="58"/>
      <c r="G195" s="69"/>
      <c r="H195" s="9"/>
      <c r="I195" s="108"/>
      <c r="J195" s="46"/>
      <c r="K195" s="164"/>
      <c r="L195" s="108"/>
      <c r="M195" s="46"/>
      <c r="N195" s="204"/>
      <c r="O195" s="224" t="str">
        <f t="shared" si="77"/>
        <v/>
      </c>
    </row>
    <row r="196" spans="2:15" ht="15" x14ac:dyDescent="0.25">
      <c r="B196" s="51"/>
      <c r="C196" s="4"/>
      <c r="D196" s="4"/>
      <c r="E196" s="4"/>
      <c r="F196" s="57"/>
      <c r="G196" s="68"/>
      <c r="H196" s="10" t="s">
        <v>15</v>
      </c>
      <c r="I196" s="111" t="s">
        <v>385</v>
      </c>
      <c r="J196" s="47"/>
      <c r="K196" s="166" t="s">
        <v>385</v>
      </c>
      <c r="L196" s="111"/>
      <c r="M196" s="47"/>
      <c r="N196" s="206"/>
      <c r="O196" s="224"/>
    </row>
    <row r="197" spans="2:15" ht="15" x14ac:dyDescent="0.25">
      <c r="B197" s="51"/>
      <c r="C197" s="4"/>
      <c r="D197" s="4"/>
      <c r="E197" s="4"/>
      <c r="F197" s="57"/>
      <c r="G197" s="68"/>
      <c r="H197" s="4" t="s">
        <v>24</v>
      </c>
      <c r="I197" s="110">
        <f t="shared" ref="I197:N197" si="88">I174+I178+I181+I192</f>
        <v>4714772</v>
      </c>
      <c r="J197" s="52">
        <f t="shared" si="88"/>
        <v>29338</v>
      </c>
      <c r="K197" s="165">
        <f t="shared" si="88"/>
        <v>4744110</v>
      </c>
      <c r="L197" s="110">
        <f t="shared" si="88"/>
        <v>0</v>
      </c>
      <c r="M197" s="52">
        <f t="shared" si="88"/>
        <v>0</v>
      </c>
      <c r="N197" s="205">
        <f t="shared" si="88"/>
        <v>0</v>
      </c>
      <c r="O197" s="228">
        <f t="shared" si="77"/>
        <v>0</v>
      </c>
    </row>
    <row r="198" spans="2:15" ht="15" x14ac:dyDescent="0.25">
      <c r="B198" s="51"/>
      <c r="C198" s="4"/>
      <c r="D198" s="4"/>
      <c r="E198" s="4"/>
      <c r="F198" s="57"/>
      <c r="G198" s="68"/>
      <c r="H198" s="4" t="s">
        <v>16</v>
      </c>
      <c r="I198" s="110"/>
      <c r="J198" s="52"/>
      <c r="K198" s="165"/>
      <c r="L198" s="110"/>
      <c r="M198" s="52"/>
      <c r="N198" s="205"/>
      <c r="O198" s="224" t="str">
        <f t="shared" si="77"/>
        <v/>
      </c>
    </row>
    <row r="199" spans="2:15" ht="14.25" x14ac:dyDescent="0.2">
      <c r="B199" s="51"/>
      <c r="C199" s="4"/>
      <c r="D199" s="4"/>
      <c r="E199" s="4"/>
      <c r="F199" s="57"/>
      <c r="G199" s="68"/>
      <c r="H199" s="4" t="s">
        <v>17</v>
      </c>
      <c r="I199" s="108"/>
      <c r="J199" s="46"/>
      <c r="K199" s="164"/>
      <c r="L199" s="108"/>
      <c r="M199" s="46"/>
      <c r="N199" s="204"/>
      <c r="O199" s="224" t="str">
        <f t="shared" si="77"/>
        <v/>
      </c>
    </row>
    <row r="200" spans="2:15" ht="15" thickBot="1" x14ac:dyDescent="0.25">
      <c r="B200" s="6"/>
      <c r="C200" s="7"/>
      <c r="D200" s="7"/>
      <c r="E200" s="7"/>
      <c r="F200" s="59"/>
      <c r="G200" s="70"/>
      <c r="H200" s="7"/>
      <c r="I200" s="6"/>
      <c r="J200" s="7"/>
      <c r="K200" s="169"/>
      <c r="L200" s="6"/>
      <c r="M200" s="7"/>
      <c r="N200" s="215"/>
      <c r="O200" s="227" t="str">
        <f t="shared" si="77"/>
        <v/>
      </c>
    </row>
    <row r="201" spans="2:15" x14ac:dyDescent="0.2">
      <c r="O201" s="230" t="str">
        <f t="shared" si="77"/>
        <v/>
      </c>
    </row>
    <row r="202" spans="2:15" ht="15" x14ac:dyDescent="0.25">
      <c r="B202" s="2" t="s">
        <v>44</v>
      </c>
      <c r="C202" s="3" t="s">
        <v>45</v>
      </c>
      <c r="D202" s="3" t="s">
        <v>32</v>
      </c>
      <c r="E202" s="136" t="s">
        <v>153</v>
      </c>
      <c r="F202" s="49"/>
      <c r="G202" s="49"/>
      <c r="H202" s="182" t="s">
        <v>196</v>
      </c>
      <c r="I202" s="115"/>
      <c r="J202" s="23"/>
      <c r="K202" s="168"/>
      <c r="L202" s="115"/>
      <c r="M202" s="23"/>
      <c r="N202" s="217"/>
      <c r="O202" s="224" t="str">
        <f t="shared" si="77"/>
        <v/>
      </c>
    </row>
    <row r="203" spans="2:15" ht="15" x14ac:dyDescent="0.25">
      <c r="B203" s="51"/>
      <c r="C203" s="4"/>
      <c r="D203" s="4"/>
      <c r="E203" s="4"/>
      <c r="F203" s="57">
        <v>611000</v>
      </c>
      <c r="G203" s="68"/>
      <c r="H203" s="10" t="s">
        <v>57</v>
      </c>
      <c r="I203" s="106">
        <f>I204+I205</f>
        <v>1122890</v>
      </c>
      <c r="J203" s="32">
        <f t="shared" ref="J203:N203" si="89">SUM(J204:J206)</f>
        <v>0</v>
      </c>
      <c r="K203" s="162">
        <f t="shared" si="89"/>
        <v>1122890</v>
      </c>
      <c r="L203" s="106">
        <f t="shared" si="89"/>
        <v>0</v>
      </c>
      <c r="M203" s="32">
        <f t="shared" si="89"/>
        <v>0</v>
      </c>
      <c r="N203" s="202">
        <f t="shared" si="89"/>
        <v>0</v>
      </c>
      <c r="O203" s="228">
        <f t="shared" si="77"/>
        <v>0</v>
      </c>
    </row>
    <row r="204" spans="2:15" ht="14.25" x14ac:dyDescent="0.2">
      <c r="B204" s="50"/>
      <c r="C204" s="8"/>
      <c r="D204" s="8"/>
      <c r="E204" s="8"/>
      <c r="F204" s="58">
        <v>611100</v>
      </c>
      <c r="G204" s="69"/>
      <c r="H204" s="9" t="s">
        <v>68</v>
      </c>
      <c r="I204" s="119">
        <f>899400+1280+2*1820+51270</f>
        <v>955590</v>
      </c>
      <c r="J204" s="34">
        <v>0</v>
      </c>
      <c r="K204" s="163">
        <f>SUM(I204:J204)</f>
        <v>955590</v>
      </c>
      <c r="L204" s="119"/>
      <c r="M204" s="34"/>
      <c r="N204" s="203">
        <f>SUM(L204:M204)</f>
        <v>0</v>
      </c>
      <c r="O204" s="224">
        <f t="shared" si="77"/>
        <v>0</v>
      </c>
    </row>
    <row r="205" spans="2:15" ht="14.25" x14ac:dyDescent="0.2">
      <c r="B205" s="50"/>
      <c r="C205" s="8"/>
      <c r="D205" s="8"/>
      <c r="E205" s="8"/>
      <c r="F205" s="58">
        <v>611200</v>
      </c>
      <c r="G205" s="69"/>
      <c r="H205" s="9" t="s">
        <v>69</v>
      </c>
      <c r="I205" s="119">
        <f>156360+2840+2*4050</f>
        <v>167300</v>
      </c>
      <c r="J205" s="34">
        <v>0</v>
      </c>
      <c r="K205" s="163">
        <f t="shared" ref="K205" si="90">SUM(I205:J205)</f>
        <v>167300</v>
      </c>
      <c r="L205" s="119"/>
      <c r="M205" s="34"/>
      <c r="N205" s="203">
        <f t="shared" ref="N205" si="91">SUM(L205:M205)</f>
        <v>0</v>
      </c>
      <c r="O205" s="224">
        <f t="shared" si="77"/>
        <v>0</v>
      </c>
    </row>
    <row r="206" spans="2:15" ht="14.25" x14ac:dyDescent="0.2">
      <c r="B206" s="50"/>
      <c r="C206" s="8"/>
      <c r="D206" s="8"/>
      <c r="E206" s="8"/>
      <c r="F206" s="58"/>
      <c r="G206" s="69"/>
      <c r="H206" s="9"/>
      <c r="I206" s="119"/>
      <c r="J206" s="34"/>
      <c r="K206" s="163"/>
      <c r="L206" s="119"/>
      <c r="M206" s="34"/>
      <c r="N206" s="203"/>
      <c r="O206" s="224" t="str">
        <f t="shared" si="77"/>
        <v/>
      </c>
    </row>
    <row r="207" spans="2:15" ht="15" x14ac:dyDescent="0.25">
      <c r="B207" s="51"/>
      <c r="C207" s="4"/>
      <c r="D207" s="4"/>
      <c r="E207" s="4"/>
      <c r="F207" s="57">
        <v>612000</v>
      </c>
      <c r="G207" s="68"/>
      <c r="H207" s="10" t="s">
        <v>56</v>
      </c>
      <c r="I207" s="106">
        <f>I208</f>
        <v>47300</v>
      </c>
      <c r="J207" s="32">
        <f t="shared" ref="J207:N207" si="92">J208</f>
        <v>0</v>
      </c>
      <c r="K207" s="162">
        <f t="shared" si="92"/>
        <v>47300</v>
      </c>
      <c r="L207" s="106">
        <f t="shared" si="92"/>
        <v>0</v>
      </c>
      <c r="M207" s="32">
        <f t="shared" si="92"/>
        <v>0</v>
      </c>
      <c r="N207" s="202">
        <f t="shared" si="92"/>
        <v>0</v>
      </c>
      <c r="O207" s="228">
        <f t="shared" si="77"/>
        <v>0</v>
      </c>
    </row>
    <row r="208" spans="2:15" ht="14.25" x14ac:dyDescent="0.2">
      <c r="B208" s="50"/>
      <c r="C208" s="8"/>
      <c r="D208" s="8"/>
      <c r="E208" s="8"/>
      <c r="F208" s="58">
        <v>612100</v>
      </c>
      <c r="G208" s="69"/>
      <c r="H208" s="145" t="s">
        <v>5</v>
      </c>
      <c r="I208" s="119">
        <f>43980+210+2*300+2510</f>
        <v>47300</v>
      </c>
      <c r="J208" s="34">
        <v>0</v>
      </c>
      <c r="K208" s="163">
        <f>SUM(I208:J208)</f>
        <v>47300</v>
      </c>
      <c r="L208" s="119"/>
      <c r="M208" s="34"/>
      <c r="N208" s="203">
        <f>SUM(L208:M208)</f>
        <v>0</v>
      </c>
      <c r="O208" s="224">
        <f t="shared" si="77"/>
        <v>0</v>
      </c>
    </row>
    <row r="209" spans="2:15" ht="14.25" x14ac:dyDescent="0.2">
      <c r="B209" s="50"/>
      <c r="C209" s="8"/>
      <c r="D209" s="8"/>
      <c r="E209" s="8"/>
      <c r="F209" s="58"/>
      <c r="G209" s="69"/>
      <c r="H209" s="9"/>
      <c r="I209" s="116"/>
      <c r="J209" s="54"/>
      <c r="K209" s="164"/>
      <c r="L209" s="116"/>
      <c r="M209" s="54"/>
      <c r="N209" s="204"/>
      <c r="O209" s="224" t="str">
        <f t="shared" si="77"/>
        <v/>
      </c>
    </row>
    <row r="210" spans="2:15" ht="15" x14ac:dyDescent="0.25">
      <c r="B210" s="51"/>
      <c r="C210" s="4"/>
      <c r="D210" s="4"/>
      <c r="E210" s="4"/>
      <c r="F210" s="57">
        <v>613000</v>
      </c>
      <c r="G210" s="68"/>
      <c r="H210" s="10" t="s">
        <v>58</v>
      </c>
      <c r="I210" s="109">
        <f>SUM(I211:I219)</f>
        <v>75500</v>
      </c>
      <c r="J210" s="55">
        <f t="shared" ref="J210:N210" si="93">SUM(J211:J219)</f>
        <v>0</v>
      </c>
      <c r="K210" s="165">
        <f t="shared" si="93"/>
        <v>75500</v>
      </c>
      <c r="L210" s="109">
        <f t="shared" si="93"/>
        <v>0</v>
      </c>
      <c r="M210" s="55">
        <f t="shared" si="93"/>
        <v>0</v>
      </c>
      <c r="N210" s="205">
        <f t="shared" si="93"/>
        <v>0</v>
      </c>
      <c r="O210" s="228">
        <f t="shared" si="77"/>
        <v>0</v>
      </c>
    </row>
    <row r="211" spans="2:15" ht="14.25" x14ac:dyDescent="0.2">
      <c r="B211" s="50"/>
      <c r="C211" s="8"/>
      <c r="D211" s="8"/>
      <c r="E211" s="8"/>
      <c r="F211" s="58">
        <v>613100</v>
      </c>
      <c r="G211" s="69"/>
      <c r="H211" s="9" t="s">
        <v>6</v>
      </c>
      <c r="I211" s="100">
        <v>3000</v>
      </c>
      <c r="J211" s="84">
        <v>0</v>
      </c>
      <c r="K211" s="163">
        <f t="shared" ref="K211:K219" si="94">SUM(I211:J211)</f>
        <v>3000</v>
      </c>
      <c r="L211" s="100"/>
      <c r="M211" s="84"/>
      <c r="N211" s="203">
        <f t="shared" ref="N211:N219" si="95">SUM(L211:M211)</f>
        <v>0</v>
      </c>
      <c r="O211" s="224">
        <f t="shared" si="77"/>
        <v>0</v>
      </c>
    </row>
    <row r="212" spans="2:15" ht="14.25" x14ac:dyDescent="0.2">
      <c r="B212" s="50"/>
      <c r="C212" s="8"/>
      <c r="D212" s="8"/>
      <c r="E212" s="8"/>
      <c r="F212" s="58">
        <v>613200</v>
      </c>
      <c r="G212" s="69"/>
      <c r="H212" s="9" t="s">
        <v>7</v>
      </c>
      <c r="I212" s="100">
        <v>22500</v>
      </c>
      <c r="J212" s="84">
        <v>0</v>
      </c>
      <c r="K212" s="163">
        <f t="shared" si="94"/>
        <v>22500</v>
      </c>
      <c r="L212" s="100"/>
      <c r="M212" s="84"/>
      <c r="N212" s="203">
        <f t="shared" si="95"/>
        <v>0</v>
      </c>
      <c r="O212" s="224">
        <f t="shared" si="77"/>
        <v>0</v>
      </c>
    </row>
    <row r="213" spans="2:15" ht="14.25" x14ac:dyDescent="0.2">
      <c r="B213" s="50"/>
      <c r="C213" s="8"/>
      <c r="D213" s="8"/>
      <c r="E213" s="8"/>
      <c r="F213" s="58">
        <v>613300</v>
      </c>
      <c r="G213" s="69"/>
      <c r="H213" s="9" t="s">
        <v>70</v>
      </c>
      <c r="I213" s="100">
        <v>4000</v>
      </c>
      <c r="J213" s="84">
        <v>0</v>
      </c>
      <c r="K213" s="163">
        <f t="shared" si="94"/>
        <v>4000</v>
      </c>
      <c r="L213" s="100"/>
      <c r="M213" s="84"/>
      <c r="N213" s="203">
        <f t="shared" si="95"/>
        <v>0</v>
      </c>
      <c r="O213" s="224">
        <f t="shared" si="77"/>
        <v>0</v>
      </c>
    </row>
    <row r="214" spans="2:15" ht="14.25" x14ac:dyDescent="0.2">
      <c r="B214" s="50"/>
      <c r="C214" s="8"/>
      <c r="D214" s="8"/>
      <c r="E214" s="8"/>
      <c r="F214" s="58">
        <v>613400</v>
      </c>
      <c r="G214" s="69"/>
      <c r="H214" s="9" t="s">
        <v>59</v>
      </c>
      <c r="I214" s="100">
        <v>14000</v>
      </c>
      <c r="J214" s="84">
        <v>0</v>
      </c>
      <c r="K214" s="163">
        <f t="shared" si="94"/>
        <v>14000</v>
      </c>
      <c r="L214" s="100"/>
      <c r="M214" s="84"/>
      <c r="N214" s="203">
        <f t="shared" si="95"/>
        <v>0</v>
      </c>
      <c r="O214" s="224">
        <f t="shared" si="77"/>
        <v>0</v>
      </c>
    </row>
    <row r="215" spans="2:15" ht="14.25" x14ac:dyDescent="0.2">
      <c r="B215" s="50"/>
      <c r="C215" s="8"/>
      <c r="D215" s="8"/>
      <c r="E215" s="8"/>
      <c r="F215" s="58">
        <v>613500</v>
      </c>
      <c r="G215" s="69"/>
      <c r="H215" s="9" t="s">
        <v>8</v>
      </c>
      <c r="I215" s="100">
        <v>500</v>
      </c>
      <c r="J215" s="84">
        <v>0</v>
      </c>
      <c r="K215" s="163">
        <f t="shared" si="94"/>
        <v>500</v>
      </c>
      <c r="L215" s="100"/>
      <c r="M215" s="84"/>
      <c r="N215" s="203">
        <f t="shared" si="95"/>
        <v>0</v>
      </c>
      <c r="O215" s="224">
        <f t="shared" si="77"/>
        <v>0</v>
      </c>
    </row>
    <row r="216" spans="2:15" ht="14.25" x14ac:dyDescent="0.2">
      <c r="B216" s="50"/>
      <c r="C216" s="8"/>
      <c r="D216" s="8"/>
      <c r="E216" s="8"/>
      <c r="F216" s="58">
        <v>613600</v>
      </c>
      <c r="G216" s="69"/>
      <c r="H216" s="9" t="s">
        <v>71</v>
      </c>
      <c r="I216" s="100">
        <v>0</v>
      </c>
      <c r="J216" s="84">
        <v>0</v>
      </c>
      <c r="K216" s="163">
        <f t="shared" si="94"/>
        <v>0</v>
      </c>
      <c r="L216" s="100"/>
      <c r="M216" s="84"/>
      <c r="N216" s="203">
        <f t="shared" si="95"/>
        <v>0</v>
      </c>
      <c r="O216" s="224" t="str">
        <f t="shared" si="77"/>
        <v/>
      </c>
    </row>
    <row r="217" spans="2:15" ht="14.25" x14ac:dyDescent="0.2">
      <c r="B217" s="50"/>
      <c r="C217" s="8"/>
      <c r="D217" s="8"/>
      <c r="E217" s="8"/>
      <c r="F217" s="58">
        <v>613700</v>
      </c>
      <c r="G217" s="69"/>
      <c r="H217" s="9" t="s">
        <v>9</v>
      </c>
      <c r="I217" s="100">
        <v>14000</v>
      </c>
      <c r="J217" s="84">
        <v>0</v>
      </c>
      <c r="K217" s="163">
        <f t="shared" si="94"/>
        <v>14000</v>
      </c>
      <c r="L217" s="100"/>
      <c r="M217" s="84"/>
      <c r="N217" s="203">
        <f t="shared" si="95"/>
        <v>0</v>
      </c>
      <c r="O217" s="224">
        <f t="shared" si="77"/>
        <v>0</v>
      </c>
    </row>
    <row r="218" spans="2:15" ht="14.25" x14ac:dyDescent="0.2">
      <c r="B218" s="50"/>
      <c r="C218" s="8"/>
      <c r="D218" s="8"/>
      <c r="E218" s="8"/>
      <c r="F218" s="58">
        <v>613800</v>
      </c>
      <c r="G218" s="69"/>
      <c r="H218" s="9" t="s">
        <v>60</v>
      </c>
      <c r="I218" s="100">
        <v>1000</v>
      </c>
      <c r="J218" s="84">
        <v>0</v>
      </c>
      <c r="K218" s="163">
        <f t="shared" si="94"/>
        <v>1000</v>
      </c>
      <c r="L218" s="100"/>
      <c r="M218" s="84"/>
      <c r="N218" s="203">
        <f t="shared" si="95"/>
        <v>0</v>
      </c>
      <c r="O218" s="224">
        <f t="shared" si="77"/>
        <v>0</v>
      </c>
    </row>
    <row r="219" spans="2:15" ht="14.25" x14ac:dyDescent="0.2">
      <c r="B219" s="50"/>
      <c r="C219" s="8"/>
      <c r="D219" s="8"/>
      <c r="E219" s="8"/>
      <c r="F219" s="58">
        <v>613900</v>
      </c>
      <c r="G219" s="69"/>
      <c r="H219" s="9" t="s">
        <v>61</v>
      </c>
      <c r="I219" s="100">
        <v>16500</v>
      </c>
      <c r="J219" s="84">
        <v>0</v>
      </c>
      <c r="K219" s="163">
        <f t="shared" si="94"/>
        <v>16500</v>
      </c>
      <c r="L219" s="100"/>
      <c r="M219" s="84"/>
      <c r="N219" s="203">
        <f t="shared" si="95"/>
        <v>0</v>
      </c>
      <c r="O219" s="224">
        <f t="shared" si="77"/>
        <v>0</v>
      </c>
    </row>
    <row r="220" spans="2:15" ht="14.25" x14ac:dyDescent="0.2">
      <c r="B220" s="51"/>
      <c r="C220" s="4"/>
      <c r="D220" s="4"/>
      <c r="E220" s="4"/>
      <c r="F220" s="57"/>
      <c r="G220" s="68"/>
      <c r="H220" s="10"/>
      <c r="I220" s="116"/>
      <c r="J220" s="54"/>
      <c r="K220" s="164"/>
      <c r="L220" s="116"/>
      <c r="M220" s="54"/>
      <c r="N220" s="204"/>
      <c r="O220" s="224" t="str">
        <f t="shared" si="77"/>
        <v/>
      </c>
    </row>
    <row r="221" spans="2:15" ht="15" x14ac:dyDescent="0.25">
      <c r="B221" s="51"/>
      <c r="C221" s="4"/>
      <c r="D221" s="4"/>
      <c r="E221" s="4"/>
      <c r="F221" s="57">
        <v>821000</v>
      </c>
      <c r="G221" s="68"/>
      <c r="H221" s="10" t="s">
        <v>12</v>
      </c>
      <c r="I221" s="110">
        <f t="shared" ref="I221" si="96">SUM(I222:I223)</f>
        <v>42000</v>
      </c>
      <c r="J221" s="52">
        <f t="shared" ref="J221:N221" si="97">SUM(J222:J223)</f>
        <v>0</v>
      </c>
      <c r="K221" s="165">
        <f t="shared" si="97"/>
        <v>42000</v>
      </c>
      <c r="L221" s="110">
        <f t="shared" si="97"/>
        <v>0</v>
      </c>
      <c r="M221" s="52">
        <f t="shared" si="97"/>
        <v>0</v>
      </c>
      <c r="N221" s="205">
        <f t="shared" si="97"/>
        <v>0</v>
      </c>
      <c r="O221" s="228">
        <f t="shared" si="77"/>
        <v>0</v>
      </c>
    </row>
    <row r="222" spans="2:15" ht="14.25" x14ac:dyDescent="0.2">
      <c r="B222" s="50"/>
      <c r="C222" s="8"/>
      <c r="D222" s="8"/>
      <c r="E222" s="8"/>
      <c r="F222" s="58">
        <v>821200</v>
      </c>
      <c r="G222" s="69"/>
      <c r="H222" s="9" t="s">
        <v>13</v>
      </c>
      <c r="I222" s="116">
        <f>20000+7000</f>
        <v>27000</v>
      </c>
      <c r="J222" s="54">
        <v>0</v>
      </c>
      <c r="K222" s="163">
        <f t="shared" ref="K222:K223" si="98">SUM(I222:J222)</f>
        <v>27000</v>
      </c>
      <c r="L222" s="116"/>
      <c r="M222" s="54"/>
      <c r="N222" s="203">
        <f t="shared" ref="N222:N223" si="99">SUM(L222:M222)</f>
        <v>0</v>
      </c>
      <c r="O222" s="224">
        <f t="shared" si="77"/>
        <v>0</v>
      </c>
    </row>
    <row r="223" spans="2:15" ht="14.25" x14ac:dyDescent="0.2">
      <c r="B223" s="50"/>
      <c r="C223" s="8"/>
      <c r="D223" s="8"/>
      <c r="E223" s="8"/>
      <c r="F223" s="58">
        <v>821300</v>
      </c>
      <c r="G223" s="69"/>
      <c r="H223" s="9" t="s">
        <v>14</v>
      </c>
      <c r="I223" s="116">
        <v>15000</v>
      </c>
      <c r="J223" s="54">
        <v>0</v>
      </c>
      <c r="K223" s="163">
        <f t="shared" si="98"/>
        <v>15000</v>
      </c>
      <c r="L223" s="116"/>
      <c r="M223" s="54"/>
      <c r="N223" s="203">
        <f t="shared" si="99"/>
        <v>0</v>
      </c>
      <c r="O223" s="224">
        <f t="shared" si="77"/>
        <v>0</v>
      </c>
    </row>
    <row r="224" spans="2:15" ht="14.25" x14ac:dyDescent="0.2">
      <c r="B224" s="50"/>
      <c r="C224" s="8"/>
      <c r="D224" s="8"/>
      <c r="E224" s="8"/>
      <c r="F224" s="58"/>
      <c r="G224" s="69"/>
      <c r="H224" s="9"/>
      <c r="I224" s="116"/>
      <c r="J224" s="54"/>
      <c r="K224" s="164"/>
      <c r="L224" s="116"/>
      <c r="M224" s="54"/>
      <c r="N224" s="204"/>
      <c r="O224" s="224" t="str">
        <f t="shared" si="77"/>
        <v/>
      </c>
    </row>
    <row r="225" spans="2:15" ht="15" x14ac:dyDescent="0.25">
      <c r="B225" s="51"/>
      <c r="C225" s="4"/>
      <c r="D225" s="4"/>
      <c r="E225" s="4"/>
      <c r="F225" s="57"/>
      <c r="G225" s="68"/>
      <c r="H225" s="10" t="s">
        <v>15</v>
      </c>
      <c r="I225" s="111" t="s">
        <v>386</v>
      </c>
      <c r="J225" s="47"/>
      <c r="K225" s="166" t="s">
        <v>386</v>
      </c>
      <c r="L225" s="111"/>
      <c r="M225" s="47"/>
      <c r="N225" s="206"/>
      <c r="O225" s="224"/>
    </row>
    <row r="226" spans="2:15" ht="15" x14ac:dyDescent="0.25">
      <c r="B226" s="51"/>
      <c r="C226" s="4"/>
      <c r="D226" s="4"/>
      <c r="E226" s="4"/>
      <c r="F226" s="57"/>
      <c r="G226" s="68"/>
      <c r="H226" s="4" t="s">
        <v>24</v>
      </c>
      <c r="I226" s="110">
        <f t="shared" ref="I226:N226" si="100">I203+I207+I210+I221</f>
        <v>1287690</v>
      </c>
      <c r="J226" s="52">
        <f t="shared" si="100"/>
        <v>0</v>
      </c>
      <c r="K226" s="165">
        <f t="shared" si="100"/>
        <v>1287690</v>
      </c>
      <c r="L226" s="110">
        <f t="shared" si="100"/>
        <v>0</v>
      </c>
      <c r="M226" s="52">
        <f t="shared" si="100"/>
        <v>0</v>
      </c>
      <c r="N226" s="205">
        <f t="shared" si="100"/>
        <v>0</v>
      </c>
      <c r="O226" s="228">
        <f t="shared" si="77"/>
        <v>0</v>
      </c>
    </row>
    <row r="227" spans="2:15" ht="15" x14ac:dyDescent="0.25">
      <c r="B227" s="51"/>
      <c r="C227" s="4"/>
      <c r="D227" s="4"/>
      <c r="E227" s="4"/>
      <c r="F227" s="57"/>
      <c r="G227" s="68"/>
      <c r="H227" s="4" t="s">
        <v>16</v>
      </c>
      <c r="I227" s="110"/>
      <c r="J227" s="52"/>
      <c r="K227" s="165"/>
      <c r="L227" s="110"/>
      <c r="M227" s="52"/>
      <c r="N227" s="205"/>
      <c r="O227" s="224" t="str">
        <f t="shared" si="77"/>
        <v/>
      </c>
    </row>
    <row r="228" spans="2:15" ht="14.25" x14ac:dyDescent="0.2">
      <c r="B228" s="51"/>
      <c r="C228" s="4"/>
      <c r="D228" s="4"/>
      <c r="E228" s="4"/>
      <c r="F228" s="57"/>
      <c r="G228" s="68"/>
      <c r="H228" s="4" t="s">
        <v>17</v>
      </c>
      <c r="I228" s="108"/>
      <c r="J228" s="46"/>
      <c r="K228" s="164"/>
      <c r="L228" s="108"/>
      <c r="M228" s="46"/>
      <c r="N228" s="204"/>
      <c r="O228" s="224" t="str">
        <f t="shared" si="77"/>
        <v/>
      </c>
    </row>
    <row r="229" spans="2:15" ht="15" thickBot="1" x14ac:dyDescent="0.25">
      <c r="B229" s="6"/>
      <c r="C229" s="7"/>
      <c r="D229" s="7"/>
      <c r="E229" s="7"/>
      <c r="F229" s="59"/>
      <c r="G229" s="70"/>
      <c r="H229" s="7"/>
      <c r="I229" s="112"/>
      <c r="J229" s="13"/>
      <c r="K229" s="167"/>
      <c r="L229" s="112"/>
      <c r="M229" s="13"/>
      <c r="N229" s="207"/>
      <c r="O229" s="227" t="str">
        <f t="shared" si="77"/>
        <v/>
      </c>
    </row>
    <row r="230" spans="2:15" x14ac:dyDescent="0.2">
      <c r="O230" s="230" t="str">
        <f t="shared" si="77"/>
        <v/>
      </c>
    </row>
    <row r="231" spans="2:15" ht="15" x14ac:dyDescent="0.25">
      <c r="B231" s="2" t="s">
        <v>44</v>
      </c>
      <c r="C231" s="3" t="s">
        <v>45</v>
      </c>
      <c r="D231" s="3" t="s">
        <v>33</v>
      </c>
      <c r="E231" s="136" t="s">
        <v>153</v>
      </c>
      <c r="F231" s="49"/>
      <c r="G231" s="49"/>
      <c r="H231" s="182" t="s">
        <v>197</v>
      </c>
      <c r="I231" s="115"/>
      <c r="J231" s="23"/>
      <c r="K231" s="168"/>
      <c r="L231" s="115"/>
      <c r="M231" s="23"/>
      <c r="N231" s="217"/>
      <c r="O231" s="224" t="str">
        <f t="shared" si="77"/>
        <v/>
      </c>
    </row>
    <row r="232" spans="2:15" ht="15" x14ac:dyDescent="0.25">
      <c r="B232" s="51"/>
      <c r="C232" s="4"/>
      <c r="D232" s="4"/>
      <c r="E232" s="4"/>
      <c r="F232" s="57">
        <v>611000</v>
      </c>
      <c r="G232" s="68"/>
      <c r="H232" s="10" t="s">
        <v>57</v>
      </c>
      <c r="I232" s="106">
        <f>I233+I234</f>
        <v>1279290</v>
      </c>
      <c r="J232" s="32">
        <f t="shared" ref="J232:N232" si="101">SUM(J233:J234)</f>
        <v>0</v>
      </c>
      <c r="K232" s="162">
        <f t="shared" si="101"/>
        <v>1279290</v>
      </c>
      <c r="L232" s="106">
        <f t="shared" si="101"/>
        <v>0</v>
      </c>
      <c r="M232" s="32">
        <f t="shared" si="101"/>
        <v>0</v>
      </c>
      <c r="N232" s="202">
        <f t="shared" si="101"/>
        <v>0</v>
      </c>
      <c r="O232" s="228">
        <f t="shared" si="77"/>
        <v>0</v>
      </c>
    </row>
    <row r="233" spans="2:15" ht="14.25" x14ac:dyDescent="0.2">
      <c r="B233" s="50"/>
      <c r="C233" s="8"/>
      <c r="D233" s="8"/>
      <c r="E233" s="8"/>
      <c r="F233" s="58">
        <v>611100</v>
      </c>
      <c r="G233" s="69"/>
      <c r="H233" s="9" t="s">
        <v>68</v>
      </c>
      <c r="I233" s="119">
        <f>1004130+730+1280+5*1820+2600+57240</f>
        <v>1075080</v>
      </c>
      <c r="J233" s="34">
        <v>0</v>
      </c>
      <c r="K233" s="163">
        <f>SUM(I233:J233)</f>
        <v>1075080</v>
      </c>
      <c r="L233" s="119"/>
      <c r="M233" s="34"/>
      <c r="N233" s="203">
        <f>SUM(L233:M233)</f>
        <v>0</v>
      </c>
      <c r="O233" s="224">
        <f t="shared" si="77"/>
        <v>0</v>
      </c>
    </row>
    <row r="234" spans="2:15" ht="14.25" x14ac:dyDescent="0.2">
      <c r="B234" s="50"/>
      <c r="C234" s="8"/>
      <c r="D234" s="8"/>
      <c r="E234" s="8"/>
      <c r="F234" s="58">
        <v>611200</v>
      </c>
      <c r="G234" s="69"/>
      <c r="H234" s="9" t="s">
        <v>69</v>
      </c>
      <c r="I234" s="119">
        <f>169740+1620+2840+5*4050+9760</f>
        <v>204210</v>
      </c>
      <c r="J234" s="34">
        <v>0</v>
      </c>
      <c r="K234" s="163">
        <f t="shared" ref="K234" si="102">SUM(I234:J234)</f>
        <v>204210</v>
      </c>
      <c r="L234" s="119"/>
      <c r="M234" s="34"/>
      <c r="N234" s="203">
        <f t="shared" ref="N234" si="103">SUM(L234:M234)</f>
        <v>0</v>
      </c>
      <c r="O234" s="224">
        <f t="shared" si="77"/>
        <v>0</v>
      </c>
    </row>
    <row r="235" spans="2:15" ht="15" x14ac:dyDescent="0.25">
      <c r="B235" s="50"/>
      <c r="C235" s="8"/>
      <c r="D235" s="8"/>
      <c r="E235" s="8"/>
      <c r="F235" s="58"/>
      <c r="G235" s="69"/>
      <c r="H235" s="9"/>
      <c r="I235" s="106"/>
      <c r="J235" s="32"/>
      <c r="K235" s="162"/>
      <c r="L235" s="106"/>
      <c r="M235" s="32"/>
      <c r="N235" s="202"/>
      <c r="O235" s="224" t="str">
        <f t="shared" ref="O235:O293" si="104">IF(K235=0,"",N235/K235*100)</f>
        <v/>
      </c>
    </row>
    <row r="236" spans="2:15" ht="15" x14ac:dyDescent="0.25">
      <c r="B236" s="51"/>
      <c r="C236" s="4"/>
      <c r="D236" s="4"/>
      <c r="E236" s="4"/>
      <c r="F236" s="57">
        <v>612000</v>
      </c>
      <c r="G236" s="68"/>
      <c r="H236" s="10" t="s">
        <v>56</v>
      </c>
      <c r="I236" s="106">
        <f>I237</f>
        <v>53690</v>
      </c>
      <c r="J236" s="32">
        <f t="shared" ref="J236:N236" si="105">J237</f>
        <v>0</v>
      </c>
      <c r="K236" s="162">
        <f t="shared" si="105"/>
        <v>53690</v>
      </c>
      <c r="L236" s="106">
        <f t="shared" si="105"/>
        <v>0</v>
      </c>
      <c r="M236" s="32">
        <f t="shared" si="105"/>
        <v>0</v>
      </c>
      <c r="N236" s="202">
        <f t="shared" si="105"/>
        <v>0</v>
      </c>
      <c r="O236" s="228">
        <f t="shared" si="104"/>
        <v>0</v>
      </c>
    </row>
    <row r="237" spans="2:15" ht="14.25" x14ac:dyDescent="0.2">
      <c r="B237" s="50"/>
      <c r="C237" s="8"/>
      <c r="D237" s="8"/>
      <c r="E237" s="8"/>
      <c r="F237" s="58">
        <v>612100</v>
      </c>
      <c r="G237" s="69"/>
      <c r="H237" s="145" t="s">
        <v>5</v>
      </c>
      <c r="I237" s="119">
        <f>49060+120+210+5*300+2800</f>
        <v>53690</v>
      </c>
      <c r="J237" s="34">
        <v>0</v>
      </c>
      <c r="K237" s="163">
        <f>SUM(I237:J237)</f>
        <v>53690</v>
      </c>
      <c r="L237" s="119"/>
      <c r="M237" s="34"/>
      <c r="N237" s="203">
        <f>SUM(L237:M237)</f>
        <v>0</v>
      </c>
      <c r="O237" s="224">
        <f t="shared" si="104"/>
        <v>0</v>
      </c>
    </row>
    <row r="238" spans="2:15" ht="15" x14ac:dyDescent="0.25">
      <c r="B238" s="50"/>
      <c r="C238" s="8"/>
      <c r="D238" s="8"/>
      <c r="E238" s="8"/>
      <c r="F238" s="58"/>
      <c r="G238" s="69"/>
      <c r="H238" s="9"/>
      <c r="I238" s="110"/>
      <c r="J238" s="52"/>
      <c r="K238" s="165"/>
      <c r="L238" s="110"/>
      <c r="M238" s="52"/>
      <c r="N238" s="205"/>
      <c r="O238" s="224" t="str">
        <f t="shared" si="104"/>
        <v/>
      </c>
    </row>
    <row r="239" spans="2:15" ht="15" x14ac:dyDescent="0.25">
      <c r="B239" s="51"/>
      <c r="C239" s="4"/>
      <c r="D239" s="4"/>
      <c r="E239" s="4"/>
      <c r="F239" s="57">
        <v>613000</v>
      </c>
      <c r="G239" s="68"/>
      <c r="H239" s="10" t="s">
        <v>58</v>
      </c>
      <c r="I239" s="109">
        <f>SUM(I240:I248)</f>
        <v>94000</v>
      </c>
      <c r="J239" s="55">
        <f t="shared" ref="J239:N239" si="106">SUM(J240:J248)</f>
        <v>2880</v>
      </c>
      <c r="K239" s="165">
        <f t="shared" si="106"/>
        <v>96880</v>
      </c>
      <c r="L239" s="109">
        <f t="shared" si="106"/>
        <v>0</v>
      </c>
      <c r="M239" s="55">
        <f t="shared" si="106"/>
        <v>0</v>
      </c>
      <c r="N239" s="205">
        <f t="shared" si="106"/>
        <v>0</v>
      </c>
      <c r="O239" s="228">
        <f t="shared" si="104"/>
        <v>0</v>
      </c>
    </row>
    <row r="240" spans="2:15" ht="14.25" x14ac:dyDescent="0.2">
      <c r="B240" s="50"/>
      <c r="C240" s="8"/>
      <c r="D240" s="8"/>
      <c r="E240" s="8"/>
      <c r="F240" s="58">
        <v>613100</v>
      </c>
      <c r="G240" s="69"/>
      <c r="H240" s="9" t="s">
        <v>6</v>
      </c>
      <c r="I240" s="100">
        <v>4500</v>
      </c>
      <c r="J240" s="84">
        <v>0</v>
      </c>
      <c r="K240" s="163">
        <f t="shared" ref="K240:K248" si="107">SUM(I240:J240)</f>
        <v>4500</v>
      </c>
      <c r="L240" s="100"/>
      <c r="M240" s="84"/>
      <c r="N240" s="203">
        <f t="shared" ref="N240:N248" si="108">SUM(L240:M240)</f>
        <v>0</v>
      </c>
      <c r="O240" s="224">
        <f t="shared" si="104"/>
        <v>0</v>
      </c>
    </row>
    <row r="241" spans="2:15" ht="14.25" x14ac:dyDescent="0.2">
      <c r="B241" s="50"/>
      <c r="C241" s="8"/>
      <c r="D241" s="8"/>
      <c r="E241" s="8"/>
      <c r="F241" s="58">
        <v>613200</v>
      </c>
      <c r="G241" s="69"/>
      <c r="H241" s="9" t="s">
        <v>7</v>
      </c>
      <c r="I241" s="100">
        <v>40000</v>
      </c>
      <c r="J241" s="84">
        <v>0</v>
      </c>
      <c r="K241" s="163">
        <f t="shared" si="107"/>
        <v>40000</v>
      </c>
      <c r="L241" s="100"/>
      <c r="M241" s="84"/>
      <c r="N241" s="203">
        <f t="shared" si="108"/>
        <v>0</v>
      </c>
      <c r="O241" s="224">
        <f t="shared" si="104"/>
        <v>0</v>
      </c>
    </row>
    <row r="242" spans="2:15" ht="14.25" x14ac:dyDescent="0.2">
      <c r="B242" s="50"/>
      <c r="C242" s="8"/>
      <c r="D242" s="8"/>
      <c r="E242" s="8"/>
      <c r="F242" s="58">
        <v>613300</v>
      </c>
      <c r="G242" s="69"/>
      <c r="H242" s="9" t="s">
        <v>70</v>
      </c>
      <c r="I242" s="100">
        <v>3000</v>
      </c>
      <c r="J242" s="84">
        <v>0</v>
      </c>
      <c r="K242" s="163">
        <f t="shared" si="107"/>
        <v>3000</v>
      </c>
      <c r="L242" s="100"/>
      <c r="M242" s="84"/>
      <c r="N242" s="203">
        <f t="shared" si="108"/>
        <v>0</v>
      </c>
      <c r="O242" s="224">
        <f t="shared" si="104"/>
        <v>0</v>
      </c>
    </row>
    <row r="243" spans="2:15" ht="14.25" x14ac:dyDescent="0.2">
      <c r="B243" s="50"/>
      <c r="C243" s="8"/>
      <c r="D243" s="8"/>
      <c r="E243" s="8"/>
      <c r="F243" s="58">
        <v>613400</v>
      </c>
      <c r="G243" s="69"/>
      <c r="H243" s="9" t="s">
        <v>59</v>
      </c>
      <c r="I243" s="100">
        <v>13000</v>
      </c>
      <c r="J243" s="84">
        <v>0</v>
      </c>
      <c r="K243" s="163">
        <f t="shared" si="107"/>
        <v>13000</v>
      </c>
      <c r="L243" s="100"/>
      <c r="M243" s="84"/>
      <c r="N243" s="203">
        <f t="shared" si="108"/>
        <v>0</v>
      </c>
      <c r="O243" s="224">
        <f t="shared" si="104"/>
        <v>0</v>
      </c>
    </row>
    <row r="244" spans="2:15" ht="14.25" x14ac:dyDescent="0.2">
      <c r="B244" s="50"/>
      <c r="C244" s="8"/>
      <c r="D244" s="8"/>
      <c r="E244" s="8"/>
      <c r="F244" s="58">
        <v>613500</v>
      </c>
      <c r="G244" s="69"/>
      <c r="H244" s="9" t="s">
        <v>8</v>
      </c>
      <c r="I244" s="100">
        <v>500</v>
      </c>
      <c r="J244" s="84">
        <v>0</v>
      </c>
      <c r="K244" s="163">
        <f t="shared" si="107"/>
        <v>500</v>
      </c>
      <c r="L244" s="100"/>
      <c r="M244" s="84"/>
      <c r="N244" s="203">
        <f t="shared" si="108"/>
        <v>0</v>
      </c>
      <c r="O244" s="224">
        <f t="shared" si="104"/>
        <v>0</v>
      </c>
    </row>
    <row r="245" spans="2:15" ht="14.25" x14ac:dyDescent="0.2">
      <c r="B245" s="50"/>
      <c r="C245" s="8"/>
      <c r="D245" s="8"/>
      <c r="E245" s="8"/>
      <c r="F245" s="58">
        <v>613600</v>
      </c>
      <c r="G245" s="69"/>
      <c r="H245" s="9" t="s">
        <v>71</v>
      </c>
      <c r="I245" s="100">
        <v>0</v>
      </c>
      <c r="J245" s="84">
        <v>0</v>
      </c>
      <c r="K245" s="163">
        <f t="shared" si="107"/>
        <v>0</v>
      </c>
      <c r="L245" s="100"/>
      <c r="M245" s="84"/>
      <c r="N245" s="203">
        <f t="shared" si="108"/>
        <v>0</v>
      </c>
      <c r="O245" s="224" t="str">
        <f t="shared" si="104"/>
        <v/>
      </c>
    </row>
    <row r="246" spans="2:15" ht="14.25" x14ac:dyDescent="0.2">
      <c r="B246" s="50"/>
      <c r="C246" s="8"/>
      <c r="D246" s="8"/>
      <c r="E246" s="8"/>
      <c r="F246" s="58">
        <v>613700</v>
      </c>
      <c r="G246" s="69"/>
      <c r="H246" s="9" t="s">
        <v>9</v>
      </c>
      <c r="I246" s="100">
        <v>10500</v>
      </c>
      <c r="J246" s="84">
        <v>0</v>
      </c>
      <c r="K246" s="163">
        <f t="shared" si="107"/>
        <v>10500</v>
      </c>
      <c r="L246" s="100"/>
      <c r="M246" s="84"/>
      <c r="N246" s="203">
        <f t="shared" si="108"/>
        <v>0</v>
      </c>
      <c r="O246" s="224">
        <f t="shared" si="104"/>
        <v>0</v>
      </c>
    </row>
    <row r="247" spans="2:15" ht="14.25" x14ac:dyDescent="0.2">
      <c r="B247" s="50"/>
      <c r="C247" s="8"/>
      <c r="D247" s="8"/>
      <c r="E247" s="8"/>
      <c r="F247" s="58">
        <v>613800</v>
      </c>
      <c r="G247" s="69"/>
      <c r="H247" s="9" t="s">
        <v>60</v>
      </c>
      <c r="I247" s="100">
        <v>1000</v>
      </c>
      <c r="J247" s="84">
        <v>0</v>
      </c>
      <c r="K247" s="163">
        <f t="shared" si="107"/>
        <v>1000</v>
      </c>
      <c r="L247" s="100"/>
      <c r="M247" s="84"/>
      <c r="N247" s="203">
        <f t="shared" si="108"/>
        <v>0</v>
      </c>
      <c r="O247" s="224">
        <f t="shared" si="104"/>
        <v>0</v>
      </c>
    </row>
    <row r="248" spans="2:15" ht="14.25" x14ac:dyDescent="0.2">
      <c r="B248" s="50"/>
      <c r="C248" s="8"/>
      <c r="D248" s="8"/>
      <c r="E248" s="8"/>
      <c r="F248" s="58">
        <v>613900</v>
      </c>
      <c r="G248" s="69"/>
      <c r="H248" s="9" t="s">
        <v>61</v>
      </c>
      <c r="I248" s="100">
        <f>24380-2880</f>
        <v>21500</v>
      </c>
      <c r="J248" s="84">
        <v>2880</v>
      </c>
      <c r="K248" s="163">
        <f t="shared" si="107"/>
        <v>24380</v>
      </c>
      <c r="L248" s="100"/>
      <c r="M248" s="84"/>
      <c r="N248" s="203">
        <f t="shared" si="108"/>
        <v>0</v>
      </c>
      <c r="O248" s="224">
        <f t="shared" si="104"/>
        <v>0</v>
      </c>
    </row>
    <row r="249" spans="2:15" ht="14.25" x14ac:dyDescent="0.2">
      <c r="B249" s="51"/>
      <c r="C249" s="4"/>
      <c r="D249" s="4"/>
      <c r="E249" s="4"/>
      <c r="F249" s="57"/>
      <c r="G249" s="68"/>
      <c r="H249" s="10"/>
      <c r="I249" s="116"/>
      <c r="J249" s="54"/>
      <c r="K249" s="164"/>
      <c r="L249" s="116"/>
      <c r="M249" s="54"/>
      <c r="N249" s="204"/>
      <c r="O249" s="224" t="str">
        <f t="shared" si="104"/>
        <v/>
      </c>
    </row>
    <row r="250" spans="2:15" ht="15" x14ac:dyDescent="0.25">
      <c r="B250" s="51"/>
      <c r="C250" s="4"/>
      <c r="D250" s="4"/>
      <c r="E250" s="4"/>
      <c r="F250" s="57">
        <v>821000</v>
      </c>
      <c r="G250" s="68"/>
      <c r="H250" s="10" t="s">
        <v>12</v>
      </c>
      <c r="I250" s="110">
        <f t="shared" ref="I250" si="109">SUM(I251:I252)</f>
        <v>32100</v>
      </c>
      <c r="J250" s="52">
        <f t="shared" ref="J250:N250" si="110">SUM(J251:J252)</f>
        <v>1700</v>
      </c>
      <c r="K250" s="165">
        <f t="shared" si="110"/>
        <v>33800</v>
      </c>
      <c r="L250" s="110">
        <f t="shared" si="110"/>
        <v>0</v>
      </c>
      <c r="M250" s="52">
        <f t="shared" si="110"/>
        <v>0</v>
      </c>
      <c r="N250" s="205">
        <f t="shared" si="110"/>
        <v>0</v>
      </c>
      <c r="O250" s="228">
        <f t="shared" si="104"/>
        <v>0</v>
      </c>
    </row>
    <row r="251" spans="2:15" ht="14.25" x14ac:dyDescent="0.2">
      <c r="B251" s="50"/>
      <c r="C251" s="8"/>
      <c r="D251" s="8"/>
      <c r="E251" s="8"/>
      <c r="F251" s="58">
        <v>821200</v>
      </c>
      <c r="G251" s="69"/>
      <c r="H251" s="9" t="s">
        <v>13</v>
      </c>
      <c r="I251" s="116">
        <f>13100+7000</f>
        <v>20100</v>
      </c>
      <c r="J251" s="54">
        <v>0</v>
      </c>
      <c r="K251" s="163">
        <f t="shared" ref="K251:K252" si="111">SUM(I251:J251)</f>
        <v>20100</v>
      </c>
      <c r="L251" s="116"/>
      <c r="M251" s="54"/>
      <c r="N251" s="203">
        <f t="shared" ref="N251:N252" si="112">SUM(L251:M251)</f>
        <v>0</v>
      </c>
      <c r="O251" s="224">
        <f t="shared" si="104"/>
        <v>0</v>
      </c>
    </row>
    <row r="252" spans="2:15" ht="14.25" x14ac:dyDescent="0.2">
      <c r="B252" s="50"/>
      <c r="C252" s="8"/>
      <c r="D252" s="8"/>
      <c r="E252" s="8"/>
      <c r="F252" s="58">
        <v>821300</v>
      </c>
      <c r="G252" s="69"/>
      <c r="H252" s="9" t="s">
        <v>14</v>
      </c>
      <c r="I252" s="116">
        <v>12000</v>
      </c>
      <c r="J252" s="54">
        <v>1700</v>
      </c>
      <c r="K252" s="163">
        <f t="shared" si="111"/>
        <v>13700</v>
      </c>
      <c r="L252" s="116"/>
      <c r="M252" s="54"/>
      <c r="N252" s="203">
        <f t="shared" si="112"/>
        <v>0</v>
      </c>
      <c r="O252" s="224">
        <f t="shared" si="104"/>
        <v>0</v>
      </c>
    </row>
    <row r="253" spans="2:15" ht="14.25" x14ac:dyDescent="0.2">
      <c r="B253" s="50"/>
      <c r="C253" s="8"/>
      <c r="D253" s="8"/>
      <c r="E253" s="8"/>
      <c r="F253" s="58"/>
      <c r="G253" s="69"/>
      <c r="H253" s="9"/>
      <c r="I253" s="116"/>
      <c r="J253" s="54"/>
      <c r="K253" s="164"/>
      <c r="L253" s="116"/>
      <c r="M253" s="54"/>
      <c r="N253" s="204"/>
      <c r="O253" s="224" t="str">
        <f t="shared" si="104"/>
        <v/>
      </c>
    </row>
    <row r="254" spans="2:15" ht="15" x14ac:dyDescent="0.25">
      <c r="B254" s="51"/>
      <c r="C254" s="4"/>
      <c r="D254" s="4"/>
      <c r="E254" s="4"/>
      <c r="F254" s="57"/>
      <c r="G254" s="68"/>
      <c r="H254" s="10" t="s">
        <v>15</v>
      </c>
      <c r="I254" s="111" t="s">
        <v>387</v>
      </c>
      <c r="J254" s="47"/>
      <c r="K254" s="166" t="s">
        <v>387</v>
      </c>
      <c r="L254" s="111"/>
      <c r="M254" s="47"/>
      <c r="N254" s="206"/>
      <c r="O254" s="224"/>
    </row>
    <row r="255" spans="2:15" ht="15" x14ac:dyDescent="0.25">
      <c r="B255" s="51"/>
      <c r="C255" s="4"/>
      <c r="D255" s="4"/>
      <c r="E255" s="4"/>
      <c r="F255" s="57"/>
      <c r="G255" s="68"/>
      <c r="H255" s="4" t="s">
        <v>24</v>
      </c>
      <c r="I255" s="110">
        <f t="shared" ref="I255:N255" si="113">I232+I236+I239+I250</f>
        <v>1459080</v>
      </c>
      <c r="J255" s="52">
        <f t="shared" si="113"/>
        <v>4580</v>
      </c>
      <c r="K255" s="165">
        <f t="shared" si="113"/>
        <v>1463660</v>
      </c>
      <c r="L255" s="110">
        <f t="shared" si="113"/>
        <v>0</v>
      </c>
      <c r="M255" s="52">
        <f t="shared" si="113"/>
        <v>0</v>
      </c>
      <c r="N255" s="205">
        <f t="shared" si="113"/>
        <v>0</v>
      </c>
      <c r="O255" s="228">
        <f t="shared" si="104"/>
        <v>0</v>
      </c>
    </row>
    <row r="256" spans="2:15" ht="15" x14ac:dyDescent="0.25">
      <c r="B256" s="51"/>
      <c r="C256" s="4"/>
      <c r="D256" s="4"/>
      <c r="E256" s="4"/>
      <c r="F256" s="57"/>
      <c r="G256" s="68"/>
      <c r="H256" s="4" t="s">
        <v>16</v>
      </c>
      <c r="I256" s="110"/>
      <c r="J256" s="52"/>
      <c r="K256" s="165"/>
      <c r="L256" s="110"/>
      <c r="M256" s="52"/>
      <c r="N256" s="205"/>
      <c r="O256" s="224" t="str">
        <f t="shared" si="104"/>
        <v/>
      </c>
    </row>
    <row r="257" spans="2:15" ht="14.25" x14ac:dyDescent="0.2">
      <c r="B257" s="51"/>
      <c r="C257" s="4"/>
      <c r="D257" s="4"/>
      <c r="E257" s="4"/>
      <c r="F257" s="57"/>
      <c r="G257" s="68"/>
      <c r="H257" s="4" t="s">
        <v>17</v>
      </c>
      <c r="I257" s="108"/>
      <c r="J257" s="46"/>
      <c r="K257" s="164"/>
      <c r="L257" s="108"/>
      <c r="M257" s="46"/>
      <c r="N257" s="204"/>
      <c r="O257" s="224" t="str">
        <f t="shared" si="104"/>
        <v/>
      </c>
    </row>
    <row r="258" spans="2:15" ht="15" thickBot="1" x14ac:dyDescent="0.25">
      <c r="B258" s="6"/>
      <c r="C258" s="7"/>
      <c r="D258" s="7"/>
      <c r="E258" s="7"/>
      <c r="F258" s="59"/>
      <c r="G258" s="70"/>
      <c r="H258" s="7"/>
      <c r="I258" s="112"/>
      <c r="J258" s="13"/>
      <c r="K258" s="167"/>
      <c r="L258" s="112"/>
      <c r="M258" s="13"/>
      <c r="N258" s="207"/>
      <c r="O258" s="227" t="str">
        <f t="shared" si="104"/>
        <v/>
      </c>
    </row>
    <row r="259" spans="2:15" x14ac:dyDescent="0.2">
      <c r="O259" s="230" t="str">
        <f t="shared" si="104"/>
        <v/>
      </c>
    </row>
    <row r="260" spans="2:15" ht="15" x14ac:dyDescent="0.25">
      <c r="B260" s="2" t="s">
        <v>44</v>
      </c>
      <c r="C260" s="3" t="s">
        <v>45</v>
      </c>
      <c r="D260" s="3" t="s">
        <v>46</v>
      </c>
      <c r="E260" s="136" t="s">
        <v>153</v>
      </c>
      <c r="F260" s="49"/>
      <c r="G260" s="49"/>
      <c r="H260" s="182" t="s">
        <v>198</v>
      </c>
      <c r="I260" s="115"/>
      <c r="J260" s="23"/>
      <c r="K260" s="168"/>
      <c r="L260" s="115"/>
      <c r="M260" s="23"/>
      <c r="N260" s="217"/>
      <c r="O260" s="224" t="str">
        <f t="shared" si="104"/>
        <v/>
      </c>
    </row>
    <row r="261" spans="2:15" ht="15" x14ac:dyDescent="0.25">
      <c r="B261" s="51"/>
      <c r="C261" s="4"/>
      <c r="D261" s="4"/>
      <c r="E261" s="4"/>
      <c r="F261" s="57">
        <v>611000</v>
      </c>
      <c r="G261" s="68"/>
      <c r="H261" s="10" t="s">
        <v>57</v>
      </c>
      <c r="I261" s="106">
        <f>I262+I263</f>
        <v>1376740</v>
      </c>
      <c r="J261" s="32">
        <f t="shared" ref="J261:N261" si="114">SUM(J262:J263)</f>
        <v>0</v>
      </c>
      <c r="K261" s="162">
        <f t="shared" si="114"/>
        <v>1376740</v>
      </c>
      <c r="L261" s="106">
        <f t="shared" si="114"/>
        <v>0</v>
      </c>
      <c r="M261" s="32">
        <f t="shared" si="114"/>
        <v>0</v>
      </c>
      <c r="N261" s="202">
        <f t="shared" si="114"/>
        <v>0</v>
      </c>
      <c r="O261" s="228">
        <f t="shared" si="104"/>
        <v>0</v>
      </c>
    </row>
    <row r="262" spans="2:15" ht="14.25" x14ac:dyDescent="0.2">
      <c r="B262" s="50"/>
      <c r="C262" s="8"/>
      <c r="D262" s="8"/>
      <c r="E262" s="8"/>
      <c r="F262" s="58">
        <v>611100</v>
      </c>
      <c r="G262" s="69"/>
      <c r="H262" s="9" t="s">
        <v>68</v>
      </c>
      <c r="I262" s="119">
        <f>1094030+2*730+1280+1820+520+62360</f>
        <v>1161470</v>
      </c>
      <c r="J262" s="34">
        <v>0</v>
      </c>
      <c r="K262" s="163">
        <f>SUM(I262:J262)</f>
        <v>1161470</v>
      </c>
      <c r="L262" s="119"/>
      <c r="M262" s="34"/>
      <c r="N262" s="203">
        <f>SUM(L262:M262)</f>
        <v>0</v>
      </c>
      <c r="O262" s="224">
        <f t="shared" si="104"/>
        <v>0</v>
      </c>
    </row>
    <row r="263" spans="2:15" ht="14.25" x14ac:dyDescent="0.2">
      <c r="B263" s="50"/>
      <c r="C263" s="8"/>
      <c r="D263" s="8"/>
      <c r="E263" s="8"/>
      <c r="F263" s="58">
        <v>611200</v>
      </c>
      <c r="G263" s="69"/>
      <c r="H263" s="9" t="s">
        <v>69</v>
      </c>
      <c r="I263" s="119">
        <f>205140+2*1620+2840+4050</f>
        <v>215270</v>
      </c>
      <c r="J263" s="34">
        <v>0</v>
      </c>
      <c r="K263" s="163">
        <f t="shared" ref="K263" si="115">SUM(I263:J263)</f>
        <v>215270</v>
      </c>
      <c r="L263" s="119"/>
      <c r="M263" s="34"/>
      <c r="N263" s="203">
        <f t="shared" ref="N263" si="116">SUM(L263:M263)</f>
        <v>0</v>
      </c>
      <c r="O263" s="224">
        <f t="shared" si="104"/>
        <v>0</v>
      </c>
    </row>
    <row r="264" spans="2:15" ht="15" x14ac:dyDescent="0.25">
      <c r="B264" s="50"/>
      <c r="C264" s="8"/>
      <c r="D264" s="8"/>
      <c r="E264" s="8"/>
      <c r="F264" s="58"/>
      <c r="G264" s="69"/>
      <c r="H264" s="9"/>
      <c r="I264" s="106"/>
      <c r="J264" s="32"/>
      <c r="K264" s="162"/>
      <c r="L264" s="106"/>
      <c r="M264" s="32"/>
      <c r="N264" s="202"/>
      <c r="O264" s="224" t="str">
        <f t="shared" si="104"/>
        <v/>
      </c>
    </row>
    <row r="265" spans="2:15" ht="15" x14ac:dyDescent="0.25">
      <c r="B265" s="51"/>
      <c r="C265" s="4"/>
      <c r="D265" s="4"/>
      <c r="E265" s="4"/>
      <c r="F265" s="57">
        <v>612000</v>
      </c>
      <c r="G265" s="68"/>
      <c r="H265" s="10" t="s">
        <v>56</v>
      </c>
      <c r="I265" s="106">
        <f>I266</f>
        <v>61710</v>
      </c>
      <c r="J265" s="32">
        <f t="shared" ref="J265:N265" si="117">J266</f>
        <v>0</v>
      </c>
      <c r="K265" s="162">
        <f t="shared" si="117"/>
        <v>61710</v>
      </c>
      <c r="L265" s="106">
        <f t="shared" si="117"/>
        <v>0</v>
      </c>
      <c r="M265" s="32">
        <f t="shared" si="117"/>
        <v>0</v>
      </c>
      <c r="N265" s="202">
        <f t="shared" si="117"/>
        <v>0</v>
      </c>
      <c r="O265" s="228">
        <f t="shared" si="104"/>
        <v>0</v>
      </c>
    </row>
    <row r="266" spans="2:15" ht="14.25" x14ac:dyDescent="0.2">
      <c r="B266" s="50"/>
      <c r="C266" s="8"/>
      <c r="D266" s="8"/>
      <c r="E266" s="8"/>
      <c r="F266" s="58">
        <v>612100</v>
      </c>
      <c r="G266" s="69"/>
      <c r="H266" s="145" t="s">
        <v>5</v>
      </c>
      <c r="I266" s="119">
        <f>57670+2*120+210+300+3290</f>
        <v>61710</v>
      </c>
      <c r="J266" s="34">
        <v>0</v>
      </c>
      <c r="K266" s="163">
        <f>SUM(I266:J266)</f>
        <v>61710</v>
      </c>
      <c r="L266" s="119"/>
      <c r="M266" s="34"/>
      <c r="N266" s="203">
        <f>SUM(L266:M266)</f>
        <v>0</v>
      </c>
      <c r="O266" s="224">
        <f t="shared" si="104"/>
        <v>0</v>
      </c>
    </row>
    <row r="267" spans="2:15" ht="15" x14ac:dyDescent="0.25">
      <c r="B267" s="50"/>
      <c r="C267" s="8"/>
      <c r="D267" s="8"/>
      <c r="E267" s="8"/>
      <c r="F267" s="58"/>
      <c r="G267" s="69"/>
      <c r="H267" s="9"/>
      <c r="I267" s="110"/>
      <c r="J267" s="52"/>
      <c r="K267" s="165"/>
      <c r="L267" s="110"/>
      <c r="M267" s="52"/>
      <c r="N267" s="205"/>
      <c r="O267" s="224" t="str">
        <f t="shared" si="104"/>
        <v/>
      </c>
    </row>
    <row r="268" spans="2:15" ht="15" x14ac:dyDescent="0.25">
      <c r="B268" s="51"/>
      <c r="C268" s="4"/>
      <c r="D268" s="4"/>
      <c r="E268" s="4"/>
      <c r="F268" s="57">
        <v>613000</v>
      </c>
      <c r="G268" s="68"/>
      <c r="H268" s="10" t="s">
        <v>58</v>
      </c>
      <c r="I268" s="109">
        <f>SUM(I269:I277)</f>
        <v>124700</v>
      </c>
      <c r="J268" s="55">
        <f t="shared" ref="J268:N268" si="118">SUM(J269:J277)</f>
        <v>0</v>
      </c>
      <c r="K268" s="165">
        <f t="shared" si="118"/>
        <v>124700</v>
      </c>
      <c r="L268" s="109">
        <f t="shared" si="118"/>
        <v>0</v>
      </c>
      <c r="M268" s="55">
        <f t="shared" si="118"/>
        <v>0</v>
      </c>
      <c r="N268" s="205">
        <f t="shared" si="118"/>
        <v>0</v>
      </c>
      <c r="O268" s="228">
        <f t="shared" si="104"/>
        <v>0</v>
      </c>
    </row>
    <row r="269" spans="2:15" ht="14.25" x14ac:dyDescent="0.2">
      <c r="B269" s="50"/>
      <c r="C269" s="8"/>
      <c r="D269" s="8"/>
      <c r="E269" s="8"/>
      <c r="F269" s="58">
        <v>613100</v>
      </c>
      <c r="G269" s="69"/>
      <c r="H269" s="9" t="s">
        <v>6</v>
      </c>
      <c r="I269" s="100">
        <v>4000</v>
      </c>
      <c r="J269" s="84">
        <v>0</v>
      </c>
      <c r="K269" s="163">
        <f t="shared" ref="K269:K277" si="119">SUM(I269:J269)</f>
        <v>4000</v>
      </c>
      <c r="L269" s="100"/>
      <c r="M269" s="84"/>
      <c r="N269" s="203">
        <f t="shared" ref="N269:N277" si="120">SUM(L269:M269)</f>
        <v>0</v>
      </c>
      <c r="O269" s="224">
        <f t="shared" si="104"/>
        <v>0</v>
      </c>
    </row>
    <row r="270" spans="2:15" ht="14.25" x14ac:dyDescent="0.2">
      <c r="B270" s="50"/>
      <c r="C270" s="8"/>
      <c r="D270" s="8"/>
      <c r="E270" s="8"/>
      <c r="F270" s="58">
        <v>613200</v>
      </c>
      <c r="G270" s="69"/>
      <c r="H270" s="9" t="s">
        <v>7</v>
      </c>
      <c r="I270" s="100">
        <v>60000</v>
      </c>
      <c r="J270" s="84">
        <v>0</v>
      </c>
      <c r="K270" s="163">
        <f t="shared" si="119"/>
        <v>60000</v>
      </c>
      <c r="L270" s="100"/>
      <c r="M270" s="84"/>
      <c r="N270" s="203">
        <f t="shared" si="120"/>
        <v>0</v>
      </c>
      <c r="O270" s="224">
        <f t="shared" si="104"/>
        <v>0</v>
      </c>
    </row>
    <row r="271" spans="2:15" ht="14.25" x14ac:dyDescent="0.2">
      <c r="B271" s="50"/>
      <c r="C271" s="8"/>
      <c r="D271" s="8"/>
      <c r="E271" s="8"/>
      <c r="F271" s="58">
        <v>613300</v>
      </c>
      <c r="G271" s="69"/>
      <c r="H271" s="9" t="s">
        <v>70</v>
      </c>
      <c r="I271" s="100">
        <v>7000</v>
      </c>
      <c r="J271" s="84">
        <v>0</v>
      </c>
      <c r="K271" s="163">
        <f t="shared" si="119"/>
        <v>7000</v>
      </c>
      <c r="L271" s="100"/>
      <c r="M271" s="84"/>
      <c r="N271" s="203">
        <f t="shared" si="120"/>
        <v>0</v>
      </c>
      <c r="O271" s="224">
        <f t="shared" si="104"/>
        <v>0</v>
      </c>
    </row>
    <row r="272" spans="2:15" ht="14.25" x14ac:dyDescent="0.2">
      <c r="B272" s="50"/>
      <c r="C272" s="8"/>
      <c r="D272" s="8"/>
      <c r="E272" s="8"/>
      <c r="F272" s="58">
        <v>613400</v>
      </c>
      <c r="G272" s="69"/>
      <c r="H272" s="9" t="s">
        <v>59</v>
      </c>
      <c r="I272" s="100">
        <v>15000</v>
      </c>
      <c r="J272" s="84">
        <v>0</v>
      </c>
      <c r="K272" s="163">
        <f t="shared" si="119"/>
        <v>15000</v>
      </c>
      <c r="L272" s="100"/>
      <c r="M272" s="84"/>
      <c r="N272" s="203">
        <f t="shared" si="120"/>
        <v>0</v>
      </c>
      <c r="O272" s="224">
        <f t="shared" si="104"/>
        <v>0</v>
      </c>
    </row>
    <row r="273" spans="2:15" ht="14.25" x14ac:dyDescent="0.2">
      <c r="B273" s="50"/>
      <c r="C273" s="8"/>
      <c r="D273" s="8"/>
      <c r="E273" s="8"/>
      <c r="F273" s="58">
        <v>613500</v>
      </c>
      <c r="G273" s="69"/>
      <c r="H273" s="9" t="s">
        <v>8</v>
      </c>
      <c r="I273" s="100">
        <v>1500</v>
      </c>
      <c r="J273" s="84">
        <v>0</v>
      </c>
      <c r="K273" s="163">
        <f t="shared" si="119"/>
        <v>1500</v>
      </c>
      <c r="L273" s="100"/>
      <c r="M273" s="84"/>
      <c r="N273" s="203">
        <f t="shared" si="120"/>
        <v>0</v>
      </c>
      <c r="O273" s="224">
        <f t="shared" si="104"/>
        <v>0</v>
      </c>
    </row>
    <row r="274" spans="2:15" ht="14.25" x14ac:dyDescent="0.2">
      <c r="B274" s="50"/>
      <c r="C274" s="8"/>
      <c r="D274" s="8"/>
      <c r="E274" s="8"/>
      <c r="F274" s="58">
        <v>613600</v>
      </c>
      <c r="G274" s="69"/>
      <c r="H274" s="9" t="s">
        <v>71</v>
      </c>
      <c r="I274" s="100">
        <v>0</v>
      </c>
      <c r="J274" s="84">
        <v>0</v>
      </c>
      <c r="K274" s="163">
        <f t="shared" si="119"/>
        <v>0</v>
      </c>
      <c r="L274" s="100"/>
      <c r="M274" s="84"/>
      <c r="N274" s="203">
        <f t="shared" si="120"/>
        <v>0</v>
      </c>
      <c r="O274" s="224" t="str">
        <f t="shared" si="104"/>
        <v/>
      </c>
    </row>
    <row r="275" spans="2:15" ht="14.25" x14ac:dyDescent="0.2">
      <c r="B275" s="50"/>
      <c r="C275" s="8"/>
      <c r="D275" s="8"/>
      <c r="E275" s="8"/>
      <c r="F275" s="58">
        <v>613700</v>
      </c>
      <c r="G275" s="69"/>
      <c r="H275" s="9" t="s">
        <v>9</v>
      </c>
      <c r="I275" s="100">
        <v>15000</v>
      </c>
      <c r="J275" s="84">
        <v>0</v>
      </c>
      <c r="K275" s="163">
        <f t="shared" si="119"/>
        <v>15000</v>
      </c>
      <c r="L275" s="100"/>
      <c r="M275" s="84"/>
      <c r="N275" s="203">
        <f t="shared" si="120"/>
        <v>0</v>
      </c>
      <c r="O275" s="224">
        <f t="shared" si="104"/>
        <v>0</v>
      </c>
    </row>
    <row r="276" spans="2:15" ht="14.25" x14ac:dyDescent="0.2">
      <c r="B276" s="50"/>
      <c r="C276" s="8"/>
      <c r="D276" s="8"/>
      <c r="E276" s="8"/>
      <c r="F276" s="58">
        <v>613800</v>
      </c>
      <c r="G276" s="69"/>
      <c r="H276" s="9" t="s">
        <v>60</v>
      </c>
      <c r="I276" s="100">
        <v>2200</v>
      </c>
      <c r="J276" s="84">
        <v>0</v>
      </c>
      <c r="K276" s="163">
        <f t="shared" si="119"/>
        <v>2200</v>
      </c>
      <c r="L276" s="100"/>
      <c r="M276" s="84"/>
      <c r="N276" s="203">
        <f t="shared" si="120"/>
        <v>0</v>
      </c>
      <c r="O276" s="224">
        <f t="shared" si="104"/>
        <v>0</v>
      </c>
    </row>
    <row r="277" spans="2:15" ht="14.25" x14ac:dyDescent="0.2">
      <c r="B277" s="50"/>
      <c r="C277" s="8"/>
      <c r="D277" s="8"/>
      <c r="E277" s="8"/>
      <c r="F277" s="58">
        <v>613900</v>
      </c>
      <c r="G277" s="69"/>
      <c r="H277" s="9" t="s">
        <v>61</v>
      </c>
      <c r="I277" s="100">
        <v>20000</v>
      </c>
      <c r="J277" s="84">
        <v>0</v>
      </c>
      <c r="K277" s="163">
        <f t="shared" si="119"/>
        <v>20000</v>
      </c>
      <c r="L277" s="100"/>
      <c r="M277" s="84"/>
      <c r="N277" s="203">
        <f t="shared" si="120"/>
        <v>0</v>
      </c>
      <c r="O277" s="224">
        <f t="shared" si="104"/>
        <v>0</v>
      </c>
    </row>
    <row r="278" spans="2:15" ht="14.25" x14ac:dyDescent="0.2">
      <c r="B278" s="51"/>
      <c r="C278" s="4"/>
      <c r="D278" s="4"/>
      <c r="E278" s="4"/>
      <c r="F278" s="57"/>
      <c r="G278" s="68"/>
      <c r="H278" s="10"/>
      <c r="I278" s="116"/>
      <c r="J278" s="54"/>
      <c r="K278" s="164"/>
      <c r="L278" s="116"/>
      <c r="M278" s="54"/>
      <c r="N278" s="204"/>
      <c r="O278" s="224" t="str">
        <f t="shared" si="104"/>
        <v/>
      </c>
    </row>
    <row r="279" spans="2:15" ht="15" x14ac:dyDescent="0.25">
      <c r="B279" s="51"/>
      <c r="C279" s="4"/>
      <c r="D279" s="4"/>
      <c r="E279" s="4"/>
      <c r="F279" s="57">
        <v>821000</v>
      </c>
      <c r="G279" s="68"/>
      <c r="H279" s="10" t="s">
        <v>12</v>
      </c>
      <c r="I279" s="110">
        <f t="shared" ref="I279" si="121">SUM(I280:I281)</f>
        <v>34504</v>
      </c>
      <c r="J279" s="52">
        <f t="shared" ref="J279:N279" si="122">SUM(J280:J281)</f>
        <v>48896</v>
      </c>
      <c r="K279" s="165">
        <f t="shared" si="122"/>
        <v>83400</v>
      </c>
      <c r="L279" s="110">
        <f t="shared" si="122"/>
        <v>0</v>
      </c>
      <c r="M279" s="52">
        <f t="shared" si="122"/>
        <v>0</v>
      </c>
      <c r="N279" s="205">
        <f t="shared" si="122"/>
        <v>0</v>
      </c>
      <c r="O279" s="228">
        <f t="shared" si="104"/>
        <v>0</v>
      </c>
    </row>
    <row r="280" spans="2:15" ht="14.25" x14ac:dyDescent="0.2">
      <c r="B280" s="50"/>
      <c r="C280" s="8"/>
      <c r="D280" s="8"/>
      <c r="E280" s="8"/>
      <c r="F280" s="58">
        <v>821200</v>
      </c>
      <c r="G280" s="69"/>
      <c r="H280" s="9" t="s">
        <v>13</v>
      </c>
      <c r="I280" s="116">
        <f>17504+7000</f>
        <v>24504</v>
      </c>
      <c r="J280" s="54">
        <f>48896-5090</f>
        <v>43806</v>
      </c>
      <c r="K280" s="163">
        <f t="shared" ref="K280:K281" si="123">SUM(I280:J280)</f>
        <v>68310</v>
      </c>
      <c r="L280" s="116"/>
      <c r="M280" s="54"/>
      <c r="N280" s="203">
        <f t="shared" ref="N280:N281" si="124">SUM(L280:M280)</f>
        <v>0</v>
      </c>
      <c r="O280" s="224">
        <f t="shared" si="104"/>
        <v>0</v>
      </c>
    </row>
    <row r="281" spans="2:15" ht="14.25" x14ac:dyDescent="0.2">
      <c r="B281" s="50"/>
      <c r="C281" s="8"/>
      <c r="D281" s="8"/>
      <c r="E281" s="8"/>
      <c r="F281" s="58">
        <v>821300</v>
      </c>
      <c r="G281" s="69"/>
      <c r="H281" s="9" t="s">
        <v>14</v>
      </c>
      <c r="I281" s="116">
        <v>10000</v>
      </c>
      <c r="J281" s="54">
        <v>5090</v>
      </c>
      <c r="K281" s="163">
        <f t="shared" si="123"/>
        <v>15090</v>
      </c>
      <c r="L281" s="116"/>
      <c r="M281" s="54"/>
      <c r="N281" s="203">
        <f t="shared" si="124"/>
        <v>0</v>
      </c>
      <c r="O281" s="224">
        <f t="shared" si="104"/>
        <v>0</v>
      </c>
    </row>
    <row r="282" spans="2:15" ht="14.25" x14ac:dyDescent="0.2">
      <c r="B282" s="50"/>
      <c r="C282" s="8"/>
      <c r="D282" s="8"/>
      <c r="E282" s="8"/>
      <c r="F282" s="58"/>
      <c r="G282" s="69"/>
      <c r="H282" s="9"/>
      <c r="I282" s="116"/>
      <c r="J282" s="54"/>
      <c r="K282" s="164"/>
      <c r="L282" s="116"/>
      <c r="M282" s="54"/>
      <c r="N282" s="204"/>
      <c r="O282" s="224" t="str">
        <f t="shared" si="104"/>
        <v/>
      </c>
    </row>
    <row r="283" spans="2:15" ht="15" x14ac:dyDescent="0.25">
      <c r="B283" s="51"/>
      <c r="C283" s="4"/>
      <c r="D283" s="4"/>
      <c r="E283" s="4"/>
      <c r="F283" s="57"/>
      <c r="G283" s="68"/>
      <c r="H283" s="10" t="s">
        <v>15</v>
      </c>
      <c r="I283" s="111" t="s">
        <v>388</v>
      </c>
      <c r="J283" s="47"/>
      <c r="K283" s="166" t="s">
        <v>388</v>
      </c>
      <c r="L283" s="111"/>
      <c r="M283" s="47"/>
      <c r="N283" s="206"/>
      <c r="O283" s="224"/>
    </row>
    <row r="284" spans="2:15" ht="15" x14ac:dyDescent="0.25">
      <c r="B284" s="51"/>
      <c r="C284" s="4"/>
      <c r="D284" s="4"/>
      <c r="E284" s="4"/>
      <c r="F284" s="57"/>
      <c r="G284" s="68"/>
      <c r="H284" s="4" t="s">
        <v>24</v>
      </c>
      <c r="I284" s="110">
        <f t="shared" ref="I284:N284" si="125">I261+I265+I268+I279</f>
        <v>1597654</v>
      </c>
      <c r="J284" s="52">
        <f t="shared" si="125"/>
        <v>48896</v>
      </c>
      <c r="K284" s="165">
        <f t="shared" si="125"/>
        <v>1646550</v>
      </c>
      <c r="L284" s="110">
        <f t="shared" si="125"/>
        <v>0</v>
      </c>
      <c r="M284" s="52">
        <f t="shared" si="125"/>
        <v>0</v>
      </c>
      <c r="N284" s="205">
        <f t="shared" si="125"/>
        <v>0</v>
      </c>
      <c r="O284" s="228">
        <f t="shared" si="104"/>
        <v>0</v>
      </c>
    </row>
    <row r="285" spans="2:15" ht="15" x14ac:dyDescent="0.25">
      <c r="B285" s="51"/>
      <c r="C285" s="4"/>
      <c r="D285" s="4"/>
      <c r="E285" s="4"/>
      <c r="F285" s="57"/>
      <c r="G285" s="68"/>
      <c r="H285" s="4" t="s">
        <v>16</v>
      </c>
      <c r="I285" s="110"/>
      <c r="J285" s="52"/>
      <c r="K285" s="165"/>
      <c r="L285" s="110"/>
      <c r="M285" s="52"/>
      <c r="N285" s="205"/>
      <c r="O285" s="224" t="str">
        <f t="shared" si="104"/>
        <v/>
      </c>
    </row>
    <row r="286" spans="2:15" ht="14.25" x14ac:dyDescent="0.2">
      <c r="B286" s="51"/>
      <c r="C286" s="4"/>
      <c r="D286" s="4"/>
      <c r="E286" s="4"/>
      <c r="F286" s="57"/>
      <c r="G286" s="68"/>
      <c r="H286" s="4" t="s">
        <v>17</v>
      </c>
      <c r="I286" s="108"/>
      <c r="J286" s="46"/>
      <c r="K286" s="164"/>
      <c r="L286" s="108"/>
      <c r="M286" s="46"/>
      <c r="N286" s="204"/>
      <c r="O286" s="224" t="str">
        <f t="shared" si="104"/>
        <v/>
      </c>
    </row>
    <row r="287" spans="2:15" ht="15" thickBot="1" x14ac:dyDescent="0.25">
      <c r="B287" s="6"/>
      <c r="C287" s="7"/>
      <c r="D287" s="7"/>
      <c r="E287" s="7"/>
      <c r="F287" s="59"/>
      <c r="G287" s="70"/>
      <c r="H287" s="7"/>
      <c r="I287" s="112"/>
      <c r="J287" s="13"/>
      <c r="K287" s="167"/>
      <c r="L287" s="112"/>
      <c r="M287" s="13"/>
      <c r="N287" s="207"/>
      <c r="O287" s="227" t="str">
        <f t="shared" si="104"/>
        <v/>
      </c>
    </row>
    <row r="288" spans="2:15" x14ac:dyDescent="0.2">
      <c r="O288" s="230" t="str">
        <f t="shared" si="104"/>
        <v/>
      </c>
    </row>
    <row r="289" spans="2:15" ht="15" x14ac:dyDescent="0.25">
      <c r="B289" s="2" t="s">
        <v>44</v>
      </c>
      <c r="C289" s="3" t="s">
        <v>45</v>
      </c>
      <c r="D289" s="3" t="s">
        <v>47</v>
      </c>
      <c r="E289" s="136" t="s">
        <v>153</v>
      </c>
      <c r="F289" s="49"/>
      <c r="G289" s="49"/>
      <c r="H289" s="182" t="s">
        <v>199</v>
      </c>
      <c r="I289" s="115"/>
      <c r="J289" s="23"/>
      <c r="K289" s="168"/>
      <c r="L289" s="115"/>
      <c r="M289" s="23"/>
      <c r="N289" s="217"/>
      <c r="O289" s="224" t="str">
        <f t="shared" si="104"/>
        <v/>
      </c>
    </row>
    <row r="290" spans="2:15" ht="15" x14ac:dyDescent="0.25">
      <c r="B290" s="51"/>
      <c r="C290" s="4"/>
      <c r="D290" s="4"/>
      <c r="E290" s="4"/>
      <c r="F290" s="57">
        <v>611000</v>
      </c>
      <c r="G290" s="68"/>
      <c r="H290" s="10" t="s">
        <v>57</v>
      </c>
      <c r="I290" s="106">
        <f>I291+I292</f>
        <v>585220</v>
      </c>
      <c r="J290" s="32">
        <f t="shared" ref="J290:N290" si="126">SUM(J291:J292)</f>
        <v>0</v>
      </c>
      <c r="K290" s="162">
        <f t="shared" si="126"/>
        <v>585220</v>
      </c>
      <c r="L290" s="106">
        <f t="shared" si="126"/>
        <v>0</v>
      </c>
      <c r="M290" s="32">
        <f t="shared" si="126"/>
        <v>0</v>
      </c>
      <c r="N290" s="202">
        <f t="shared" si="126"/>
        <v>0</v>
      </c>
      <c r="O290" s="228">
        <f t="shared" si="104"/>
        <v>0</v>
      </c>
    </row>
    <row r="291" spans="2:15" ht="14.25" x14ac:dyDescent="0.2">
      <c r="B291" s="50"/>
      <c r="C291" s="8"/>
      <c r="D291" s="8"/>
      <c r="E291" s="8"/>
      <c r="F291" s="58">
        <v>611100</v>
      </c>
      <c r="G291" s="69"/>
      <c r="H291" s="9" t="s">
        <v>68</v>
      </c>
      <c r="I291" s="119">
        <f>462840+200+26380</f>
        <v>489420</v>
      </c>
      <c r="J291" s="34">
        <v>0</v>
      </c>
      <c r="K291" s="163">
        <f>SUM(I291:J291)</f>
        <v>489420</v>
      </c>
      <c r="L291" s="119"/>
      <c r="M291" s="34"/>
      <c r="N291" s="203">
        <f>SUM(L291:M291)</f>
        <v>0</v>
      </c>
      <c r="O291" s="224">
        <f t="shared" si="104"/>
        <v>0</v>
      </c>
    </row>
    <row r="292" spans="2:15" ht="14.25" x14ac:dyDescent="0.2">
      <c r="B292" s="50"/>
      <c r="C292" s="8"/>
      <c r="D292" s="8"/>
      <c r="E292" s="8"/>
      <c r="F292" s="58">
        <v>611200</v>
      </c>
      <c r="G292" s="69"/>
      <c r="H292" s="9" t="s">
        <v>69</v>
      </c>
      <c r="I292" s="119">
        <f>87800+8000</f>
        <v>95800</v>
      </c>
      <c r="J292" s="34">
        <v>0</v>
      </c>
      <c r="K292" s="163">
        <f t="shared" ref="K292" si="127">SUM(I292:J292)</f>
        <v>95800</v>
      </c>
      <c r="L292" s="119"/>
      <c r="M292" s="34"/>
      <c r="N292" s="203">
        <f t="shared" ref="N292" si="128">SUM(L292:M292)</f>
        <v>0</v>
      </c>
      <c r="O292" s="224">
        <f t="shared" si="104"/>
        <v>0</v>
      </c>
    </row>
    <row r="293" spans="2:15" ht="15" x14ac:dyDescent="0.25">
      <c r="B293" s="50"/>
      <c r="C293" s="8"/>
      <c r="D293" s="8"/>
      <c r="E293" s="8"/>
      <c r="F293" s="58"/>
      <c r="G293" s="69"/>
      <c r="H293" s="9"/>
      <c r="I293" s="106"/>
      <c r="J293" s="32"/>
      <c r="K293" s="162"/>
      <c r="L293" s="106"/>
      <c r="M293" s="32"/>
      <c r="N293" s="202"/>
      <c r="O293" s="224" t="str">
        <f t="shared" si="104"/>
        <v/>
      </c>
    </row>
    <row r="294" spans="2:15" ht="15" x14ac:dyDescent="0.25">
      <c r="B294" s="51"/>
      <c r="C294" s="4"/>
      <c r="D294" s="4"/>
      <c r="E294" s="4"/>
      <c r="F294" s="57">
        <v>612000</v>
      </c>
      <c r="G294" s="68"/>
      <c r="H294" s="10" t="s">
        <v>56</v>
      </c>
      <c r="I294" s="106">
        <f>I295</f>
        <v>24940</v>
      </c>
      <c r="J294" s="32">
        <f t="shared" ref="J294:N294" si="129">J295</f>
        <v>0</v>
      </c>
      <c r="K294" s="162">
        <f t="shared" si="129"/>
        <v>24940</v>
      </c>
      <c r="L294" s="106">
        <f t="shared" si="129"/>
        <v>0</v>
      </c>
      <c r="M294" s="32">
        <f t="shared" si="129"/>
        <v>0</v>
      </c>
      <c r="N294" s="202">
        <f t="shared" si="129"/>
        <v>0</v>
      </c>
      <c r="O294" s="228">
        <f t="shared" ref="O294:O346" si="130">IF(K294=0,"",N294/K294*100)</f>
        <v>0</v>
      </c>
    </row>
    <row r="295" spans="2:15" ht="14.25" x14ac:dyDescent="0.2">
      <c r="B295" s="50"/>
      <c r="C295" s="8"/>
      <c r="D295" s="8"/>
      <c r="E295" s="8"/>
      <c r="F295" s="58">
        <v>612100</v>
      </c>
      <c r="G295" s="69"/>
      <c r="H295" s="145" t="s">
        <v>5</v>
      </c>
      <c r="I295" s="119">
        <f>23600+1340</f>
        <v>24940</v>
      </c>
      <c r="J295" s="34">
        <v>0</v>
      </c>
      <c r="K295" s="163">
        <f>SUM(I295:J295)</f>
        <v>24940</v>
      </c>
      <c r="L295" s="119"/>
      <c r="M295" s="34"/>
      <c r="N295" s="203">
        <f>SUM(L295:M295)</f>
        <v>0</v>
      </c>
      <c r="O295" s="224">
        <f t="shared" si="130"/>
        <v>0</v>
      </c>
    </row>
    <row r="296" spans="2:15" ht="15" x14ac:dyDescent="0.25">
      <c r="B296" s="50"/>
      <c r="C296" s="8"/>
      <c r="D296" s="8"/>
      <c r="E296" s="8"/>
      <c r="F296" s="58"/>
      <c r="G296" s="69"/>
      <c r="H296" s="9"/>
      <c r="I296" s="110"/>
      <c r="J296" s="52"/>
      <c r="K296" s="165"/>
      <c r="L296" s="110"/>
      <c r="M296" s="52"/>
      <c r="N296" s="205"/>
      <c r="O296" s="224" t="str">
        <f t="shared" si="130"/>
        <v/>
      </c>
    </row>
    <row r="297" spans="2:15" ht="15" x14ac:dyDescent="0.25">
      <c r="B297" s="51"/>
      <c r="C297" s="4"/>
      <c r="D297" s="4"/>
      <c r="E297" s="4"/>
      <c r="F297" s="57">
        <v>613000</v>
      </c>
      <c r="G297" s="68"/>
      <c r="H297" s="10" t="s">
        <v>58</v>
      </c>
      <c r="I297" s="109">
        <f>SUM(I298:I306)</f>
        <v>64200</v>
      </c>
      <c r="J297" s="55">
        <f t="shared" ref="J297:N297" si="131">SUM(J298:J306)</f>
        <v>0</v>
      </c>
      <c r="K297" s="165">
        <f t="shared" si="131"/>
        <v>64200</v>
      </c>
      <c r="L297" s="109">
        <f t="shared" si="131"/>
        <v>0</v>
      </c>
      <c r="M297" s="55">
        <f t="shared" si="131"/>
        <v>0</v>
      </c>
      <c r="N297" s="205">
        <f t="shared" si="131"/>
        <v>0</v>
      </c>
      <c r="O297" s="228">
        <f t="shared" si="130"/>
        <v>0</v>
      </c>
    </row>
    <row r="298" spans="2:15" ht="14.25" x14ac:dyDescent="0.2">
      <c r="B298" s="50"/>
      <c r="C298" s="8"/>
      <c r="D298" s="8"/>
      <c r="E298" s="8"/>
      <c r="F298" s="58">
        <v>613100</v>
      </c>
      <c r="G298" s="69"/>
      <c r="H298" s="9" t="s">
        <v>6</v>
      </c>
      <c r="I298" s="100">
        <v>2500</v>
      </c>
      <c r="J298" s="84">
        <v>0</v>
      </c>
      <c r="K298" s="163">
        <f t="shared" ref="K298:K306" si="132">SUM(I298:J298)</f>
        <v>2500</v>
      </c>
      <c r="L298" s="100"/>
      <c r="M298" s="84"/>
      <c r="N298" s="203">
        <f t="shared" ref="N298:N306" si="133">SUM(L298:M298)</f>
        <v>0</v>
      </c>
      <c r="O298" s="224">
        <f t="shared" si="130"/>
        <v>0</v>
      </c>
    </row>
    <row r="299" spans="2:15" ht="14.25" x14ac:dyDescent="0.2">
      <c r="B299" s="50"/>
      <c r="C299" s="8"/>
      <c r="D299" s="8"/>
      <c r="E299" s="8"/>
      <c r="F299" s="58">
        <v>613200</v>
      </c>
      <c r="G299" s="69"/>
      <c r="H299" s="9" t="s">
        <v>7</v>
      </c>
      <c r="I299" s="100">
        <v>25000</v>
      </c>
      <c r="J299" s="84">
        <v>0</v>
      </c>
      <c r="K299" s="163">
        <f t="shared" si="132"/>
        <v>25000</v>
      </c>
      <c r="L299" s="100"/>
      <c r="M299" s="84"/>
      <c r="N299" s="203">
        <f t="shared" si="133"/>
        <v>0</v>
      </c>
      <c r="O299" s="224">
        <f t="shared" si="130"/>
        <v>0</v>
      </c>
    </row>
    <row r="300" spans="2:15" ht="14.25" x14ac:dyDescent="0.2">
      <c r="B300" s="50"/>
      <c r="C300" s="8"/>
      <c r="D300" s="8"/>
      <c r="E300" s="8"/>
      <c r="F300" s="58">
        <v>613300</v>
      </c>
      <c r="G300" s="69"/>
      <c r="H300" s="9" t="s">
        <v>70</v>
      </c>
      <c r="I300" s="100">
        <v>3500</v>
      </c>
      <c r="J300" s="84">
        <v>0</v>
      </c>
      <c r="K300" s="163">
        <f t="shared" si="132"/>
        <v>3500</v>
      </c>
      <c r="L300" s="100"/>
      <c r="M300" s="84"/>
      <c r="N300" s="203">
        <f t="shared" si="133"/>
        <v>0</v>
      </c>
      <c r="O300" s="224">
        <f t="shared" si="130"/>
        <v>0</v>
      </c>
    </row>
    <row r="301" spans="2:15" ht="14.25" x14ac:dyDescent="0.2">
      <c r="B301" s="50"/>
      <c r="C301" s="8"/>
      <c r="D301" s="8"/>
      <c r="E301" s="8"/>
      <c r="F301" s="58">
        <v>613400</v>
      </c>
      <c r="G301" s="69"/>
      <c r="H301" s="9" t="s">
        <v>59</v>
      </c>
      <c r="I301" s="100">
        <v>9000</v>
      </c>
      <c r="J301" s="84">
        <v>0</v>
      </c>
      <c r="K301" s="163">
        <f t="shared" si="132"/>
        <v>9000</v>
      </c>
      <c r="L301" s="100"/>
      <c r="M301" s="84"/>
      <c r="N301" s="203">
        <f t="shared" si="133"/>
        <v>0</v>
      </c>
      <c r="O301" s="224">
        <f t="shared" si="130"/>
        <v>0</v>
      </c>
    </row>
    <row r="302" spans="2:15" ht="14.25" x14ac:dyDescent="0.2">
      <c r="B302" s="50"/>
      <c r="C302" s="8"/>
      <c r="D302" s="8"/>
      <c r="E302" s="8"/>
      <c r="F302" s="58">
        <v>613500</v>
      </c>
      <c r="G302" s="69"/>
      <c r="H302" s="9" t="s">
        <v>8</v>
      </c>
      <c r="I302" s="100">
        <v>600</v>
      </c>
      <c r="J302" s="84">
        <v>0</v>
      </c>
      <c r="K302" s="163">
        <f t="shared" si="132"/>
        <v>600</v>
      </c>
      <c r="L302" s="100"/>
      <c r="M302" s="84"/>
      <c r="N302" s="203">
        <f t="shared" si="133"/>
        <v>0</v>
      </c>
      <c r="O302" s="224">
        <f t="shared" si="130"/>
        <v>0</v>
      </c>
    </row>
    <row r="303" spans="2:15" ht="14.25" x14ac:dyDescent="0.2">
      <c r="B303" s="50"/>
      <c r="C303" s="8"/>
      <c r="D303" s="8"/>
      <c r="E303" s="8"/>
      <c r="F303" s="58">
        <v>613600</v>
      </c>
      <c r="G303" s="69"/>
      <c r="H303" s="9" t="s">
        <v>71</v>
      </c>
      <c r="I303" s="100">
        <v>0</v>
      </c>
      <c r="J303" s="84">
        <v>0</v>
      </c>
      <c r="K303" s="163">
        <f t="shared" si="132"/>
        <v>0</v>
      </c>
      <c r="L303" s="100"/>
      <c r="M303" s="84"/>
      <c r="N303" s="203">
        <f t="shared" si="133"/>
        <v>0</v>
      </c>
      <c r="O303" s="224" t="str">
        <f t="shared" si="130"/>
        <v/>
      </c>
    </row>
    <row r="304" spans="2:15" ht="14.25" x14ac:dyDescent="0.2">
      <c r="B304" s="50"/>
      <c r="C304" s="8"/>
      <c r="D304" s="8"/>
      <c r="E304" s="8"/>
      <c r="F304" s="58">
        <v>613700</v>
      </c>
      <c r="G304" s="69"/>
      <c r="H304" s="9" t="s">
        <v>9</v>
      </c>
      <c r="I304" s="100">
        <v>8000</v>
      </c>
      <c r="J304" s="84">
        <v>0</v>
      </c>
      <c r="K304" s="163">
        <f t="shared" si="132"/>
        <v>8000</v>
      </c>
      <c r="L304" s="100"/>
      <c r="M304" s="84"/>
      <c r="N304" s="203">
        <f t="shared" si="133"/>
        <v>0</v>
      </c>
      <c r="O304" s="224">
        <f t="shared" si="130"/>
        <v>0</v>
      </c>
    </row>
    <row r="305" spans="2:15" ht="14.25" x14ac:dyDescent="0.2">
      <c r="B305" s="50"/>
      <c r="C305" s="8"/>
      <c r="D305" s="8"/>
      <c r="E305" s="8"/>
      <c r="F305" s="58">
        <v>613800</v>
      </c>
      <c r="G305" s="69"/>
      <c r="H305" s="9" t="s">
        <v>60</v>
      </c>
      <c r="I305" s="100">
        <v>600</v>
      </c>
      <c r="J305" s="84">
        <v>0</v>
      </c>
      <c r="K305" s="163">
        <f t="shared" si="132"/>
        <v>600</v>
      </c>
      <c r="L305" s="100"/>
      <c r="M305" s="84"/>
      <c r="N305" s="203">
        <f t="shared" si="133"/>
        <v>0</v>
      </c>
      <c r="O305" s="224">
        <f t="shared" si="130"/>
        <v>0</v>
      </c>
    </row>
    <row r="306" spans="2:15" ht="14.25" x14ac:dyDescent="0.2">
      <c r="B306" s="50"/>
      <c r="C306" s="8"/>
      <c r="D306" s="8"/>
      <c r="E306" s="8"/>
      <c r="F306" s="58">
        <v>613900</v>
      </c>
      <c r="G306" s="69"/>
      <c r="H306" s="9" t="s">
        <v>61</v>
      </c>
      <c r="I306" s="100">
        <v>15000</v>
      </c>
      <c r="J306" s="84">
        <v>0</v>
      </c>
      <c r="K306" s="163">
        <f t="shared" si="132"/>
        <v>15000</v>
      </c>
      <c r="L306" s="100"/>
      <c r="M306" s="84"/>
      <c r="N306" s="203">
        <f t="shared" si="133"/>
        <v>0</v>
      </c>
      <c r="O306" s="224">
        <f t="shared" si="130"/>
        <v>0</v>
      </c>
    </row>
    <row r="307" spans="2:15" ht="15" x14ac:dyDescent="0.25">
      <c r="B307" s="50"/>
      <c r="C307" s="8"/>
      <c r="D307" s="8"/>
      <c r="E307" s="8"/>
      <c r="F307" s="58"/>
      <c r="G307" s="69"/>
      <c r="H307" s="9"/>
      <c r="I307" s="110"/>
      <c r="J307" s="52"/>
      <c r="K307" s="165"/>
      <c r="L307" s="110"/>
      <c r="M307" s="52"/>
      <c r="N307" s="205"/>
      <c r="O307" s="224" t="str">
        <f t="shared" si="130"/>
        <v/>
      </c>
    </row>
    <row r="308" spans="2:15" ht="15" x14ac:dyDescent="0.25">
      <c r="B308" s="51"/>
      <c r="C308" s="4"/>
      <c r="D308" s="4"/>
      <c r="E308" s="4"/>
      <c r="F308" s="57">
        <v>821000</v>
      </c>
      <c r="G308" s="68"/>
      <c r="H308" s="10" t="s">
        <v>12</v>
      </c>
      <c r="I308" s="110">
        <f t="shared" ref="I308" si="134">SUM(I309:I310)</f>
        <v>5000</v>
      </c>
      <c r="J308" s="52">
        <f t="shared" ref="J308:N308" si="135">SUM(J309:J310)</f>
        <v>0</v>
      </c>
      <c r="K308" s="165">
        <f t="shared" si="135"/>
        <v>5000</v>
      </c>
      <c r="L308" s="110">
        <f t="shared" si="135"/>
        <v>0</v>
      </c>
      <c r="M308" s="52">
        <f t="shared" si="135"/>
        <v>0</v>
      </c>
      <c r="N308" s="205">
        <f t="shared" si="135"/>
        <v>0</v>
      </c>
      <c r="O308" s="228">
        <f t="shared" si="130"/>
        <v>0</v>
      </c>
    </row>
    <row r="309" spans="2:15" ht="14.25" x14ac:dyDescent="0.2">
      <c r="B309" s="50"/>
      <c r="C309" s="8"/>
      <c r="D309" s="8"/>
      <c r="E309" s="8"/>
      <c r="F309" s="58">
        <v>821200</v>
      </c>
      <c r="G309" s="69"/>
      <c r="H309" s="9" t="s">
        <v>13</v>
      </c>
      <c r="I309" s="116">
        <v>0</v>
      </c>
      <c r="J309" s="54">
        <v>0</v>
      </c>
      <c r="K309" s="163">
        <f t="shared" ref="K309:K310" si="136">SUM(I309:J309)</f>
        <v>0</v>
      </c>
      <c r="L309" s="116"/>
      <c r="M309" s="54"/>
      <c r="N309" s="203">
        <f t="shared" ref="N309:N310" si="137">SUM(L309:M309)</f>
        <v>0</v>
      </c>
      <c r="O309" s="224" t="str">
        <f t="shared" si="130"/>
        <v/>
      </c>
    </row>
    <row r="310" spans="2:15" ht="14.25" x14ac:dyDescent="0.2">
      <c r="B310" s="50"/>
      <c r="C310" s="8"/>
      <c r="D310" s="8"/>
      <c r="E310" s="8"/>
      <c r="F310" s="58">
        <v>821300</v>
      </c>
      <c r="G310" s="69"/>
      <c r="H310" s="9" t="s">
        <v>14</v>
      </c>
      <c r="I310" s="116">
        <v>5000</v>
      </c>
      <c r="J310" s="54">
        <v>0</v>
      </c>
      <c r="K310" s="163">
        <f t="shared" si="136"/>
        <v>5000</v>
      </c>
      <c r="L310" s="116"/>
      <c r="M310" s="54"/>
      <c r="N310" s="203">
        <f t="shared" si="137"/>
        <v>0</v>
      </c>
      <c r="O310" s="224">
        <f t="shared" si="130"/>
        <v>0</v>
      </c>
    </row>
    <row r="311" spans="2:15" ht="14.25" x14ac:dyDescent="0.2">
      <c r="B311" s="50"/>
      <c r="C311" s="8"/>
      <c r="D311" s="8"/>
      <c r="E311" s="8"/>
      <c r="F311" s="58"/>
      <c r="G311" s="69"/>
      <c r="H311" s="9"/>
      <c r="I311" s="116"/>
      <c r="J311" s="54"/>
      <c r="K311" s="164"/>
      <c r="L311" s="116"/>
      <c r="M311" s="54"/>
      <c r="N311" s="204"/>
      <c r="O311" s="224" t="str">
        <f t="shared" si="130"/>
        <v/>
      </c>
    </row>
    <row r="312" spans="2:15" ht="15" x14ac:dyDescent="0.25">
      <c r="B312" s="51"/>
      <c r="C312" s="4"/>
      <c r="D312" s="4"/>
      <c r="E312" s="4"/>
      <c r="F312" s="57"/>
      <c r="G312" s="68"/>
      <c r="H312" s="10" t="s">
        <v>15</v>
      </c>
      <c r="I312" s="111" t="s">
        <v>389</v>
      </c>
      <c r="J312" s="47"/>
      <c r="K312" s="166" t="s">
        <v>389</v>
      </c>
      <c r="L312" s="111"/>
      <c r="M312" s="47"/>
      <c r="N312" s="206"/>
      <c r="O312" s="224"/>
    </row>
    <row r="313" spans="2:15" ht="15" x14ac:dyDescent="0.25">
      <c r="B313" s="51"/>
      <c r="C313" s="4"/>
      <c r="D313" s="4"/>
      <c r="E313" s="4"/>
      <c r="F313" s="57"/>
      <c r="G313" s="68"/>
      <c r="H313" s="4" t="s">
        <v>24</v>
      </c>
      <c r="I313" s="110">
        <f t="shared" ref="I313:N313" si="138">I290+I294+I297+I308</f>
        <v>679360</v>
      </c>
      <c r="J313" s="52">
        <f t="shared" si="138"/>
        <v>0</v>
      </c>
      <c r="K313" s="165">
        <f t="shared" si="138"/>
        <v>679360</v>
      </c>
      <c r="L313" s="110">
        <f t="shared" si="138"/>
        <v>0</v>
      </c>
      <c r="M313" s="52">
        <f t="shared" si="138"/>
        <v>0</v>
      </c>
      <c r="N313" s="205">
        <f t="shared" si="138"/>
        <v>0</v>
      </c>
      <c r="O313" s="228">
        <f t="shared" si="130"/>
        <v>0</v>
      </c>
    </row>
    <row r="314" spans="2:15" ht="15" x14ac:dyDescent="0.25">
      <c r="B314" s="51"/>
      <c r="C314" s="4"/>
      <c r="D314" s="4"/>
      <c r="E314" s="4"/>
      <c r="F314" s="57"/>
      <c r="G314" s="68"/>
      <c r="H314" s="4" t="s">
        <v>16</v>
      </c>
      <c r="I314" s="110"/>
      <c r="J314" s="52"/>
      <c r="K314" s="165"/>
      <c r="L314" s="110"/>
      <c r="M314" s="52"/>
      <c r="N314" s="205"/>
      <c r="O314" s="224" t="str">
        <f t="shared" si="130"/>
        <v/>
      </c>
    </row>
    <row r="315" spans="2:15" ht="14.25" x14ac:dyDescent="0.2">
      <c r="B315" s="51"/>
      <c r="C315" s="4"/>
      <c r="D315" s="4"/>
      <c r="E315" s="4"/>
      <c r="F315" s="57"/>
      <c r="G315" s="68"/>
      <c r="H315" s="4" t="s">
        <v>17</v>
      </c>
      <c r="I315" s="108"/>
      <c r="J315" s="46"/>
      <c r="K315" s="164"/>
      <c r="L315" s="108"/>
      <c r="M315" s="46"/>
      <c r="N315" s="204"/>
      <c r="O315" s="224" t="str">
        <f t="shared" si="130"/>
        <v/>
      </c>
    </row>
    <row r="316" spans="2:15" ht="15" thickBot="1" x14ac:dyDescent="0.25">
      <c r="B316" s="6"/>
      <c r="C316" s="7"/>
      <c r="D316" s="7"/>
      <c r="E316" s="7"/>
      <c r="F316" s="59"/>
      <c r="G316" s="70"/>
      <c r="H316" s="7"/>
      <c r="I316" s="112"/>
      <c r="J316" s="13"/>
      <c r="K316" s="167"/>
      <c r="L316" s="112"/>
      <c r="M316" s="13"/>
      <c r="N316" s="207"/>
      <c r="O316" s="227" t="str">
        <f t="shared" si="130"/>
        <v/>
      </c>
    </row>
    <row r="317" spans="2:15" x14ac:dyDescent="0.2">
      <c r="O317" s="230" t="str">
        <f t="shared" si="130"/>
        <v/>
      </c>
    </row>
    <row r="318" spans="2:15" ht="15" x14ac:dyDescent="0.25">
      <c r="B318" s="2" t="s">
        <v>44</v>
      </c>
      <c r="C318" s="3" t="s">
        <v>45</v>
      </c>
      <c r="D318" s="3" t="s">
        <v>48</v>
      </c>
      <c r="E318" s="136" t="s">
        <v>153</v>
      </c>
      <c r="F318" s="49"/>
      <c r="G318" s="49"/>
      <c r="H318" s="182" t="s">
        <v>185</v>
      </c>
      <c r="I318" s="115"/>
      <c r="J318" s="23"/>
      <c r="K318" s="168"/>
      <c r="L318" s="115"/>
      <c r="M318" s="23"/>
      <c r="N318" s="217"/>
      <c r="O318" s="229" t="str">
        <f t="shared" si="130"/>
        <v/>
      </c>
    </row>
    <row r="319" spans="2:15" ht="15" x14ac:dyDescent="0.25">
      <c r="B319" s="51"/>
      <c r="C319" s="4"/>
      <c r="D319" s="4"/>
      <c r="E319" s="4"/>
      <c r="F319" s="57">
        <v>611000</v>
      </c>
      <c r="G319" s="68"/>
      <c r="H319" s="10" t="s">
        <v>57</v>
      </c>
      <c r="I319" s="106">
        <f>I320+I321</f>
        <v>1042120</v>
      </c>
      <c r="J319" s="32">
        <f t="shared" ref="J319:N319" si="139">SUM(J320:J321)</f>
        <v>0</v>
      </c>
      <c r="K319" s="162">
        <f t="shared" si="139"/>
        <v>1042120</v>
      </c>
      <c r="L319" s="106">
        <f t="shared" si="139"/>
        <v>0</v>
      </c>
      <c r="M319" s="32">
        <f t="shared" si="139"/>
        <v>0</v>
      </c>
      <c r="N319" s="202">
        <f t="shared" si="139"/>
        <v>0</v>
      </c>
      <c r="O319" s="228">
        <f t="shared" si="130"/>
        <v>0</v>
      </c>
    </row>
    <row r="320" spans="2:15" ht="14.25" x14ac:dyDescent="0.2">
      <c r="B320" s="50"/>
      <c r="C320" s="8"/>
      <c r="D320" s="8"/>
      <c r="E320" s="8"/>
      <c r="F320" s="58">
        <v>611100</v>
      </c>
      <c r="G320" s="69"/>
      <c r="H320" s="9" t="s">
        <v>68</v>
      </c>
      <c r="I320" s="119">
        <f>816450+1280+2*1820+46530</f>
        <v>867900</v>
      </c>
      <c r="J320" s="34">
        <v>0</v>
      </c>
      <c r="K320" s="163">
        <f>SUM(I320:J320)</f>
        <v>867900</v>
      </c>
      <c r="L320" s="119"/>
      <c r="M320" s="34"/>
      <c r="N320" s="203">
        <f>SUM(L320:M320)</f>
        <v>0</v>
      </c>
      <c r="O320" s="224">
        <f t="shared" si="130"/>
        <v>0</v>
      </c>
    </row>
    <row r="321" spans="2:15" ht="14.25" x14ac:dyDescent="0.2">
      <c r="B321" s="50"/>
      <c r="C321" s="8"/>
      <c r="D321" s="8"/>
      <c r="E321" s="8"/>
      <c r="F321" s="58">
        <v>611200</v>
      </c>
      <c r="G321" s="69"/>
      <c r="H321" s="9" t="s">
        <v>69</v>
      </c>
      <c r="I321" s="119">
        <f>163280+2840+2*4050</f>
        <v>174220</v>
      </c>
      <c r="J321" s="34">
        <v>0</v>
      </c>
      <c r="K321" s="163">
        <f t="shared" ref="K321" si="140">SUM(I321:J321)</f>
        <v>174220</v>
      </c>
      <c r="L321" s="119"/>
      <c r="M321" s="34"/>
      <c r="N321" s="203">
        <f t="shared" ref="N321" si="141">SUM(L321:M321)</f>
        <v>0</v>
      </c>
      <c r="O321" s="224">
        <f t="shared" si="130"/>
        <v>0</v>
      </c>
    </row>
    <row r="322" spans="2:15" ht="15" x14ac:dyDescent="0.25">
      <c r="B322" s="50"/>
      <c r="C322" s="8"/>
      <c r="D322" s="8"/>
      <c r="E322" s="8"/>
      <c r="F322" s="58"/>
      <c r="G322" s="69"/>
      <c r="H322" s="9"/>
      <c r="I322" s="106"/>
      <c r="J322" s="32"/>
      <c r="K322" s="162"/>
      <c r="L322" s="106"/>
      <c r="M322" s="32"/>
      <c r="N322" s="202"/>
      <c r="O322" s="224" t="str">
        <f t="shared" si="130"/>
        <v/>
      </c>
    </row>
    <row r="323" spans="2:15" ht="15" x14ac:dyDescent="0.25">
      <c r="B323" s="51"/>
      <c r="C323" s="4"/>
      <c r="D323" s="4"/>
      <c r="E323" s="4"/>
      <c r="F323" s="57">
        <v>612000</v>
      </c>
      <c r="G323" s="68"/>
      <c r="H323" s="10" t="s">
        <v>56</v>
      </c>
      <c r="I323" s="106">
        <f>I324</f>
        <v>46040</v>
      </c>
      <c r="J323" s="32">
        <f t="shared" ref="J323:N323" si="142">J324</f>
        <v>0</v>
      </c>
      <c r="K323" s="162">
        <f t="shared" si="142"/>
        <v>46040</v>
      </c>
      <c r="L323" s="106">
        <f t="shared" si="142"/>
        <v>0</v>
      </c>
      <c r="M323" s="32">
        <f t="shared" si="142"/>
        <v>0</v>
      </c>
      <c r="N323" s="202">
        <f t="shared" si="142"/>
        <v>0</v>
      </c>
      <c r="O323" s="228">
        <f t="shared" si="130"/>
        <v>0</v>
      </c>
    </row>
    <row r="324" spans="2:15" ht="14.25" x14ac:dyDescent="0.2">
      <c r="B324" s="50"/>
      <c r="C324" s="8"/>
      <c r="D324" s="8"/>
      <c r="E324" s="8"/>
      <c r="F324" s="58">
        <v>612100</v>
      </c>
      <c r="G324" s="69"/>
      <c r="H324" s="145" t="s">
        <v>5</v>
      </c>
      <c r="I324" s="119">
        <f>42790+210+2*300+2440</f>
        <v>46040</v>
      </c>
      <c r="J324" s="34">
        <v>0</v>
      </c>
      <c r="K324" s="163">
        <f>SUM(I324:J324)</f>
        <v>46040</v>
      </c>
      <c r="L324" s="119"/>
      <c r="M324" s="34"/>
      <c r="N324" s="203">
        <f>SUM(L324:M324)</f>
        <v>0</v>
      </c>
      <c r="O324" s="224">
        <f t="shared" si="130"/>
        <v>0</v>
      </c>
    </row>
    <row r="325" spans="2:15" ht="15" x14ac:dyDescent="0.25">
      <c r="B325" s="50"/>
      <c r="C325" s="8"/>
      <c r="D325" s="8"/>
      <c r="E325" s="8"/>
      <c r="F325" s="58"/>
      <c r="G325" s="69"/>
      <c r="H325" s="9"/>
      <c r="I325" s="110"/>
      <c r="J325" s="52"/>
      <c r="K325" s="165"/>
      <c r="L325" s="110"/>
      <c r="M325" s="52"/>
      <c r="N325" s="205"/>
      <c r="O325" s="224" t="str">
        <f t="shared" si="130"/>
        <v/>
      </c>
    </row>
    <row r="326" spans="2:15" ht="15" x14ac:dyDescent="0.25">
      <c r="B326" s="51"/>
      <c r="C326" s="4"/>
      <c r="D326" s="4"/>
      <c r="E326" s="4"/>
      <c r="F326" s="57">
        <v>613000</v>
      </c>
      <c r="G326" s="68"/>
      <c r="H326" s="10" t="s">
        <v>58</v>
      </c>
      <c r="I326" s="109">
        <f>SUM(I327:I335)</f>
        <v>83400</v>
      </c>
      <c r="J326" s="55">
        <f t="shared" ref="J326:N326" si="143">SUM(J327:J335)</f>
        <v>0</v>
      </c>
      <c r="K326" s="165">
        <f t="shared" si="143"/>
        <v>83400</v>
      </c>
      <c r="L326" s="109">
        <f t="shared" si="143"/>
        <v>0</v>
      </c>
      <c r="M326" s="55">
        <f t="shared" si="143"/>
        <v>0</v>
      </c>
      <c r="N326" s="205">
        <f t="shared" si="143"/>
        <v>0</v>
      </c>
      <c r="O326" s="228">
        <f t="shared" si="130"/>
        <v>0</v>
      </c>
    </row>
    <row r="327" spans="2:15" ht="14.25" x14ac:dyDescent="0.2">
      <c r="B327" s="50"/>
      <c r="C327" s="8"/>
      <c r="D327" s="8"/>
      <c r="E327" s="8"/>
      <c r="F327" s="58">
        <v>613100</v>
      </c>
      <c r="G327" s="69"/>
      <c r="H327" s="9" t="s">
        <v>6</v>
      </c>
      <c r="I327" s="100">
        <v>3500</v>
      </c>
      <c r="J327" s="84">
        <v>0</v>
      </c>
      <c r="K327" s="163">
        <f t="shared" ref="K327:K335" si="144">SUM(I327:J327)</f>
        <v>3500</v>
      </c>
      <c r="L327" s="100"/>
      <c r="M327" s="84"/>
      <c r="N327" s="203">
        <f t="shared" ref="N327:N335" si="145">SUM(L327:M327)</f>
        <v>0</v>
      </c>
      <c r="O327" s="224">
        <f t="shared" si="130"/>
        <v>0</v>
      </c>
    </row>
    <row r="328" spans="2:15" ht="14.25" x14ac:dyDescent="0.2">
      <c r="B328" s="50"/>
      <c r="C328" s="8"/>
      <c r="D328" s="8"/>
      <c r="E328" s="8"/>
      <c r="F328" s="58">
        <v>613200</v>
      </c>
      <c r="G328" s="69"/>
      <c r="H328" s="9" t="s">
        <v>7</v>
      </c>
      <c r="I328" s="100">
        <v>30000</v>
      </c>
      <c r="J328" s="84">
        <v>0</v>
      </c>
      <c r="K328" s="163">
        <f t="shared" si="144"/>
        <v>30000</v>
      </c>
      <c r="L328" s="100"/>
      <c r="M328" s="84"/>
      <c r="N328" s="203">
        <f t="shared" si="145"/>
        <v>0</v>
      </c>
      <c r="O328" s="224">
        <f t="shared" si="130"/>
        <v>0</v>
      </c>
    </row>
    <row r="329" spans="2:15" ht="14.25" x14ac:dyDescent="0.2">
      <c r="B329" s="50"/>
      <c r="C329" s="8"/>
      <c r="D329" s="8"/>
      <c r="E329" s="8"/>
      <c r="F329" s="58">
        <v>613300</v>
      </c>
      <c r="G329" s="69"/>
      <c r="H329" s="9" t="s">
        <v>70</v>
      </c>
      <c r="I329" s="100">
        <v>2200</v>
      </c>
      <c r="J329" s="84">
        <v>0</v>
      </c>
      <c r="K329" s="163">
        <f t="shared" si="144"/>
        <v>2200</v>
      </c>
      <c r="L329" s="100"/>
      <c r="M329" s="84"/>
      <c r="N329" s="203">
        <f t="shared" si="145"/>
        <v>0</v>
      </c>
      <c r="O329" s="224">
        <f t="shared" si="130"/>
        <v>0</v>
      </c>
    </row>
    <row r="330" spans="2:15" ht="14.25" x14ac:dyDescent="0.2">
      <c r="B330" s="50"/>
      <c r="C330" s="8"/>
      <c r="D330" s="8"/>
      <c r="E330" s="8"/>
      <c r="F330" s="58">
        <v>613400</v>
      </c>
      <c r="G330" s="69"/>
      <c r="H330" s="9" t="s">
        <v>59</v>
      </c>
      <c r="I330" s="100">
        <v>14000</v>
      </c>
      <c r="J330" s="84">
        <v>0</v>
      </c>
      <c r="K330" s="163">
        <f t="shared" si="144"/>
        <v>14000</v>
      </c>
      <c r="L330" s="100"/>
      <c r="M330" s="84"/>
      <c r="N330" s="203">
        <f t="shared" si="145"/>
        <v>0</v>
      </c>
      <c r="O330" s="224">
        <f t="shared" si="130"/>
        <v>0</v>
      </c>
    </row>
    <row r="331" spans="2:15" ht="14.25" x14ac:dyDescent="0.2">
      <c r="B331" s="50"/>
      <c r="C331" s="8"/>
      <c r="D331" s="8"/>
      <c r="E331" s="8"/>
      <c r="F331" s="58">
        <v>613500</v>
      </c>
      <c r="G331" s="69"/>
      <c r="H331" s="9" t="s">
        <v>8</v>
      </c>
      <c r="I331" s="100">
        <v>1000</v>
      </c>
      <c r="J331" s="84">
        <v>0</v>
      </c>
      <c r="K331" s="163">
        <f t="shared" si="144"/>
        <v>1000</v>
      </c>
      <c r="L331" s="100"/>
      <c r="M331" s="84"/>
      <c r="N331" s="203">
        <f t="shared" si="145"/>
        <v>0</v>
      </c>
      <c r="O331" s="224">
        <f t="shared" si="130"/>
        <v>0</v>
      </c>
    </row>
    <row r="332" spans="2:15" ht="14.25" x14ac:dyDescent="0.2">
      <c r="B332" s="50"/>
      <c r="C332" s="8"/>
      <c r="D332" s="8"/>
      <c r="E332" s="8"/>
      <c r="F332" s="58">
        <v>613600</v>
      </c>
      <c r="G332" s="69"/>
      <c r="H332" s="9" t="s">
        <v>71</v>
      </c>
      <c r="I332" s="100">
        <v>0</v>
      </c>
      <c r="J332" s="84">
        <v>0</v>
      </c>
      <c r="K332" s="163">
        <f t="shared" si="144"/>
        <v>0</v>
      </c>
      <c r="L332" s="100"/>
      <c r="M332" s="84"/>
      <c r="N332" s="203">
        <f t="shared" si="145"/>
        <v>0</v>
      </c>
      <c r="O332" s="224" t="str">
        <f t="shared" si="130"/>
        <v/>
      </c>
    </row>
    <row r="333" spans="2:15" ht="14.25" x14ac:dyDescent="0.2">
      <c r="B333" s="50"/>
      <c r="C333" s="8"/>
      <c r="D333" s="8"/>
      <c r="E333" s="8"/>
      <c r="F333" s="58">
        <v>613700</v>
      </c>
      <c r="G333" s="69"/>
      <c r="H333" s="9" t="s">
        <v>9</v>
      </c>
      <c r="I333" s="100">
        <v>16000</v>
      </c>
      <c r="J333" s="84">
        <v>0</v>
      </c>
      <c r="K333" s="163">
        <f t="shared" si="144"/>
        <v>16000</v>
      </c>
      <c r="L333" s="100"/>
      <c r="M333" s="84"/>
      <c r="N333" s="203">
        <f t="shared" si="145"/>
        <v>0</v>
      </c>
      <c r="O333" s="224">
        <f t="shared" si="130"/>
        <v>0</v>
      </c>
    </row>
    <row r="334" spans="2:15" ht="14.25" x14ac:dyDescent="0.2">
      <c r="B334" s="50"/>
      <c r="C334" s="8"/>
      <c r="D334" s="8"/>
      <c r="E334" s="8"/>
      <c r="F334" s="58">
        <v>613800</v>
      </c>
      <c r="G334" s="69"/>
      <c r="H334" s="9" t="s">
        <v>60</v>
      </c>
      <c r="I334" s="100">
        <v>1200</v>
      </c>
      <c r="J334" s="84">
        <v>0</v>
      </c>
      <c r="K334" s="163">
        <f t="shared" si="144"/>
        <v>1200</v>
      </c>
      <c r="L334" s="100"/>
      <c r="M334" s="84"/>
      <c r="N334" s="203">
        <f t="shared" si="145"/>
        <v>0</v>
      </c>
      <c r="O334" s="224">
        <f t="shared" si="130"/>
        <v>0</v>
      </c>
    </row>
    <row r="335" spans="2:15" ht="14.25" x14ac:dyDescent="0.2">
      <c r="B335" s="50"/>
      <c r="C335" s="8"/>
      <c r="D335" s="8"/>
      <c r="E335" s="8"/>
      <c r="F335" s="58">
        <v>613900</v>
      </c>
      <c r="G335" s="69"/>
      <c r="H335" s="9" t="s">
        <v>61</v>
      </c>
      <c r="I335" s="100">
        <v>15500</v>
      </c>
      <c r="J335" s="84">
        <v>0</v>
      </c>
      <c r="K335" s="163">
        <f t="shared" si="144"/>
        <v>15500</v>
      </c>
      <c r="L335" s="100"/>
      <c r="M335" s="84"/>
      <c r="N335" s="203">
        <f t="shared" si="145"/>
        <v>0</v>
      </c>
      <c r="O335" s="224">
        <f t="shared" si="130"/>
        <v>0</v>
      </c>
    </row>
    <row r="336" spans="2:15" ht="14.25" x14ac:dyDescent="0.2">
      <c r="B336" s="51"/>
      <c r="C336" s="4"/>
      <c r="D336" s="4"/>
      <c r="E336" s="4"/>
      <c r="F336" s="57"/>
      <c r="G336" s="68"/>
      <c r="H336" s="10"/>
      <c r="I336" s="116"/>
      <c r="J336" s="54"/>
      <c r="K336" s="164"/>
      <c r="L336" s="116"/>
      <c r="M336" s="54"/>
      <c r="N336" s="204"/>
      <c r="O336" s="224" t="str">
        <f t="shared" si="130"/>
        <v/>
      </c>
    </row>
    <row r="337" spans="2:15" ht="15" x14ac:dyDescent="0.25">
      <c r="B337" s="51"/>
      <c r="C337" s="4"/>
      <c r="D337" s="4"/>
      <c r="E337" s="4"/>
      <c r="F337" s="57">
        <v>821000</v>
      </c>
      <c r="G337" s="68"/>
      <c r="H337" s="10" t="s">
        <v>12</v>
      </c>
      <c r="I337" s="110">
        <f t="shared" ref="I337" si="146">SUM(I338:I340)</f>
        <v>27006</v>
      </c>
      <c r="J337" s="52">
        <f t="shared" ref="J337:N337" si="147">SUM(J338:J340)</f>
        <v>51774</v>
      </c>
      <c r="K337" s="165">
        <f t="shared" si="147"/>
        <v>78780</v>
      </c>
      <c r="L337" s="110">
        <f t="shared" si="147"/>
        <v>0</v>
      </c>
      <c r="M337" s="52">
        <f t="shared" si="147"/>
        <v>0</v>
      </c>
      <c r="N337" s="205">
        <f t="shared" si="147"/>
        <v>0</v>
      </c>
      <c r="O337" s="228">
        <f t="shared" si="130"/>
        <v>0</v>
      </c>
    </row>
    <row r="338" spans="2:15" ht="14.25" x14ac:dyDescent="0.2">
      <c r="B338" s="50"/>
      <c r="C338" s="8"/>
      <c r="D338" s="8"/>
      <c r="E338" s="8"/>
      <c r="F338" s="58">
        <v>821200</v>
      </c>
      <c r="G338" s="69"/>
      <c r="H338" s="9" t="s">
        <v>13</v>
      </c>
      <c r="I338" s="116">
        <f>10006+7000</f>
        <v>17006</v>
      </c>
      <c r="J338" s="54">
        <v>51774</v>
      </c>
      <c r="K338" s="163">
        <f t="shared" ref="K338:K339" si="148">SUM(I338:J338)</f>
        <v>68780</v>
      </c>
      <c r="L338" s="116"/>
      <c r="M338" s="54"/>
      <c r="N338" s="203">
        <f t="shared" ref="N338:N339" si="149">SUM(L338:M338)</f>
        <v>0</v>
      </c>
      <c r="O338" s="224">
        <f t="shared" si="130"/>
        <v>0</v>
      </c>
    </row>
    <row r="339" spans="2:15" ht="14.25" x14ac:dyDescent="0.2">
      <c r="B339" s="50"/>
      <c r="C339" s="8"/>
      <c r="D339" s="8"/>
      <c r="E339" s="8"/>
      <c r="F339" s="58">
        <v>821300</v>
      </c>
      <c r="G339" s="69"/>
      <c r="H339" s="9" t="s">
        <v>14</v>
      </c>
      <c r="I339" s="116">
        <v>10000</v>
      </c>
      <c r="J339" s="54">
        <v>0</v>
      </c>
      <c r="K339" s="163">
        <f t="shared" si="148"/>
        <v>10000</v>
      </c>
      <c r="L339" s="116"/>
      <c r="M339" s="54"/>
      <c r="N339" s="203">
        <f t="shared" si="149"/>
        <v>0</v>
      </c>
      <c r="O339" s="224">
        <f t="shared" si="130"/>
        <v>0</v>
      </c>
    </row>
    <row r="340" spans="2:15" ht="14.25" x14ac:dyDescent="0.2">
      <c r="B340" s="50"/>
      <c r="C340" s="8"/>
      <c r="D340" s="8"/>
      <c r="E340" s="8"/>
      <c r="F340" s="58"/>
      <c r="G340" s="69"/>
      <c r="H340" s="9"/>
      <c r="I340" s="116"/>
      <c r="J340" s="54"/>
      <c r="K340" s="164"/>
      <c r="L340" s="116"/>
      <c r="M340" s="54"/>
      <c r="N340" s="204"/>
      <c r="O340" s="224" t="str">
        <f t="shared" si="130"/>
        <v/>
      </c>
    </row>
    <row r="341" spans="2:15" ht="15" x14ac:dyDescent="0.25">
      <c r="B341" s="51"/>
      <c r="C341" s="4"/>
      <c r="D341" s="4"/>
      <c r="E341" s="4"/>
      <c r="F341" s="57"/>
      <c r="G341" s="68"/>
      <c r="H341" s="10" t="s">
        <v>15</v>
      </c>
      <c r="I341" s="111" t="s">
        <v>390</v>
      </c>
      <c r="J341" s="47"/>
      <c r="K341" s="166" t="s">
        <v>390</v>
      </c>
      <c r="L341" s="111"/>
      <c r="M341" s="47"/>
      <c r="N341" s="206"/>
      <c r="O341" s="224"/>
    </row>
    <row r="342" spans="2:15" ht="15" x14ac:dyDescent="0.25">
      <c r="B342" s="51"/>
      <c r="C342" s="4"/>
      <c r="D342" s="4"/>
      <c r="E342" s="4"/>
      <c r="F342" s="57"/>
      <c r="G342" s="68"/>
      <c r="H342" s="4" t="s">
        <v>24</v>
      </c>
      <c r="I342" s="110">
        <f t="shared" ref="I342:N342" si="150">I319+I323+I326+I337</f>
        <v>1198566</v>
      </c>
      <c r="J342" s="52">
        <f t="shared" si="150"/>
        <v>51774</v>
      </c>
      <c r="K342" s="165">
        <f t="shared" si="150"/>
        <v>1250340</v>
      </c>
      <c r="L342" s="110">
        <f t="shared" si="150"/>
        <v>0</v>
      </c>
      <c r="M342" s="52">
        <f t="shared" si="150"/>
        <v>0</v>
      </c>
      <c r="N342" s="205">
        <f t="shared" si="150"/>
        <v>0</v>
      </c>
      <c r="O342" s="228">
        <f t="shared" si="130"/>
        <v>0</v>
      </c>
    </row>
    <row r="343" spans="2:15" ht="15" x14ac:dyDescent="0.25">
      <c r="B343" s="51"/>
      <c r="C343" s="4"/>
      <c r="D343" s="4"/>
      <c r="E343" s="4"/>
      <c r="F343" s="57"/>
      <c r="G343" s="68"/>
      <c r="H343" s="4" t="s">
        <v>16</v>
      </c>
      <c r="I343" s="110">
        <f t="shared" ref="I343:N343" si="151">I342+I313+I284+I255+I226+I197+I168</f>
        <v>13330942</v>
      </c>
      <c r="J343" s="52">
        <f t="shared" si="151"/>
        <v>134588</v>
      </c>
      <c r="K343" s="165">
        <f t="shared" si="151"/>
        <v>13465530</v>
      </c>
      <c r="L343" s="110">
        <f t="shared" si="151"/>
        <v>0</v>
      </c>
      <c r="M343" s="52">
        <f t="shared" si="151"/>
        <v>0</v>
      </c>
      <c r="N343" s="205">
        <f t="shared" si="151"/>
        <v>0</v>
      </c>
      <c r="O343" s="228">
        <f t="shared" si="130"/>
        <v>0</v>
      </c>
    </row>
    <row r="344" spans="2:15" ht="15" x14ac:dyDescent="0.25">
      <c r="B344" s="51"/>
      <c r="C344" s="4"/>
      <c r="D344" s="4"/>
      <c r="E344" s="4"/>
      <c r="F344" s="57"/>
      <c r="G344" s="68"/>
      <c r="H344" s="4" t="s">
        <v>17</v>
      </c>
      <c r="I344" s="110"/>
      <c r="J344" s="52"/>
      <c r="K344" s="165"/>
      <c r="L344" s="110"/>
      <c r="M344" s="52"/>
      <c r="N344" s="205"/>
      <c r="O344" s="228"/>
    </row>
    <row r="345" spans="2:15" ht="15" thickBot="1" x14ac:dyDescent="0.25">
      <c r="B345" s="6"/>
      <c r="C345" s="7"/>
      <c r="D345" s="7"/>
      <c r="E345" s="7"/>
      <c r="F345" s="59"/>
      <c r="G345" s="70"/>
      <c r="H345" s="7"/>
      <c r="I345" s="112"/>
      <c r="J345" s="13"/>
      <c r="K345" s="167"/>
      <c r="L345" s="112"/>
      <c r="M345" s="13"/>
      <c r="N345" s="207"/>
      <c r="O345" s="227" t="str">
        <f t="shared" si="130"/>
        <v/>
      </c>
    </row>
    <row r="346" spans="2:15" x14ac:dyDescent="0.2">
      <c r="O346" s="233" t="str">
        <f t="shared" si="130"/>
        <v/>
      </c>
    </row>
  </sheetData>
  <mergeCells count="14">
    <mergeCell ref="H7:H8"/>
    <mergeCell ref="I7:K7"/>
    <mergeCell ref="L7:N7"/>
    <mergeCell ref="O7:O8"/>
    <mergeCell ref="B1:N1"/>
    <mergeCell ref="F3:K3"/>
    <mergeCell ref="D5:E5"/>
    <mergeCell ref="H6:I6"/>
    <mergeCell ref="B7:B8"/>
    <mergeCell ref="C7:C8"/>
    <mergeCell ref="D7:D8"/>
    <mergeCell ref="E7:E8"/>
    <mergeCell ref="F7:F8"/>
    <mergeCell ref="G7:G8"/>
  </mergeCells>
  <pageMargins left="0.39370078740157483" right="0.39370078740157483" top="0.39370078740157483" bottom="0.39370078740157483" header="0.31496062992125984" footer="0.31496062992125984"/>
  <pageSetup paperSize="9" scale="75" orientation="landscape" r:id="rId1"/>
  <rowBreaks count="11" manualBreakCount="11">
    <brk id="45" max="16383" man="1"/>
    <brk id="56" max="16383" man="1"/>
    <brk id="85" max="16383" man="1"/>
    <brk id="114" max="16383" man="1"/>
    <brk id="143" max="16383" man="1"/>
    <brk id="172" max="16383" man="1"/>
    <brk id="201" max="16383" man="1"/>
    <brk id="230" max="16383" man="1"/>
    <brk id="259" max="16383" man="1"/>
    <brk id="288" max="16383" man="1"/>
    <brk id="317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List14"/>
  <dimension ref="B1:O42"/>
  <sheetViews>
    <sheetView topLeftCell="B1" zoomScaleNormal="100" workbookViewId="0">
      <selection activeCell="L9" sqref="L9:O9"/>
    </sheetView>
  </sheetViews>
  <sheetFormatPr defaultColWidth="9.140625" defaultRowHeight="12.75" x14ac:dyDescent="0.2"/>
  <cols>
    <col min="1" max="1" width="6.140625" style="17" customWidth="1"/>
    <col min="2" max="2" width="4.7109375" style="17" customWidth="1"/>
    <col min="3" max="3" width="5.140625" style="17" customWidth="1"/>
    <col min="4" max="5" width="5" style="17" customWidth="1"/>
    <col min="6" max="7" width="8.7109375" style="53" customWidth="1"/>
    <col min="8" max="8" width="50.7109375" style="17" customWidth="1"/>
    <col min="9" max="9" width="11.7109375" style="17" customWidth="1"/>
    <col min="10" max="10" width="11.85546875" style="17" customWidth="1"/>
    <col min="11" max="11" width="13.5703125" style="17" customWidth="1"/>
    <col min="12" max="13" width="14.7109375" style="17" customWidth="1"/>
    <col min="14" max="14" width="15.7109375" style="17" customWidth="1"/>
    <col min="15" max="15" width="9.140625" style="17"/>
    <col min="16" max="16" width="9.5703125" style="17" bestFit="1" customWidth="1"/>
    <col min="17" max="16384" width="9.140625" style="17"/>
  </cols>
  <sheetData>
    <row r="1" spans="2:15" ht="15.75" x14ac:dyDescent="0.25">
      <c r="B1" s="428" t="s">
        <v>374</v>
      </c>
      <c r="C1" s="429"/>
      <c r="D1" s="429"/>
      <c r="E1" s="429"/>
      <c r="F1" s="429"/>
      <c r="G1" s="429"/>
      <c r="H1" s="429"/>
      <c r="I1" s="430"/>
      <c r="J1" s="430"/>
      <c r="K1" s="430"/>
      <c r="L1" s="430"/>
      <c r="M1" s="430"/>
      <c r="N1" s="430"/>
    </row>
    <row r="2" spans="2:15" x14ac:dyDescent="0.2">
      <c r="M2" s="126" t="s">
        <v>232</v>
      </c>
      <c r="N2" s="196"/>
    </row>
    <row r="3" spans="2:15" ht="15.75" x14ac:dyDescent="0.25">
      <c r="B3" s="180" t="s">
        <v>173</v>
      </c>
      <c r="F3" s="431" t="s">
        <v>211</v>
      </c>
      <c r="G3" s="432"/>
      <c r="H3" s="432"/>
      <c r="I3" s="432"/>
      <c r="J3" s="432"/>
      <c r="K3" s="432"/>
    </row>
    <row r="4" spans="2:15" x14ac:dyDescent="0.2">
      <c r="B4" s="180"/>
      <c r="G4"/>
      <c r="H4"/>
      <c r="I4"/>
      <c r="J4"/>
      <c r="K4"/>
    </row>
    <row r="5" spans="2:15" ht="15.75" x14ac:dyDescent="0.25">
      <c r="B5" s="180" t="s">
        <v>172</v>
      </c>
      <c r="D5" s="433">
        <v>21</v>
      </c>
      <c r="E5" s="434"/>
      <c r="F5" s="181"/>
      <c r="G5" s="181"/>
      <c r="I5" s="180"/>
      <c r="L5" s="411"/>
    </row>
    <row r="6" spans="2:15" s="22" customFormat="1" ht="16.5" thickBot="1" x14ac:dyDescent="0.3">
      <c r="F6" s="48"/>
      <c r="G6" s="48"/>
      <c r="H6" s="435"/>
      <c r="I6" s="435"/>
      <c r="J6" s="26"/>
      <c r="K6" s="26"/>
      <c r="L6" s="26"/>
      <c r="M6" s="26"/>
      <c r="N6" s="26"/>
    </row>
    <row r="7" spans="2:15" s="22" customFormat="1" ht="28.5" customHeight="1" x14ac:dyDescent="0.2">
      <c r="B7" s="436" t="s">
        <v>0</v>
      </c>
      <c r="C7" s="438" t="s">
        <v>1</v>
      </c>
      <c r="D7" s="438" t="s">
        <v>21</v>
      </c>
      <c r="E7" s="438" t="s">
        <v>135</v>
      </c>
      <c r="F7" s="421" t="s">
        <v>85</v>
      </c>
      <c r="G7" s="440" t="s">
        <v>88</v>
      </c>
      <c r="H7" s="421" t="s">
        <v>2</v>
      </c>
      <c r="I7" s="423" t="s">
        <v>375</v>
      </c>
      <c r="J7" s="424"/>
      <c r="K7" s="425"/>
      <c r="L7" s="423" t="s">
        <v>373</v>
      </c>
      <c r="M7" s="424"/>
      <c r="N7" s="424"/>
      <c r="O7" s="426" t="s">
        <v>258</v>
      </c>
    </row>
    <row r="8" spans="2:15" s="22" customFormat="1" ht="25.5" x14ac:dyDescent="0.2">
      <c r="B8" s="437"/>
      <c r="C8" s="439"/>
      <c r="D8" s="439"/>
      <c r="E8" s="439"/>
      <c r="F8" s="422"/>
      <c r="G8" s="439"/>
      <c r="H8" s="422"/>
      <c r="I8" s="105" t="s">
        <v>117</v>
      </c>
      <c r="J8" s="85" t="s">
        <v>118</v>
      </c>
      <c r="K8" s="159" t="s">
        <v>81</v>
      </c>
      <c r="L8" s="105" t="s">
        <v>117</v>
      </c>
      <c r="M8" s="85" t="s">
        <v>118</v>
      </c>
      <c r="N8" s="200" t="s">
        <v>81</v>
      </c>
      <c r="O8" s="427"/>
    </row>
    <row r="9" spans="2:15" s="48" customFormat="1" x14ac:dyDescent="0.2">
      <c r="B9" s="97">
        <v>1</v>
      </c>
      <c r="C9" s="68">
        <v>2</v>
      </c>
      <c r="D9" s="68">
        <v>3</v>
      </c>
      <c r="E9" s="68">
        <v>4</v>
      </c>
      <c r="F9" s="68">
        <v>5</v>
      </c>
      <c r="G9" s="68">
        <v>6</v>
      </c>
      <c r="H9" s="68">
        <v>7</v>
      </c>
      <c r="I9" s="97">
        <v>8</v>
      </c>
      <c r="J9" s="68">
        <v>9</v>
      </c>
      <c r="K9" s="160" t="s">
        <v>171</v>
      </c>
      <c r="L9" s="97">
        <v>11</v>
      </c>
      <c r="M9" s="68">
        <v>12</v>
      </c>
      <c r="N9" s="68" t="s">
        <v>394</v>
      </c>
      <c r="O9" s="232" t="s">
        <v>395</v>
      </c>
    </row>
    <row r="10" spans="2:15" ht="15" x14ac:dyDescent="0.25">
      <c r="B10" s="2" t="s">
        <v>49</v>
      </c>
      <c r="C10" s="3" t="s">
        <v>3</v>
      </c>
      <c r="D10" s="3" t="s">
        <v>4</v>
      </c>
      <c r="E10" s="136" t="s">
        <v>143</v>
      </c>
      <c r="F10" s="49"/>
      <c r="G10" s="49"/>
      <c r="H10" s="182" t="s">
        <v>186</v>
      </c>
      <c r="I10" s="115"/>
      <c r="J10" s="23"/>
      <c r="K10" s="168"/>
      <c r="L10" s="115"/>
      <c r="M10" s="23"/>
      <c r="N10" s="217"/>
      <c r="O10" s="224" t="str">
        <f t="shared" ref="O10:O16" si="0">IF(K10=0,"",N10/K10*100)</f>
        <v/>
      </c>
    </row>
    <row r="11" spans="2:15" ht="15" x14ac:dyDescent="0.25">
      <c r="B11" s="51"/>
      <c r="C11" s="4"/>
      <c r="D11" s="4"/>
      <c r="E11" s="4"/>
      <c r="F11" s="57">
        <v>611000</v>
      </c>
      <c r="G11" s="68"/>
      <c r="H11" s="10" t="s">
        <v>57</v>
      </c>
      <c r="I11" s="106">
        <f>SUM(I12:I13)</f>
        <v>539910</v>
      </c>
      <c r="J11" s="32">
        <f t="shared" ref="J11:N11" si="1">SUM(J12:J13)</f>
        <v>0</v>
      </c>
      <c r="K11" s="162">
        <f t="shared" si="1"/>
        <v>539910</v>
      </c>
      <c r="L11" s="106">
        <f t="shared" si="1"/>
        <v>0</v>
      </c>
      <c r="M11" s="32">
        <f t="shared" si="1"/>
        <v>0</v>
      </c>
      <c r="N11" s="202">
        <f t="shared" si="1"/>
        <v>0</v>
      </c>
      <c r="O11" s="228">
        <f t="shared" si="0"/>
        <v>0</v>
      </c>
    </row>
    <row r="12" spans="2:15" ht="14.25" x14ac:dyDescent="0.2">
      <c r="B12" s="50"/>
      <c r="C12" s="8"/>
      <c r="D12" s="8"/>
      <c r="E12" s="8"/>
      <c r="F12" s="58">
        <v>611100</v>
      </c>
      <c r="G12" s="69"/>
      <c r="H12" s="9" t="s">
        <v>68</v>
      </c>
      <c r="I12" s="119">
        <f>463000+730-12*3080+24300</f>
        <v>451070</v>
      </c>
      <c r="J12" s="34">
        <v>0</v>
      </c>
      <c r="K12" s="163">
        <f>SUM(I12:J12)</f>
        <v>451070</v>
      </c>
      <c r="L12" s="119"/>
      <c r="M12" s="34"/>
      <c r="N12" s="203">
        <f>SUM(L12:M12)</f>
        <v>0</v>
      </c>
      <c r="O12" s="224">
        <f t="shared" si="0"/>
        <v>0</v>
      </c>
    </row>
    <row r="13" spans="2:15" ht="14.25" x14ac:dyDescent="0.2">
      <c r="B13" s="50"/>
      <c r="C13" s="8"/>
      <c r="D13" s="8"/>
      <c r="E13" s="8"/>
      <c r="F13" s="58">
        <v>611200</v>
      </c>
      <c r="G13" s="69"/>
      <c r="H13" s="9" t="s">
        <v>69</v>
      </c>
      <c r="I13" s="119">
        <f>93150+1620-850-5080</f>
        <v>88840</v>
      </c>
      <c r="J13" s="34">
        <v>0</v>
      </c>
      <c r="K13" s="163">
        <f t="shared" ref="K13" si="2">SUM(I13:J13)</f>
        <v>88840</v>
      </c>
      <c r="L13" s="119"/>
      <c r="M13" s="34"/>
      <c r="N13" s="203">
        <f t="shared" ref="N13" si="3">SUM(L13:M13)</f>
        <v>0</v>
      </c>
      <c r="O13" s="224">
        <f t="shared" si="0"/>
        <v>0</v>
      </c>
    </row>
    <row r="14" spans="2:15" ht="15" x14ac:dyDescent="0.25">
      <c r="B14" s="50"/>
      <c r="C14" s="8"/>
      <c r="D14" s="8"/>
      <c r="E14" s="8"/>
      <c r="F14" s="58"/>
      <c r="G14" s="69"/>
      <c r="H14" s="9"/>
      <c r="I14" s="106"/>
      <c r="J14" s="32"/>
      <c r="K14" s="162"/>
      <c r="L14" s="106"/>
      <c r="M14" s="32"/>
      <c r="N14" s="202"/>
      <c r="O14" s="224" t="str">
        <f t="shared" si="0"/>
        <v/>
      </c>
    </row>
    <row r="15" spans="2:15" ht="15" x14ac:dyDescent="0.25">
      <c r="B15" s="51"/>
      <c r="C15" s="4"/>
      <c r="D15" s="4"/>
      <c r="E15" s="4"/>
      <c r="F15" s="57">
        <v>612000</v>
      </c>
      <c r="G15" s="68"/>
      <c r="H15" s="10" t="s">
        <v>56</v>
      </c>
      <c r="I15" s="106">
        <f t="shared" ref="I15" si="4">I16</f>
        <v>22300</v>
      </c>
      <c r="J15" s="32">
        <f t="shared" ref="J15:N15" si="5">J16</f>
        <v>0</v>
      </c>
      <c r="K15" s="162">
        <f t="shared" si="5"/>
        <v>22300</v>
      </c>
      <c r="L15" s="106">
        <f t="shared" si="5"/>
        <v>0</v>
      </c>
      <c r="M15" s="32">
        <f t="shared" si="5"/>
        <v>0</v>
      </c>
      <c r="N15" s="202">
        <f t="shared" si="5"/>
        <v>0</v>
      </c>
      <c r="O15" s="228">
        <f t="shared" si="0"/>
        <v>0</v>
      </c>
    </row>
    <row r="16" spans="2:15" ht="14.25" x14ac:dyDescent="0.2">
      <c r="B16" s="50"/>
      <c r="C16" s="8"/>
      <c r="D16" s="8"/>
      <c r="E16" s="8"/>
      <c r="F16" s="58">
        <v>612100</v>
      </c>
      <c r="G16" s="69"/>
      <c r="H16" s="145" t="s">
        <v>5</v>
      </c>
      <c r="I16" s="119">
        <f>22790+120-12*150+1190</f>
        <v>22300</v>
      </c>
      <c r="J16" s="34">
        <v>0</v>
      </c>
      <c r="K16" s="163">
        <f>SUM(I16:J16)</f>
        <v>22300</v>
      </c>
      <c r="L16" s="119"/>
      <c r="M16" s="34"/>
      <c r="N16" s="203">
        <f>SUM(L16:M16)</f>
        <v>0</v>
      </c>
      <c r="O16" s="224">
        <f t="shared" si="0"/>
        <v>0</v>
      </c>
    </row>
    <row r="17" spans="2:15" ht="15" x14ac:dyDescent="0.25">
      <c r="B17" s="50"/>
      <c r="C17" s="8"/>
      <c r="D17" s="8"/>
      <c r="E17" s="8"/>
      <c r="F17" s="58"/>
      <c r="G17" s="69"/>
      <c r="H17" s="9"/>
      <c r="I17" s="110"/>
      <c r="J17" s="52"/>
      <c r="K17" s="165"/>
      <c r="L17" s="110"/>
      <c r="M17" s="52"/>
      <c r="N17" s="205"/>
      <c r="O17" s="224" t="str">
        <f t="shared" ref="O17:O42" si="6">IF(K17=0,"",N17/K17*100)</f>
        <v/>
      </c>
    </row>
    <row r="18" spans="2:15" ht="15" x14ac:dyDescent="0.25">
      <c r="B18" s="51"/>
      <c r="C18" s="4"/>
      <c r="D18" s="4"/>
      <c r="E18" s="4"/>
      <c r="F18" s="57">
        <v>613000</v>
      </c>
      <c r="G18" s="68"/>
      <c r="H18" s="10" t="s">
        <v>58</v>
      </c>
      <c r="I18" s="102">
        <f>SUM(I19:I27)</f>
        <v>29300</v>
      </c>
      <c r="J18" s="52">
        <f t="shared" ref="J18:N18" si="7">SUM(J19:J27)</f>
        <v>0</v>
      </c>
      <c r="K18" s="165">
        <f t="shared" si="7"/>
        <v>29300</v>
      </c>
      <c r="L18" s="102">
        <f t="shared" si="7"/>
        <v>0</v>
      </c>
      <c r="M18" s="52">
        <f t="shared" si="7"/>
        <v>0</v>
      </c>
      <c r="N18" s="205">
        <f t="shared" si="7"/>
        <v>0</v>
      </c>
      <c r="O18" s="228">
        <f t="shared" si="6"/>
        <v>0</v>
      </c>
    </row>
    <row r="19" spans="2:15" ht="14.25" x14ac:dyDescent="0.2">
      <c r="B19" s="50"/>
      <c r="C19" s="8"/>
      <c r="D19" s="8"/>
      <c r="E19" s="8"/>
      <c r="F19" s="58">
        <v>613100</v>
      </c>
      <c r="G19" s="69"/>
      <c r="H19" s="9" t="s">
        <v>6</v>
      </c>
      <c r="I19" s="100">
        <v>3000</v>
      </c>
      <c r="J19" s="84">
        <v>0</v>
      </c>
      <c r="K19" s="163">
        <f t="shared" ref="K19:K27" si="8">SUM(I19:J19)</f>
        <v>3000</v>
      </c>
      <c r="L19" s="100"/>
      <c r="M19" s="84"/>
      <c r="N19" s="203">
        <f t="shared" ref="N19:N27" si="9">SUM(L19:M19)</f>
        <v>0</v>
      </c>
      <c r="O19" s="224">
        <f t="shared" si="6"/>
        <v>0</v>
      </c>
    </row>
    <row r="20" spans="2:15" ht="14.25" x14ac:dyDescent="0.2">
      <c r="B20" s="50"/>
      <c r="C20" s="8"/>
      <c r="D20" s="8"/>
      <c r="E20" s="8"/>
      <c r="F20" s="58">
        <v>613200</v>
      </c>
      <c r="G20" s="69"/>
      <c r="H20" s="9" t="s">
        <v>7</v>
      </c>
      <c r="I20" s="100">
        <v>0</v>
      </c>
      <c r="J20" s="84">
        <v>0</v>
      </c>
      <c r="K20" s="163">
        <f t="shared" si="8"/>
        <v>0</v>
      </c>
      <c r="L20" s="100"/>
      <c r="M20" s="84"/>
      <c r="N20" s="203">
        <f t="shared" si="9"/>
        <v>0</v>
      </c>
      <c r="O20" s="224" t="str">
        <f t="shared" si="6"/>
        <v/>
      </c>
    </row>
    <row r="21" spans="2:15" ht="14.25" x14ac:dyDescent="0.2">
      <c r="B21" s="50"/>
      <c r="C21" s="8"/>
      <c r="D21" s="8"/>
      <c r="E21" s="8"/>
      <c r="F21" s="58">
        <v>613300</v>
      </c>
      <c r="G21" s="69"/>
      <c r="H21" s="9" t="s">
        <v>70</v>
      </c>
      <c r="I21" s="100">
        <v>3000</v>
      </c>
      <c r="J21" s="84">
        <v>0</v>
      </c>
      <c r="K21" s="163">
        <f t="shared" si="8"/>
        <v>3000</v>
      </c>
      <c r="L21" s="100"/>
      <c r="M21" s="84"/>
      <c r="N21" s="203">
        <f t="shared" si="9"/>
        <v>0</v>
      </c>
      <c r="O21" s="224">
        <f t="shared" si="6"/>
        <v>0</v>
      </c>
    </row>
    <row r="22" spans="2:15" ht="14.25" x14ac:dyDescent="0.2">
      <c r="B22" s="50"/>
      <c r="C22" s="8"/>
      <c r="D22" s="8"/>
      <c r="E22" s="8"/>
      <c r="F22" s="58">
        <v>613400</v>
      </c>
      <c r="G22" s="69"/>
      <c r="H22" s="9" t="s">
        <v>59</v>
      </c>
      <c r="I22" s="100">
        <v>1500</v>
      </c>
      <c r="J22" s="84">
        <v>0</v>
      </c>
      <c r="K22" s="163">
        <f t="shared" si="8"/>
        <v>1500</v>
      </c>
      <c r="L22" s="100"/>
      <c r="M22" s="84"/>
      <c r="N22" s="203">
        <f t="shared" si="9"/>
        <v>0</v>
      </c>
      <c r="O22" s="224">
        <f t="shared" si="6"/>
        <v>0</v>
      </c>
    </row>
    <row r="23" spans="2:15" ht="14.25" x14ac:dyDescent="0.2">
      <c r="B23" s="50"/>
      <c r="C23" s="8"/>
      <c r="D23" s="8"/>
      <c r="E23" s="8"/>
      <c r="F23" s="58">
        <v>613500</v>
      </c>
      <c r="G23" s="69"/>
      <c r="H23" s="9" t="s">
        <v>8</v>
      </c>
      <c r="I23" s="100">
        <v>0</v>
      </c>
      <c r="J23" s="84">
        <v>0</v>
      </c>
      <c r="K23" s="163">
        <f t="shared" si="8"/>
        <v>0</v>
      </c>
      <c r="L23" s="100"/>
      <c r="M23" s="84"/>
      <c r="N23" s="203">
        <f t="shared" si="9"/>
        <v>0</v>
      </c>
      <c r="O23" s="224" t="str">
        <f t="shared" si="6"/>
        <v/>
      </c>
    </row>
    <row r="24" spans="2:15" ht="14.25" x14ac:dyDescent="0.2">
      <c r="B24" s="50"/>
      <c r="C24" s="8"/>
      <c r="D24" s="8"/>
      <c r="E24" s="8"/>
      <c r="F24" s="58">
        <v>613600</v>
      </c>
      <c r="G24" s="69"/>
      <c r="H24" s="9" t="s">
        <v>71</v>
      </c>
      <c r="I24" s="100">
        <v>0</v>
      </c>
      <c r="J24" s="84">
        <v>0</v>
      </c>
      <c r="K24" s="163">
        <f t="shared" si="8"/>
        <v>0</v>
      </c>
      <c r="L24" s="100"/>
      <c r="M24" s="84"/>
      <c r="N24" s="203">
        <f t="shared" si="9"/>
        <v>0</v>
      </c>
      <c r="O24" s="224" t="str">
        <f t="shared" si="6"/>
        <v/>
      </c>
    </row>
    <row r="25" spans="2:15" ht="14.25" x14ac:dyDescent="0.2">
      <c r="B25" s="50"/>
      <c r="C25" s="8"/>
      <c r="D25" s="8"/>
      <c r="E25" s="8"/>
      <c r="F25" s="58">
        <v>613700</v>
      </c>
      <c r="G25" s="69"/>
      <c r="H25" s="9" t="s">
        <v>9</v>
      </c>
      <c r="I25" s="100">
        <v>1000</v>
      </c>
      <c r="J25" s="84">
        <v>0</v>
      </c>
      <c r="K25" s="163">
        <f t="shared" si="8"/>
        <v>1000</v>
      </c>
      <c r="L25" s="100"/>
      <c r="M25" s="84"/>
      <c r="N25" s="203">
        <f t="shared" si="9"/>
        <v>0</v>
      </c>
      <c r="O25" s="224">
        <f t="shared" si="6"/>
        <v>0</v>
      </c>
    </row>
    <row r="26" spans="2:15" ht="14.25" x14ac:dyDescent="0.2">
      <c r="B26" s="50"/>
      <c r="C26" s="8"/>
      <c r="D26" s="8"/>
      <c r="E26" s="8"/>
      <c r="F26" s="58">
        <v>613800</v>
      </c>
      <c r="G26" s="69"/>
      <c r="H26" s="9" t="s">
        <v>60</v>
      </c>
      <c r="I26" s="100">
        <v>800</v>
      </c>
      <c r="J26" s="84">
        <v>0</v>
      </c>
      <c r="K26" s="163">
        <f t="shared" si="8"/>
        <v>800</v>
      </c>
      <c r="L26" s="100"/>
      <c r="M26" s="84"/>
      <c r="N26" s="203">
        <f t="shared" si="9"/>
        <v>0</v>
      </c>
      <c r="O26" s="224">
        <f t="shared" si="6"/>
        <v>0</v>
      </c>
    </row>
    <row r="27" spans="2:15" ht="14.25" x14ac:dyDescent="0.2">
      <c r="B27" s="50"/>
      <c r="C27" s="8"/>
      <c r="D27" s="8"/>
      <c r="E27" s="8"/>
      <c r="F27" s="58">
        <v>613900</v>
      </c>
      <c r="G27" s="69"/>
      <c r="H27" s="9" t="s">
        <v>61</v>
      </c>
      <c r="I27" s="100">
        <v>20000</v>
      </c>
      <c r="J27" s="84">
        <v>0</v>
      </c>
      <c r="K27" s="163">
        <f t="shared" si="8"/>
        <v>20000</v>
      </c>
      <c r="L27" s="100"/>
      <c r="M27" s="84"/>
      <c r="N27" s="203">
        <f t="shared" si="9"/>
        <v>0</v>
      </c>
      <c r="O27" s="224">
        <f t="shared" si="6"/>
        <v>0</v>
      </c>
    </row>
    <row r="28" spans="2:15" ht="15" x14ac:dyDescent="0.25">
      <c r="B28" s="50"/>
      <c r="C28" s="8"/>
      <c r="D28" s="8"/>
      <c r="E28" s="8"/>
      <c r="F28" s="58"/>
      <c r="G28" s="69"/>
      <c r="H28" s="9"/>
      <c r="I28" s="110"/>
      <c r="J28" s="52"/>
      <c r="K28" s="165"/>
      <c r="L28" s="110"/>
      <c r="M28" s="52"/>
      <c r="N28" s="205"/>
      <c r="O28" s="224" t="str">
        <f t="shared" si="6"/>
        <v/>
      </c>
    </row>
    <row r="29" spans="2:15" ht="15" x14ac:dyDescent="0.25">
      <c r="B29" s="51"/>
      <c r="C29" s="4"/>
      <c r="D29" s="4"/>
      <c r="E29" s="4"/>
      <c r="F29" s="57">
        <v>614000</v>
      </c>
      <c r="G29" s="68"/>
      <c r="H29" s="10" t="s">
        <v>72</v>
      </c>
      <c r="I29" s="124">
        <f t="shared" ref="I29" si="10">I30+I31</f>
        <v>2270000</v>
      </c>
      <c r="J29" s="52">
        <f t="shared" ref="J29:N29" si="11">J30+J31</f>
        <v>0</v>
      </c>
      <c r="K29" s="165">
        <f t="shared" si="11"/>
        <v>2270000</v>
      </c>
      <c r="L29" s="124">
        <f t="shared" si="11"/>
        <v>0</v>
      </c>
      <c r="M29" s="52">
        <f t="shared" si="11"/>
        <v>0</v>
      </c>
      <c r="N29" s="205">
        <f t="shared" si="11"/>
        <v>0</v>
      </c>
      <c r="O29" s="228">
        <f t="shared" si="6"/>
        <v>0</v>
      </c>
    </row>
    <row r="30" spans="2:15" ht="14.25" x14ac:dyDescent="0.2">
      <c r="B30" s="50"/>
      <c r="C30" s="8"/>
      <c r="D30" s="8"/>
      <c r="E30" s="8"/>
      <c r="F30" s="58">
        <v>614200</v>
      </c>
      <c r="G30" s="69" t="s">
        <v>115</v>
      </c>
      <c r="H30" s="152" t="s">
        <v>259</v>
      </c>
      <c r="I30" s="116">
        <v>2050000</v>
      </c>
      <c r="J30" s="54">
        <v>0</v>
      </c>
      <c r="K30" s="163">
        <f>SUM(I30:J30)</f>
        <v>2050000</v>
      </c>
      <c r="L30" s="116"/>
      <c r="M30" s="54"/>
      <c r="N30" s="203">
        <f>SUM(L30:M30)</f>
        <v>0</v>
      </c>
      <c r="O30" s="224">
        <f t="shared" si="6"/>
        <v>0</v>
      </c>
    </row>
    <row r="31" spans="2:15" ht="25.5" x14ac:dyDescent="0.2">
      <c r="B31" s="50"/>
      <c r="C31" s="8"/>
      <c r="D31" s="8"/>
      <c r="E31" s="8"/>
      <c r="F31" s="58">
        <v>614300</v>
      </c>
      <c r="G31" s="69"/>
      <c r="H31" s="410" t="s">
        <v>366</v>
      </c>
      <c r="I31" s="116">
        <v>220000</v>
      </c>
      <c r="J31" s="54">
        <v>0</v>
      </c>
      <c r="K31" s="163">
        <f>SUM(I31:J31)</f>
        <v>220000</v>
      </c>
      <c r="L31" s="116"/>
      <c r="M31" s="54"/>
      <c r="N31" s="203">
        <f>SUM(L31:M31)</f>
        <v>0</v>
      </c>
      <c r="O31" s="224">
        <f t="shared" ref="O31" si="12">IF(K31=0,"",N31/K31*100)</f>
        <v>0</v>
      </c>
    </row>
    <row r="32" spans="2:15" ht="14.25" x14ac:dyDescent="0.2">
      <c r="B32" s="50"/>
      <c r="C32" s="8"/>
      <c r="D32" s="8"/>
      <c r="E32" s="8"/>
      <c r="F32" s="58"/>
      <c r="G32" s="69"/>
      <c r="H32" s="9"/>
      <c r="I32" s="116"/>
      <c r="J32" s="54"/>
      <c r="K32" s="164"/>
      <c r="L32" s="116"/>
      <c r="M32" s="54"/>
      <c r="N32" s="204"/>
      <c r="O32" s="224" t="str">
        <f t="shared" si="6"/>
        <v/>
      </c>
    </row>
    <row r="33" spans="2:15" ht="15" x14ac:dyDescent="0.25">
      <c r="B33" s="51"/>
      <c r="C33" s="4"/>
      <c r="D33" s="4"/>
      <c r="E33" s="4"/>
      <c r="F33" s="57">
        <v>821000</v>
      </c>
      <c r="G33" s="68"/>
      <c r="H33" s="10" t="s">
        <v>12</v>
      </c>
      <c r="I33" s="110">
        <f t="shared" ref="I33" si="13">SUM(I34:I35)</f>
        <v>9000</v>
      </c>
      <c r="J33" s="52">
        <f>SUM(J34:J35)</f>
        <v>0</v>
      </c>
      <c r="K33" s="165">
        <f>SUM(K34:K35)</f>
        <v>9000</v>
      </c>
      <c r="L33" s="110">
        <f t="shared" ref="L33" si="14">SUM(L34:L35)</f>
        <v>0</v>
      </c>
      <c r="M33" s="52">
        <f>SUM(M34:M35)</f>
        <v>0</v>
      </c>
      <c r="N33" s="205">
        <f>SUM(N34:N35)</f>
        <v>0</v>
      </c>
      <c r="O33" s="228">
        <f t="shared" si="6"/>
        <v>0</v>
      </c>
    </row>
    <row r="34" spans="2:15" ht="14.25" x14ac:dyDescent="0.2">
      <c r="B34" s="50"/>
      <c r="C34" s="8"/>
      <c r="D34" s="8"/>
      <c r="E34" s="8"/>
      <c r="F34" s="58">
        <v>821200</v>
      </c>
      <c r="G34" s="69"/>
      <c r="H34" s="9" t="s">
        <v>13</v>
      </c>
      <c r="I34" s="116">
        <v>0</v>
      </c>
      <c r="J34" s="54">
        <v>0</v>
      </c>
      <c r="K34" s="163">
        <f t="shared" ref="K34:K35" si="15">SUM(I34:J34)</f>
        <v>0</v>
      </c>
      <c r="L34" s="116"/>
      <c r="M34" s="54"/>
      <c r="N34" s="203">
        <f t="shared" ref="N34:N35" si="16">SUM(L34:M34)</f>
        <v>0</v>
      </c>
      <c r="O34" s="224" t="str">
        <f t="shared" si="6"/>
        <v/>
      </c>
    </row>
    <row r="35" spans="2:15" ht="14.25" x14ac:dyDescent="0.2">
      <c r="B35" s="50"/>
      <c r="C35" s="8"/>
      <c r="D35" s="8"/>
      <c r="E35" s="8"/>
      <c r="F35" s="58">
        <v>821300</v>
      </c>
      <c r="G35" s="69"/>
      <c r="H35" s="9" t="s">
        <v>14</v>
      </c>
      <c r="I35" s="116">
        <v>9000</v>
      </c>
      <c r="J35" s="54">
        <v>0</v>
      </c>
      <c r="K35" s="163">
        <f t="shared" si="15"/>
        <v>9000</v>
      </c>
      <c r="L35" s="116"/>
      <c r="M35" s="54"/>
      <c r="N35" s="203">
        <f t="shared" si="16"/>
        <v>0</v>
      </c>
      <c r="O35" s="224">
        <f t="shared" si="6"/>
        <v>0</v>
      </c>
    </row>
    <row r="36" spans="2:15" ht="14.25" x14ac:dyDescent="0.2">
      <c r="B36" s="50"/>
      <c r="C36" s="8"/>
      <c r="D36" s="8"/>
      <c r="E36" s="8"/>
      <c r="F36" s="58"/>
      <c r="G36" s="69"/>
      <c r="H36" s="9"/>
      <c r="I36" s="116"/>
      <c r="J36" s="54"/>
      <c r="K36" s="164"/>
      <c r="L36" s="116"/>
      <c r="M36" s="54"/>
      <c r="N36" s="204"/>
      <c r="O36" s="224" t="str">
        <f t="shared" si="6"/>
        <v/>
      </c>
    </row>
    <row r="37" spans="2:15" ht="15" x14ac:dyDescent="0.25">
      <c r="B37" s="51"/>
      <c r="C37" s="4"/>
      <c r="D37" s="4"/>
      <c r="E37" s="4"/>
      <c r="F37" s="57"/>
      <c r="G37" s="68"/>
      <c r="H37" s="10" t="s">
        <v>15</v>
      </c>
      <c r="I37" s="111" t="s">
        <v>378</v>
      </c>
      <c r="J37" s="52"/>
      <c r="K37" s="166" t="s">
        <v>378</v>
      </c>
      <c r="L37" s="111"/>
      <c r="M37" s="52"/>
      <c r="N37" s="206"/>
      <c r="O37" s="224"/>
    </row>
    <row r="38" spans="2:15" ht="15" x14ac:dyDescent="0.25">
      <c r="B38" s="51"/>
      <c r="C38" s="4"/>
      <c r="D38" s="4"/>
      <c r="E38" s="4"/>
      <c r="F38" s="57"/>
      <c r="G38" s="68"/>
      <c r="H38" s="4" t="s">
        <v>24</v>
      </c>
      <c r="I38" s="110">
        <f t="shared" ref="I38:N38" si="17">I11+I15+I18+I29+I33</f>
        <v>2870510</v>
      </c>
      <c r="J38" s="52">
        <f t="shared" si="17"/>
        <v>0</v>
      </c>
      <c r="K38" s="165">
        <f t="shared" si="17"/>
        <v>2870510</v>
      </c>
      <c r="L38" s="110">
        <f t="shared" si="17"/>
        <v>0</v>
      </c>
      <c r="M38" s="52">
        <f t="shared" si="17"/>
        <v>0</v>
      </c>
      <c r="N38" s="205">
        <f t="shared" si="17"/>
        <v>0</v>
      </c>
      <c r="O38" s="228">
        <f t="shared" si="6"/>
        <v>0</v>
      </c>
    </row>
    <row r="39" spans="2:15" ht="15" x14ac:dyDescent="0.25">
      <c r="B39" s="51"/>
      <c r="C39" s="4"/>
      <c r="D39" s="4"/>
      <c r="E39" s="4"/>
      <c r="F39" s="57"/>
      <c r="G39" s="68"/>
      <c r="H39" s="4" t="s">
        <v>16</v>
      </c>
      <c r="I39" s="110">
        <f t="shared" ref="I39:N40" si="18">I38</f>
        <v>2870510</v>
      </c>
      <c r="J39" s="52">
        <f t="shared" si="18"/>
        <v>0</v>
      </c>
      <c r="K39" s="88">
        <f t="shared" si="18"/>
        <v>2870510</v>
      </c>
      <c r="L39" s="110">
        <f t="shared" si="18"/>
        <v>0</v>
      </c>
      <c r="M39" s="52">
        <f t="shared" si="18"/>
        <v>0</v>
      </c>
      <c r="N39" s="205">
        <f t="shared" si="18"/>
        <v>0</v>
      </c>
      <c r="O39" s="228">
        <f t="shared" si="6"/>
        <v>0</v>
      </c>
    </row>
    <row r="40" spans="2:15" ht="15" x14ac:dyDescent="0.25">
      <c r="B40" s="51"/>
      <c r="C40" s="4"/>
      <c r="D40" s="4"/>
      <c r="E40" s="4"/>
      <c r="F40" s="57"/>
      <c r="G40" s="68"/>
      <c r="H40" s="4" t="s">
        <v>17</v>
      </c>
      <c r="I40" s="110">
        <f t="shared" si="18"/>
        <v>2870510</v>
      </c>
      <c r="J40" s="52">
        <f t="shared" si="18"/>
        <v>0</v>
      </c>
      <c r="K40" s="88">
        <f t="shared" si="18"/>
        <v>2870510</v>
      </c>
      <c r="L40" s="110">
        <f t="shared" si="18"/>
        <v>0</v>
      </c>
      <c r="M40" s="52">
        <f t="shared" si="18"/>
        <v>0</v>
      </c>
      <c r="N40" s="205">
        <f t="shared" si="18"/>
        <v>0</v>
      </c>
      <c r="O40" s="228">
        <f t="shared" si="6"/>
        <v>0</v>
      </c>
    </row>
    <row r="41" spans="2:15" ht="15" thickBot="1" x14ac:dyDescent="0.25">
      <c r="B41" s="6"/>
      <c r="C41" s="7"/>
      <c r="D41" s="7"/>
      <c r="E41" s="7"/>
      <c r="F41" s="59"/>
      <c r="G41" s="70"/>
      <c r="H41" s="7"/>
      <c r="I41" s="112"/>
      <c r="J41" s="13"/>
      <c r="K41" s="90"/>
      <c r="L41" s="184"/>
      <c r="M41" s="13"/>
      <c r="N41" s="207"/>
      <c r="O41" s="227"/>
    </row>
    <row r="42" spans="2:15" ht="14.25" x14ac:dyDescent="0.2">
      <c r="F42" s="60"/>
      <c r="G42" s="71"/>
      <c r="I42" s="20"/>
      <c r="J42" s="20"/>
      <c r="K42" s="92"/>
      <c r="L42" s="20"/>
      <c r="M42" s="20"/>
      <c r="N42" s="92"/>
      <c r="O42" s="233" t="str">
        <f t="shared" si="6"/>
        <v/>
      </c>
    </row>
  </sheetData>
  <mergeCells count="14">
    <mergeCell ref="H7:H8"/>
    <mergeCell ref="I7:K7"/>
    <mergeCell ref="L7:N7"/>
    <mergeCell ref="O7:O8"/>
    <mergeCell ref="B1:N1"/>
    <mergeCell ref="F3:K3"/>
    <mergeCell ref="D5:E5"/>
    <mergeCell ref="H6:I6"/>
    <mergeCell ref="B7:B8"/>
    <mergeCell ref="C7:C8"/>
    <mergeCell ref="D7:D8"/>
    <mergeCell ref="E7:E8"/>
    <mergeCell ref="F7:F8"/>
    <mergeCell ref="G7:G8"/>
  </mergeCells>
  <pageMargins left="0.39370078740157483" right="0.39370078740157483" top="0.39370078740157483" bottom="0.39370078740157483" header="0.31496062992125984" footer="0.31496062992125984"/>
  <pageSetup paperSize="9" scale="7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List15"/>
  <dimension ref="B1:O38"/>
  <sheetViews>
    <sheetView topLeftCell="D1" zoomScaleNormal="100" workbookViewId="0">
      <selection activeCell="L9" sqref="L9:O9"/>
    </sheetView>
  </sheetViews>
  <sheetFormatPr defaultColWidth="9.140625" defaultRowHeight="12.75" x14ac:dyDescent="0.2"/>
  <cols>
    <col min="1" max="1" width="6.140625" style="17" customWidth="1"/>
    <col min="2" max="2" width="4.7109375" style="17" customWidth="1"/>
    <col min="3" max="3" width="5.140625" style="17" customWidth="1"/>
    <col min="4" max="5" width="5" style="17" customWidth="1"/>
    <col min="6" max="7" width="8.7109375" style="53" customWidth="1"/>
    <col min="8" max="8" width="50.7109375" style="17" customWidth="1"/>
    <col min="9" max="9" width="11.7109375" style="17" customWidth="1"/>
    <col min="10" max="10" width="11.85546875" style="17" customWidth="1"/>
    <col min="11" max="11" width="13.5703125" style="17" customWidth="1"/>
    <col min="12" max="13" width="14.7109375" style="17" customWidth="1"/>
    <col min="14" max="14" width="15.7109375" style="17" customWidth="1"/>
    <col min="15" max="15" width="9.140625" style="17"/>
    <col min="16" max="16" width="9.5703125" style="17" bestFit="1" customWidth="1"/>
    <col min="17" max="16384" width="9.140625" style="17"/>
  </cols>
  <sheetData>
    <row r="1" spans="2:15" ht="15.75" x14ac:dyDescent="0.25">
      <c r="B1" s="428" t="s">
        <v>374</v>
      </c>
      <c r="C1" s="429"/>
      <c r="D1" s="429"/>
      <c r="E1" s="429"/>
      <c r="F1" s="429"/>
      <c r="G1" s="429"/>
      <c r="H1" s="429"/>
      <c r="I1" s="430"/>
      <c r="J1" s="430"/>
      <c r="K1" s="430"/>
      <c r="L1" s="430"/>
      <c r="M1" s="430"/>
      <c r="N1" s="430"/>
    </row>
    <row r="2" spans="2:15" x14ac:dyDescent="0.2">
      <c r="M2" s="126" t="s">
        <v>232</v>
      </c>
      <c r="N2" s="196"/>
    </row>
    <row r="3" spans="2:15" ht="15.75" x14ac:dyDescent="0.25">
      <c r="B3" s="180" t="s">
        <v>173</v>
      </c>
      <c r="F3" s="431" t="s">
        <v>212</v>
      </c>
      <c r="G3" s="432"/>
      <c r="H3" s="432"/>
      <c r="I3" s="432"/>
      <c r="J3" s="432"/>
      <c r="K3" s="432"/>
    </row>
    <row r="4" spans="2:15" x14ac:dyDescent="0.2">
      <c r="B4" s="180"/>
      <c r="G4"/>
      <c r="H4"/>
      <c r="I4"/>
      <c r="J4"/>
      <c r="K4"/>
    </row>
    <row r="5" spans="2:15" ht="15.75" x14ac:dyDescent="0.25">
      <c r="B5" s="180" t="s">
        <v>172</v>
      </c>
      <c r="D5" s="433">
        <v>22</v>
      </c>
      <c r="E5" s="434"/>
      <c r="F5" s="181"/>
      <c r="G5" s="181"/>
      <c r="I5" s="180"/>
      <c r="L5" s="411"/>
    </row>
    <row r="6" spans="2:15" s="22" customFormat="1" ht="16.5" thickBot="1" x14ac:dyDescent="0.3">
      <c r="F6" s="48"/>
      <c r="G6" s="48"/>
      <c r="H6" s="435"/>
      <c r="I6" s="435"/>
      <c r="J6" s="26"/>
      <c r="K6" s="26"/>
      <c r="L6" s="26"/>
      <c r="M6" s="26"/>
      <c r="N6" s="26"/>
    </row>
    <row r="7" spans="2:15" s="22" customFormat="1" ht="29.25" customHeight="1" x14ac:dyDescent="0.2">
      <c r="B7" s="436" t="s">
        <v>0</v>
      </c>
      <c r="C7" s="438" t="s">
        <v>1</v>
      </c>
      <c r="D7" s="438" t="s">
        <v>21</v>
      </c>
      <c r="E7" s="438" t="s">
        <v>135</v>
      </c>
      <c r="F7" s="421" t="s">
        <v>85</v>
      </c>
      <c r="G7" s="440" t="s">
        <v>88</v>
      </c>
      <c r="H7" s="421" t="s">
        <v>2</v>
      </c>
      <c r="I7" s="423" t="s">
        <v>375</v>
      </c>
      <c r="J7" s="424"/>
      <c r="K7" s="425"/>
      <c r="L7" s="423" t="s">
        <v>373</v>
      </c>
      <c r="M7" s="424"/>
      <c r="N7" s="424"/>
      <c r="O7" s="426" t="s">
        <v>258</v>
      </c>
    </row>
    <row r="8" spans="2:15" s="22" customFormat="1" ht="25.5" x14ac:dyDescent="0.2">
      <c r="B8" s="437"/>
      <c r="C8" s="439"/>
      <c r="D8" s="439"/>
      <c r="E8" s="439"/>
      <c r="F8" s="422"/>
      <c r="G8" s="439"/>
      <c r="H8" s="422"/>
      <c r="I8" s="105" t="s">
        <v>117</v>
      </c>
      <c r="J8" s="85" t="s">
        <v>118</v>
      </c>
      <c r="K8" s="159" t="s">
        <v>81</v>
      </c>
      <c r="L8" s="105" t="s">
        <v>117</v>
      </c>
      <c r="M8" s="85" t="s">
        <v>118</v>
      </c>
      <c r="N8" s="200" t="s">
        <v>81</v>
      </c>
      <c r="O8" s="427"/>
    </row>
    <row r="9" spans="2:15" s="48" customFormat="1" x14ac:dyDescent="0.2">
      <c r="B9" s="97">
        <v>1</v>
      </c>
      <c r="C9" s="68">
        <v>2</v>
      </c>
      <c r="D9" s="68">
        <v>3</v>
      </c>
      <c r="E9" s="68">
        <v>4</v>
      </c>
      <c r="F9" s="68">
        <v>5</v>
      </c>
      <c r="G9" s="68">
        <v>6</v>
      </c>
      <c r="H9" s="68">
        <v>7</v>
      </c>
      <c r="I9" s="97">
        <v>8</v>
      </c>
      <c r="J9" s="68">
        <v>9</v>
      </c>
      <c r="K9" s="160" t="s">
        <v>171</v>
      </c>
      <c r="L9" s="97">
        <v>11</v>
      </c>
      <c r="M9" s="68">
        <v>12</v>
      </c>
      <c r="N9" s="68" t="s">
        <v>394</v>
      </c>
      <c r="O9" s="232" t="s">
        <v>395</v>
      </c>
    </row>
    <row r="10" spans="2:15" ht="15" x14ac:dyDescent="0.25">
      <c r="B10" s="2" t="s">
        <v>50</v>
      </c>
      <c r="C10" s="3" t="s">
        <v>3</v>
      </c>
      <c r="D10" s="3" t="s">
        <v>4</v>
      </c>
      <c r="E10" s="136" t="s">
        <v>141</v>
      </c>
      <c r="F10" s="49"/>
      <c r="G10" s="49"/>
      <c r="H10" s="182" t="s">
        <v>187</v>
      </c>
      <c r="I10" s="1"/>
      <c r="J10" s="49"/>
      <c r="K10" s="161"/>
      <c r="L10" s="1"/>
      <c r="M10" s="49"/>
      <c r="N10" s="201"/>
      <c r="O10" s="224" t="str">
        <f t="shared" ref="O10:O36" si="0">IF(K10=0,"",N10/K10*100)</f>
        <v/>
      </c>
    </row>
    <row r="11" spans="2:15" ht="15" x14ac:dyDescent="0.25">
      <c r="B11" s="51"/>
      <c r="C11" s="4"/>
      <c r="D11" s="4"/>
      <c r="E11" s="4"/>
      <c r="F11" s="57">
        <v>611000</v>
      </c>
      <c r="G11" s="68"/>
      <c r="H11" s="10" t="s">
        <v>57</v>
      </c>
      <c r="I11" s="106">
        <f>SUM(I12:I13)</f>
        <v>115620</v>
      </c>
      <c r="J11" s="32">
        <f t="shared" ref="J11:N11" si="1">SUM(J12:J13)</f>
        <v>0</v>
      </c>
      <c r="K11" s="162">
        <f t="shared" si="1"/>
        <v>115620</v>
      </c>
      <c r="L11" s="106">
        <f t="shared" si="1"/>
        <v>0</v>
      </c>
      <c r="M11" s="32">
        <f t="shared" si="1"/>
        <v>0</v>
      </c>
      <c r="N11" s="202">
        <f t="shared" si="1"/>
        <v>0</v>
      </c>
      <c r="O11" s="228">
        <f t="shared" si="0"/>
        <v>0</v>
      </c>
    </row>
    <row r="12" spans="2:15" ht="14.25" x14ac:dyDescent="0.2">
      <c r="B12" s="50"/>
      <c r="C12" s="8"/>
      <c r="D12" s="8"/>
      <c r="E12" s="8"/>
      <c r="F12" s="58">
        <v>611100</v>
      </c>
      <c r="G12" s="69"/>
      <c r="H12" s="9" t="s">
        <v>68</v>
      </c>
      <c r="I12" s="107">
        <f>108630-6*2500+5950</f>
        <v>99580</v>
      </c>
      <c r="J12" s="31">
        <v>0</v>
      </c>
      <c r="K12" s="163">
        <f>SUM(I12:J12)</f>
        <v>99580</v>
      </c>
      <c r="L12" s="107"/>
      <c r="M12" s="31"/>
      <c r="N12" s="203">
        <f>SUM(L12:M12)</f>
        <v>0</v>
      </c>
      <c r="O12" s="224">
        <f t="shared" si="0"/>
        <v>0</v>
      </c>
    </row>
    <row r="13" spans="2:15" ht="14.25" x14ac:dyDescent="0.2">
      <c r="B13" s="50"/>
      <c r="C13" s="8"/>
      <c r="D13" s="8"/>
      <c r="E13" s="8"/>
      <c r="F13" s="58">
        <v>611200</v>
      </c>
      <c r="G13" s="69"/>
      <c r="H13" s="9" t="s">
        <v>69</v>
      </c>
      <c r="I13" s="107">
        <v>16040</v>
      </c>
      <c r="J13" s="31">
        <v>0</v>
      </c>
      <c r="K13" s="163">
        <f t="shared" ref="K13" si="2">SUM(I13:J13)</f>
        <v>16040</v>
      </c>
      <c r="L13" s="107"/>
      <c r="M13" s="31"/>
      <c r="N13" s="203">
        <f t="shared" ref="N13" si="3">SUM(L13:M13)</f>
        <v>0</v>
      </c>
      <c r="O13" s="224">
        <f t="shared" si="0"/>
        <v>0</v>
      </c>
    </row>
    <row r="14" spans="2:15" ht="14.25" x14ac:dyDescent="0.2">
      <c r="B14" s="50"/>
      <c r="C14" s="8"/>
      <c r="D14" s="8"/>
      <c r="E14" s="8"/>
      <c r="F14" s="58"/>
      <c r="G14" s="69"/>
      <c r="H14" s="9"/>
      <c r="I14" s="107"/>
      <c r="J14" s="31"/>
      <c r="K14" s="163"/>
      <c r="L14" s="107"/>
      <c r="M14" s="31"/>
      <c r="N14" s="203"/>
      <c r="O14" s="224" t="str">
        <f t="shared" si="0"/>
        <v/>
      </c>
    </row>
    <row r="15" spans="2:15" ht="15" x14ac:dyDescent="0.25">
      <c r="B15" s="51"/>
      <c r="C15" s="4"/>
      <c r="D15" s="4"/>
      <c r="E15" s="4"/>
      <c r="F15" s="57">
        <v>612000</v>
      </c>
      <c r="G15" s="68"/>
      <c r="H15" s="10" t="s">
        <v>56</v>
      </c>
      <c r="I15" s="106">
        <f t="shared" ref="I15" si="4">I16</f>
        <v>4990</v>
      </c>
      <c r="J15" s="32">
        <f t="shared" ref="J15:N15" si="5">J16</f>
        <v>0</v>
      </c>
      <c r="K15" s="162">
        <f t="shared" si="5"/>
        <v>4990</v>
      </c>
      <c r="L15" s="106">
        <f t="shared" si="5"/>
        <v>0</v>
      </c>
      <c r="M15" s="32">
        <f t="shared" si="5"/>
        <v>0</v>
      </c>
      <c r="N15" s="202">
        <f t="shared" si="5"/>
        <v>0</v>
      </c>
      <c r="O15" s="228">
        <f t="shared" si="0"/>
        <v>0</v>
      </c>
    </row>
    <row r="16" spans="2:15" ht="14.25" x14ac:dyDescent="0.2">
      <c r="B16" s="50"/>
      <c r="C16" s="8"/>
      <c r="D16" s="8"/>
      <c r="E16" s="8"/>
      <c r="F16" s="58">
        <v>612100</v>
      </c>
      <c r="G16" s="69"/>
      <c r="H16" s="145" t="s">
        <v>5</v>
      </c>
      <c r="I16" s="107">
        <f>5450-6*125+290</f>
        <v>4990</v>
      </c>
      <c r="J16" s="31">
        <v>0</v>
      </c>
      <c r="K16" s="163">
        <f>SUM(I16:J16)</f>
        <v>4990</v>
      </c>
      <c r="L16" s="107"/>
      <c r="M16" s="31"/>
      <c r="N16" s="203">
        <f>SUM(L16:M16)</f>
        <v>0</v>
      </c>
      <c r="O16" s="224">
        <f t="shared" si="0"/>
        <v>0</v>
      </c>
    </row>
    <row r="17" spans="2:15" ht="14.25" x14ac:dyDescent="0.2">
      <c r="B17" s="50"/>
      <c r="C17" s="8"/>
      <c r="D17" s="8"/>
      <c r="E17" s="8"/>
      <c r="F17" s="58"/>
      <c r="G17" s="69"/>
      <c r="H17" s="9"/>
      <c r="I17" s="108"/>
      <c r="J17" s="46"/>
      <c r="K17" s="164"/>
      <c r="L17" s="108"/>
      <c r="M17" s="46"/>
      <c r="N17" s="204"/>
      <c r="O17" s="224" t="str">
        <f t="shared" si="0"/>
        <v/>
      </c>
    </row>
    <row r="18" spans="2:15" ht="15" x14ac:dyDescent="0.25">
      <c r="B18" s="51"/>
      <c r="C18" s="4"/>
      <c r="D18" s="4"/>
      <c r="E18" s="4"/>
      <c r="F18" s="57">
        <v>613000</v>
      </c>
      <c r="G18" s="68"/>
      <c r="H18" s="10" t="s">
        <v>58</v>
      </c>
      <c r="I18" s="109">
        <f>SUM(I19:I27)</f>
        <v>32800</v>
      </c>
      <c r="J18" s="55">
        <f t="shared" ref="J18:N18" si="6">SUM(J19:J27)</f>
        <v>0</v>
      </c>
      <c r="K18" s="165">
        <f t="shared" si="6"/>
        <v>32800</v>
      </c>
      <c r="L18" s="109">
        <f t="shared" si="6"/>
        <v>0</v>
      </c>
      <c r="M18" s="55">
        <f t="shared" si="6"/>
        <v>0</v>
      </c>
      <c r="N18" s="205">
        <f t="shared" si="6"/>
        <v>0</v>
      </c>
      <c r="O18" s="228">
        <f t="shared" si="0"/>
        <v>0</v>
      </c>
    </row>
    <row r="19" spans="2:15" ht="14.25" x14ac:dyDescent="0.2">
      <c r="B19" s="50"/>
      <c r="C19" s="8"/>
      <c r="D19" s="8"/>
      <c r="E19" s="8"/>
      <c r="F19" s="58">
        <v>613100</v>
      </c>
      <c r="G19" s="69"/>
      <c r="H19" s="9" t="s">
        <v>6</v>
      </c>
      <c r="I19" s="99">
        <v>800</v>
      </c>
      <c r="J19" s="82">
        <v>0</v>
      </c>
      <c r="K19" s="163">
        <f t="shared" ref="K19:K27" si="7">SUM(I19:J19)</f>
        <v>800</v>
      </c>
      <c r="L19" s="99"/>
      <c r="M19" s="82"/>
      <c r="N19" s="203">
        <f t="shared" ref="N19:N27" si="8">SUM(L19:M19)</f>
        <v>0</v>
      </c>
      <c r="O19" s="224">
        <f t="shared" si="0"/>
        <v>0</v>
      </c>
    </row>
    <row r="20" spans="2:15" ht="14.25" x14ac:dyDescent="0.2">
      <c r="B20" s="50"/>
      <c r="C20" s="8"/>
      <c r="D20" s="8"/>
      <c r="E20" s="8"/>
      <c r="F20" s="58">
        <v>613200</v>
      </c>
      <c r="G20" s="69"/>
      <c r="H20" s="9" t="s">
        <v>7</v>
      </c>
      <c r="I20" s="99">
        <v>9900</v>
      </c>
      <c r="J20" s="82">
        <v>0</v>
      </c>
      <c r="K20" s="163">
        <f t="shared" si="7"/>
        <v>9900</v>
      </c>
      <c r="L20" s="99"/>
      <c r="M20" s="82"/>
      <c r="N20" s="203">
        <f t="shared" si="8"/>
        <v>0</v>
      </c>
      <c r="O20" s="224">
        <f t="shared" si="0"/>
        <v>0</v>
      </c>
    </row>
    <row r="21" spans="2:15" ht="14.25" x14ac:dyDescent="0.2">
      <c r="B21" s="50"/>
      <c r="C21" s="8"/>
      <c r="D21" s="8"/>
      <c r="E21" s="8"/>
      <c r="F21" s="58">
        <v>613300</v>
      </c>
      <c r="G21" s="69"/>
      <c r="H21" s="9" t="s">
        <v>70</v>
      </c>
      <c r="I21" s="99">
        <v>3600</v>
      </c>
      <c r="J21" s="82">
        <v>0</v>
      </c>
      <c r="K21" s="163">
        <f t="shared" si="7"/>
        <v>3600</v>
      </c>
      <c r="L21" s="99"/>
      <c r="M21" s="82"/>
      <c r="N21" s="203">
        <f t="shared" si="8"/>
        <v>0</v>
      </c>
      <c r="O21" s="224">
        <f t="shared" si="0"/>
        <v>0</v>
      </c>
    </row>
    <row r="22" spans="2:15" ht="14.25" x14ac:dyDescent="0.2">
      <c r="B22" s="50"/>
      <c r="C22" s="8"/>
      <c r="D22" s="8"/>
      <c r="E22" s="8"/>
      <c r="F22" s="58">
        <v>613400</v>
      </c>
      <c r="G22" s="69"/>
      <c r="H22" s="9" t="s">
        <v>59</v>
      </c>
      <c r="I22" s="99">
        <v>1900</v>
      </c>
      <c r="J22" s="82">
        <v>0</v>
      </c>
      <c r="K22" s="163">
        <f t="shared" si="7"/>
        <v>1900</v>
      </c>
      <c r="L22" s="99"/>
      <c r="M22" s="82"/>
      <c r="N22" s="203">
        <f t="shared" si="8"/>
        <v>0</v>
      </c>
      <c r="O22" s="224">
        <f t="shared" si="0"/>
        <v>0</v>
      </c>
    </row>
    <row r="23" spans="2:15" ht="14.25" x14ac:dyDescent="0.2">
      <c r="B23" s="50"/>
      <c r="C23" s="8"/>
      <c r="D23" s="8"/>
      <c r="E23" s="8"/>
      <c r="F23" s="58">
        <v>613500</v>
      </c>
      <c r="G23" s="69"/>
      <c r="H23" s="9" t="s">
        <v>8</v>
      </c>
      <c r="I23" s="99">
        <v>0</v>
      </c>
      <c r="J23" s="82">
        <v>0</v>
      </c>
      <c r="K23" s="163">
        <f t="shared" si="7"/>
        <v>0</v>
      </c>
      <c r="L23" s="99"/>
      <c r="M23" s="82"/>
      <c r="N23" s="203">
        <f t="shared" si="8"/>
        <v>0</v>
      </c>
      <c r="O23" s="224" t="str">
        <f t="shared" si="0"/>
        <v/>
      </c>
    </row>
    <row r="24" spans="2:15" ht="14.25" x14ac:dyDescent="0.2">
      <c r="B24" s="50"/>
      <c r="C24" s="8"/>
      <c r="D24" s="8"/>
      <c r="E24" s="8"/>
      <c r="F24" s="58">
        <v>613600</v>
      </c>
      <c r="G24" s="69"/>
      <c r="H24" s="9" t="s">
        <v>71</v>
      </c>
      <c r="I24" s="99">
        <v>0</v>
      </c>
      <c r="J24" s="82">
        <v>0</v>
      </c>
      <c r="K24" s="163">
        <f t="shared" si="7"/>
        <v>0</v>
      </c>
      <c r="L24" s="99"/>
      <c r="M24" s="82"/>
      <c r="N24" s="203">
        <f t="shared" si="8"/>
        <v>0</v>
      </c>
      <c r="O24" s="224" t="str">
        <f t="shared" si="0"/>
        <v/>
      </c>
    </row>
    <row r="25" spans="2:15" ht="14.25" x14ac:dyDescent="0.2">
      <c r="B25" s="50"/>
      <c r="C25" s="8"/>
      <c r="D25" s="8"/>
      <c r="E25" s="8"/>
      <c r="F25" s="58">
        <v>613700</v>
      </c>
      <c r="G25" s="69"/>
      <c r="H25" s="9" t="s">
        <v>9</v>
      </c>
      <c r="I25" s="99">
        <v>1600</v>
      </c>
      <c r="J25" s="82">
        <v>0</v>
      </c>
      <c r="K25" s="163">
        <f t="shared" si="7"/>
        <v>1600</v>
      </c>
      <c r="L25" s="99"/>
      <c r="M25" s="82"/>
      <c r="N25" s="203">
        <f t="shared" si="8"/>
        <v>0</v>
      </c>
      <c r="O25" s="224">
        <f t="shared" si="0"/>
        <v>0</v>
      </c>
    </row>
    <row r="26" spans="2:15" ht="14.25" x14ac:dyDescent="0.2">
      <c r="B26" s="50"/>
      <c r="C26" s="8"/>
      <c r="D26" s="8"/>
      <c r="E26" s="8"/>
      <c r="F26" s="58">
        <v>613800</v>
      </c>
      <c r="G26" s="69"/>
      <c r="H26" s="9" t="s">
        <v>60</v>
      </c>
      <c r="I26" s="99">
        <v>0</v>
      </c>
      <c r="J26" s="82">
        <v>0</v>
      </c>
      <c r="K26" s="163">
        <f t="shared" si="7"/>
        <v>0</v>
      </c>
      <c r="L26" s="99"/>
      <c r="M26" s="82"/>
      <c r="N26" s="203">
        <f t="shared" si="8"/>
        <v>0</v>
      </c>
      <c r="O26" s="224" t="str">
        <f t="shared" si="0"/>
        <v/>
      </c>
    </row>
    <row r="27" spans="2:15" ht="14.25" x14ac:dyDescent="0.2">
      <c r="B27" s="50"/>
      <c r="C27" s="8"/>
      <c r="D27" s="8"/>
      <c r="E27" s="8"/>
      <c r="F27" s="58">
        <v>613900</v>
      </c>
      <c r="G27" s="69"/>
      <c r="H27" s="9" t="s">
        <v>61</v>
      </c>
      <c r="I27" s="99">
        <v>15000</v>
      </c>
      <c r="J27" s="82">
        <v>0</v>
      </c>
      <c r="K27" s="163">
        <f t="shared" si="7"/>
        <v>15000</v>
      </c>
      <c r="L27" s="99"/>
      <c r="M27" s="82"/>
      <c r="N27" s="203">
        <f t="shared" si="8"/>
        <v>0</v>
      </c>
      <c r="O27" s="224">
        <f t="shared" si="0"/>
        <v>0</v>
      </c>
    </row>
    <row r="28" spans="2:15" ht="15" x14ac:dyDescent="0.25">
      <c r="B28" s="51"/>
      <c r="C28" s="4"/>
      <c r="D28" s="4"/>
      <c r="E28" s="4"/>
      <c r="F28" s="57"/>
      <c r="G28" s="68"/>
      <c r="H28" s="10"/>
      <c r="I28" s="110"/>
      <c r="J28" s="52"/>
      <c r="K28" s="165"/>
      <c r="L28" s="110"/>
      <c r="M28" s="52"/>
      <c r="N28" s="205"/>
      <c r="O28" s="224" t="str">
        <f t="shared" si="0"/>
        <v/>
      </c>
    </row>
    <row r="29" spans="2:15" ht="15" x14ac:dyDescent="0.25">
      <c r="B29" s="51"/>
      <c r="C29" s="4"/>
      <c r="D29" s="4"/>
      <c r="E29" s="4"/>
      <c r="F29" s="57">
        <v>821000</v>
      </c>
      <c r="G29" s="68"/>
      <c r="H29" s="10" t="s">
        <v>12</v>
      </c>
      <c r="I29" s="110">
        <f t="shared" ref="I29" si="9">SUM(I30:I31)</f>
        <v>0</v>
      </c>
      <c r="J29" s="52">
        <f t="shared" ref="J29:N29" si="10">SUM(J30:J31)</f>
        <v>0</v>
      </c>
      <c r="K29" s="165">
        <f t="shared" si="10"/>
        <v>0</v>
      </c>
      <c r="L29" s="110">
        <f t="shared" si="10"/>
        <v>0</v>
      </c>
      <c r="M29" s="52">
        <f t="shared" si="10"/>
        <v>0</v>
      </c>
      <c r="N29" s="205">
        <f t="shared" si="10"/>
        <v>0</v>
      </c>
      <c r="O29" s="228" t="str">
        <f t="shared" si="0"/>
        <v/>
      </c>
    </row>
    <row r="30" spans="2:15" ht="14.25" x14ac:dyDescent="0.2">
      <c r="B30" s="50"/>
      <c r="C30" s="8"/>
      <c r="D30" s="8"/>
      <c r="E30" s="8"/>
      <c r="F30" s="58">
        <v>821200</v>
      </c>
      <c r="G30" s="69"/>
      <c r="H30" s="9" t="s">
        <v>13</v>
      </c>
      <c r="I30" s="108">
        <v>0</v>
      </c>
      <c r="J30" s="46">
        <v>0</v>
      </c>
      <c r="K30" s="163">
        <f t="shared" ref="K30:K31" si="11">SUM(I30:J30)</f>
        <v>0</v>
      </c>
      <c r="L30" s="108"/>
      <c r="M30" s="46"/>
      <c r="N30" s="203">
        <f t="shared" ref="N30:N31" si="12">SUM(L30:M30)</f>
        <v>0</v>
      </c>
      <c r="O30" s="224" t="str">
        <f t="shared" si="0"/>
        <v/>
      </c>
    </row>
    <row r="31" spans="2:15" ht="14.25" x14ac:dyDescent="0.2">
      <c r="B31" s="50"/>
      <c r="C31" s="8"/>
      <c r="D31" s="8"/>
      <c r="E31" s="8"/>
      <c r="F31" s="58">
        <v>821300</v>
      </c>
      <c r="G31" s="69"/>
      <c r="H31" s="9" t="s">
        <v>14</v>
      </c>
      <c r="I31" s="108">
        <v>0</v>
      </c>
      <c r="J31" s="46">
        <v>0</v>
      </c>
      <c r="K31" s="163">
        <f t="shared" si="11"/>
        <v>0</v>
      </c>
      <c r="L31" s="108"/>
      <c r="M31" s="46"/>
      <c r="N31" s="203">
        <f t="shared" si="12"/>
        <v>0</v>
      </c>
      <c r="O31" s="224" t="str">
        <f t="shared" si="0"/>
        <v/>
      </c>
    </row>
    <row r="32" spans="2:15" ht="14.25" x14ac:dyDescent="0.2">
      <c r="B32" s="50"/>
      <c r="C32" s="8"/>
      <c r="D32" s="8"/>
      <c r="E32" s="8"/>
      <c r="F32" s="58"/>
      <c r="G32" s="69"/>
      <c r="H32" s="9"/>
      <c r="I32" s="108"/>
      <c r="J32" s="46"/>
      <c r="K32" s="164"/>
      <c r="L32" s="108"/>
      <c r="M32" s="46"/>
      <c r="N32" s="204"/>
      <c r="O32" s="224" t="str">
        <f t="shared" si="0"/>
        <v/>
      </c>
    </row>
    <row r="33" spans="2:15" ht="15" x14ac:dyDescent="0.25">
      <c r="B33" s="51"/>
      <c r="C33" s="4"/>
      <c r="D33" s="4"/>
      <c r="E33" s="4"/>
      <c r="F33" s="57"/>
      <c r="G33" s="68"/>
      <c r="H33" s="10" t="s">
        <v>15</v>
      </c>
      <c r="I33" s="110">
        <v>2</v>
      </c>
      <c r="J33" s="52"/>
      <c r="K33" s="165">
        <v>2</v>
      </c>
      <c r="L33" s="110"/>
      <c r="M33" s="52"/>
      <c r="N33" s="205"/>
      <c r="O33" s="224"/>
    </row>
    <row r="34" spans="2:15" ht="15" x14ac:dyDescent="0.25">
      <c r="B34" s="51"/>
      <c r="C34" s="4"/>
      <c r="D34" s="4"/>
      <c r="E34" s="4"/>
      <c r="F34" s="57"/>
      <c r="G34" s="68"/>
      <c r="H34" s="4" t="s">
        <v>24</v>
      </c>
      <c r="I34" s="110">
        <f t="shared" ref="I34:N34" si="13">I11+I15+I18+I29</f>
        <v>153410</v>
      </c>
      <c r="J34" s="52">
        <f t="shared" si="13"/>
        <v>0</v>
      </c>
      <c r="K34" s="165">
        <f t="shared" si="13"/>
        <v>153410</v>
      </c>
      <c r="L34" s="110">
        <f t="shared" si="13"/>
        <v>0</v>
      </c>
      <c r="M34" s="52">
        <f t="shared" si="13"/>
        <v>0</v>
      </c>
      <c r="N34" s="205">
        <f t="shared" si="13"/>
        <v>0</v>
      </c>
      <c r="O34" s="228">
        <f t="shared" si="0"/>
        <v>0</v>
      </c>
    </row>
    <row r="35" spans="2:15" ht="15" x14ac:dyDescent="0.25">
      <c r="B35" s="51"/>
      <c r="C35" s="4"/>
      <c r="D35" s="4"/>
      <c r="E35" s="4"/>
      <c r="F35" s="57"/>
      <c r="G35" s="68"/>
      <c r="H35" s="4" t="s">
        <v>16</v>
      </c>
      <c r="I35" s="110">
        <f t="shared" ref="I35:N36" si="14">I34</f>
        <v>153410</v>
      </c>
      <c r="J35" s="52">
        <f t="shared" si="14"/>
        <v>0</v>
      </c>
      <c r="K35" s="165">
        <f t="shared" si="14"/>
        <v>153410</v>
      </c>
      <c r="L35" s="110">
        <f t="shared" si="14"/>
        <v>0</v>
      </c>
      <c r="M35" s="52">
        <f t="shared" si="14"/>
        <v>0</v>
      </c>
      <c r="N35" s="205">
        <f t="shared" si="14"/>
        <v>0</v>
      </c>
      <c r="O35" s="228">
        <f t="shared" si="0"/>
        <v>0</v>
      </c>
    </row>
    <row r="36" spans="2:15" ht="15" x14ac:dyDescent="0.25">
      <c r="B36" s="51"/>
      <c r="C36" s="4"/>
      <c r="D36" s="4"/>
      <c r="E36" s="4"/>
      <c r="F36" s="57"/>
      <c r="G36" s="68"/>
      <c r="H36" s="4" t="s">
        <v>17</v>
      </c>
      <c r="I36" s="110">
        <f t="shared" si="14"/>
        <v>153410</v>
      </c>
      <c r="J36" s="52">
        <f t="shared" si="14"/>
        <v>0</v>
      </c>
      <c r="K36" s="165">
        <f t="shared" si="14"/>
        <v>153410</v>
      </c>
      <c r="L36" s="110">
        <f t="shared" si="14"/>
        <v>0</v>
      </c>
      <c r="M36" s="52">
        <f t="shared" si="14"/>
        <v>0</v>
      </c>
      <c r="N36" s="205">
        <f t="shared" si="14"/>
        <v>0</v>
      </c>
      <c r="O36" s="228">
        <f t="shared" si="0"/>
        <v>0</v>
      </c>
    </row>
    <row r="37" spans="2:15" ht="15" thickBot="1" x14ac:dyDescent="0.25">
      <c r="B37" s="6"/>
      <c r="C37" s="7"/>
      <c r="D37" s="7"/>
      <c r="E37" s="7"/>
      <c r="F37" s="59"/>
      <c r="G37" s="70"/>
      <c r="H37" s="7"/>
      <c r="I37" s="112"/>
      <c r="J37" s="13"/>
      <c r="K37" s="167"/>
      <c r="L37" s="184"/>
      <c r="M37" s="13"/>
      <c r="N37" s="207"/>
      <c r="O37" s="227"/>
    </row>
    <row r="38" spans="2:15" ht="14.25" x14ac:dyDescent="0.2">
      <c r="F38" s="60"/>
      <c r="G38" s="71"/>
      <c r="I38" s="125"/>
      <c r="K38" s="91"/>
      <c r="L38" s="125"/>
      <c r="N38" s="91"/>
      <c r="O38" s="233" t="str">
        <f t="shared" ref="O38" si="15">IF(K38=0,"",N38/K38*100)</f>
        <v/>
      </c>
    </row>
  </sheetData>
  <mergeCells count="14">
    <mergeCell ref="H7:H8"/>
    <mergeCell ref="I7:K7"/>
    <mergeCell ref="L7:N7"/>
    <mergeCell ref="O7:O8"/>
    <mergeCell ref="B1:N1"/>
    <mergeCell ref="F3:K3"/>
    <mergeCell ref="D5:E5"/>
    <mergeCell ref="H6:I6"/>
    <mergeCell ref="B7:B8"/>
    <mergeCell ref="C7:C8"/>
    <mergeCell ref="D7:D8"/>
    <mergeCell ref="E7:E8"/>
    <mergeCell ref="F7:F8"/>
    <mergeCell ref="G7:G8"/>
  </mergeCells>
  <pageMargins left="0.39370078740157483" right="0.39370078740157483" top="0.39370078740157483" bottom="0.39370078740157483" header="0.31496062992125984" footer="0.31496062992125984"/>
  <pageSetup paperSize="9" scale="7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List16"/>
  <dimension ref="B1:O43"/>
  <sheetViews>
    <sheetView topLeftCell="B7" zoomScaleNormal="100" workbookViewId="0">
      <selection activeCell="J27" sqref="J27"/>
    </sheetView>
  </sheetViews>
  <sheetFormatPr defaultColWidth="9.140625" defaultRowHeight="12.75" x14ac:dyDescent="0.2"/>
  <cols>
    <col min="1" max="1" width="6.140625" style="17" customWidth="1"/>
    <col min="2" max="2" width="4.7109375" style="17" customWidth="1"/>
    <col min="3" max="3" width="5.140625" style="17" customWidth="1"/>
    <col min="4" max="5" width="5" style="17" customWidth="1"/>
    <col min="6" max="7" width="8.7109375" style="53" customWidth="1"/>
    <col min="8" max="8" width="50.7109375" style="17" customWidth="1"/>
    <col min="9" max="9" width="11.7109375" style="17" customWidth="1"/>
    <col min="10" max="10" width="11.85546875" style="17" customWidth="1"/>
    <col min="11" max="11" width="13.5703125" style="17" customWidth="1"/>
    <col min="12" max="13" width="14.7109375" style="17" customWidth="1"/>
    <col min="14" max="14" width="15.7109375" style="17" customWidth="1"/>
    <col min="15" max="15" width="9.140625" style="17"/>
    <col min="16" max="16" width="9.5703125" style="17" bestFit="1" customWidth="1"/>
    <col min="17" max="16384" width="9.140625" style="17"/>
  </cols>
  <sheetData>
    <row r="1" spans="2:15" ht="15.75" x14ac:dyDescent="0.25">
      <c r="B1" s="428" t="s">
        <v>374</v>
      </c>
      <c r="C1" s="429"/>
      <c r="D1" s="429"/>
      <c r="E1" s="429"/>
      <c r="F1" s="429"/>
      <c r="G1" s="429"/>
      <c r="H1" s="429"/>
      <c r="I1" s="430"/>
      <c r="J1" s="430"/>
      <c r="K1" s="430"/>
      <c r="L1" s="430"/>
      <c r="M1" s="430"/>
      <c r="N1" s="430"/>
    </row>
    <row r="2" spans="2:15" x14ac:dyDescent="0.2">
      <c r="M2" s="126" t="s">
        <v>232</v>
      </c>
      <c r="N2" s="196"/>
    </row>
    <row r="3" spans="2:15" ht="15.75" x14ac:dyDescent="0.25">
      <c r="B3" s="180" t="s">
        <v>173</v>
      </c>
      <c r="F3" s="431" t="s">
        <v>130</v>
      </c>
      <c r="G3" s="432"/>
      <c r="H3" s="432"/>
      <c r="I3" s="432"/>
      <c r="J3" s="432"/>
      <c r="K3" s="432"/>
    </row>
    <row r="4" spans="2:15" x14ac:dyDescent="0.2">
      <c r="B4" s="180"/>
      <c r="G4"/>
      <c r="H4"/>
      <c r="I4"/>
      <c r="J4"/>
      <c r="K4"/>
    </row>
    <row r="5" spans="2:15" ht="15.75" x14ac:dyDescent="0.25">
      <c r="B5" s="180" t="s">
        <v>172</v>
      </c>
      <c r="D5" s="433">
        <v>23</v>
      </c>
      <c r="E5" s="434"/>
      <c r="F5" s="181"/>
      <c r="G5" s="181"/>
      <c r="I5" s="180"/>
      <c r="L5" s="411"/>
    </row>
    <row r="6" spans="2:15" s="22" customFormat="1" ht="16.5" thickBot="1" x14ac:dyDescent="0.3">
      <c r="F6" s="48"/>
      <c r="G6" s="48"/>
      <c r="H6" s="435"/>
      <c r="I6" s="435"/>
      <c r="J6" s="26"/>
      <c r="K6" s="26"/>
      <c r="L6" s="26"/>
      <c r="M6" s="26"/>
      <c r="N6" s="26"/>
    </row>
    <row r="7" spans="2:15" s="22" customFormat="1" ht="30.75" customHeight="1" x14ac:dyDescent="0.2">
      <c r="B7" s="436" t="s">
        <v>0</v>
      </c>
      <c r="C7" s="438" t="s">
        <v>1</v>
      </c>
      <c r="D7" s="438" t="s">
        <v>21</v>
      </c>
      <c r="E7" s="438" t="s">
        <v>135</v>
      </c>
      <c r="F7" s="421" t="s">
        <v>85</v>
      </c>
      <c r="G7" s="440" t="s">
        <v>88</v>
      </c>
      <c r="H7" s="421" t="s">
        <v>2</v>
      </c>
      <c r="I7" s="423" t="s">
        <v>375</v>
      </c>
      <c r="J7" s="424"/>
      <c r="K7" s="425"/>
      <c r="L7" s="423" t="s">
        <v>373</v>
      </c>
      <c r="M7" s="424"/>
      <c r="N7" s="424"/>
      <c r="O7" s="426" t="s">
        <v>258</v>
      </c>
    </row>
    <row r="8" spans="2:15" s="22" customFormat="1" ht="25.5" x14ac:dyDescent="0.2">
      <c r="B8" s="437"/>
      <c r="C8" s="439"/>
      <c r="D8" s="439"/>
      <c r="E8" s="439"/>
      <c r="F8" s="422"/>
      <c r="G8" s="439"/>
      <c r="H8" s="422"/>
      <c r="I8" s="105" t="s">
        <v>117</v>
      </c>
      <c r="J8" s="85" t="s">
        <v>118</v>
      </c>
      <c r="K8" s="159" t="s">
        <v>81</v>
      </c>
      <c r="L8" s="105" t="s">
        <v>117</v>
      </c>
      <c r="M8" s="85" t="s">
        <v>118</v>
      </c>
      <c r="N8" s="200" t="s">
        <v>81</v>
      </c>
      <c r="O8" s="427"/>
    </row>
    <row r="9" spans="2:15" s="48" customFormat="1" x14ac:dyDescent="0.2">
      <c r="B9" s="97">
        <v>1</v>
      </c>
      <c r="C9" s="68">
        <v>2</v>
      </c>
      <c r="D9" s="68">
        <v>3</v>
      </c>
      <c r="E9" s="68">
        <v>4</v>
      </c>
      <c r="F9" s="68">
        <v>5</v>
      </c>
      <c r="G9" s="68">
        <v>6</v>
      </c>
      <c r="H9" s="68">
        <v>7</v>
      </c>
      <c r="I9" s="97">
        <v>8</v>
      </c>
      <c r="J9" s="68">
        <v>9</v>
      </c>
      <c r="K9" s="160" t="s">
        <v>171</v>
      </c>
      <c r="L9" s="97">
        <v>11</v>
      </c>
      <c r="M9" s="68">
        <v>12</v>
      </c>
      <c r="N9" s="68" t="s">
        <v>394</v>
      </c>
      <c r="O9" s="232" t="s">
        <v>395</v>
      </c>
    </row>
    <row r="10" spans="2:15" ht="15" x14ac:dyDescent="0.25">
      <c r="B10" s="2" t="s">
        <v>51</v>
      </c>
      <c r="C10" s="3" t="s">
        <v>3</v>
      </c>
      <c r="D10" s="3" t="s">
        <v>4</v>
      </c>
      <c r="E10" s="136" t="s">
        <v>154</v>
      </c>
      <c r="F10" s="49"/>
      <c r="G10" s="49"/>
      <c r="H10" s="182" t="s">
        <v>130</v>
      </c>
      <c r="I10" s="1"/>
      <c r="J10" s="49"/>
      <c r="K10" s="161"/>
      <c r="L10" s="1"/>
      <c r="M10" s="49"/>
      <c r="N10" s="201"/>
      <c r="O10" s="224" t="str">
        <f t="shared" ref="O10:O43" si="0">IF(K10=0,"",N10/K10*100)</f>
        <v/>
      </c>
    </row>
    <row r="11" spans="2:15" ht="15" x14ac:dyDescent="0.25">
      <c r="B11" s="51"/>
      <c r="C11" s="4"/>
      <c r="D11" s="4"/>
      <c r="E11" s="4"/>
      <c r="F11" s="57">
        <v>611000</v>
      </c>
      <c r="G11" s="68"/>
      <c r="H11" s="10" t="s">
        <v>57</v>
      </c>
      <c r="I11" s="106">
        <f>SUM(I12:I14)</f>
        <v>1419690</v>
      </c>
      <c r="J11" s="32">
        <f t="shared" ref="J11:N11" si="1">SUM(J12:J14)</f>
        <v>0</v>
      </c>
      <c r="K11" s="162">
        <f t="shared" si="1"/>
        <v>1419690</v>
      </c>
      <c r="L11" s="106">
        <f t="shared" si="1"/>
        <v>0</v>
      </c>
      <c r="M11" s="32">
        <f t="shared" si="1"/>
        <v>0</v>
      </c>
      <c r="N11" s="202">
        <f t="shared" si="1"/>
        <v>0</v>
      </c>
      <c r="O11" s="228">
        <f t="shared" si="0"/>
        <v>0</v>
      </c>
    </row>
    <row r="12" spans="2:15" ht="14.25" x14ac:dyDescent="0.2">
      <c r="B12" s="50"/>
      <c r="C12" s="8"/>
      <c r="D12" s="8"/>
      <c r="E12" s="8"/>
      <c r="F12" s="58">
        <v>611100</v>
      </c>
      <c r="G12" s="69"/>
      <c r="H12" s="9" t="s">
        <v>68</v>
      </c>
      <c r="I12" s="107">
        <f>1078230+4*10*1560+61460</f>
        <v>1202090</v>
      </c>
      <c r="J12" s="31">
        <v>0</v>
      </c>
      <c r="K12" s="163">
        <f>SUM(I12:J12)</f>
        <v>1202090</v>
      </c>
      <c r="L12" s="107"/>
      <c r="M12" s="31"/>
      <c r="N12" s="203">
        <f>SUM(L12:M12)</f>
        <v>0</v>
      </c>
      <c r="O12" s="224">
        <f t="shared" si="0"/>
        <v>0</v>
      </c>
    </row>
    <row r="13" spans="2:15" ht="14.25" x14ac:dyDescent="0.2">
      <c r="B13" s="50"/>
      <c r="C13" s="8"/>
      <c r="D13" s="8"/>
      <c r="E13" s="8"/>
      <c r="F13" s="58">
        <v>611200</v>
      </c>
      <c r="G13" s="69"/>
      <c r="H13" s="9" t="s">
        <v>69</v>
      </c>
      <c r="I13" s="107">
        <f>195280+4*850+4*4730</f>
        <v>217600</v>
      </c>
      <c r="J13" s="31">
        <v>0</v>
      </c>
      <c r="K13" s="163">
        <f t="shared" ref="K13" si="2">SUM(I13:J13)</f>
        <v>217600</v>
      </c>
      <c r="L13" s="107"/>
      <c r="M13" s="31"/>
      <c r="N13" s="203">
        <f t="shared" ref="N13" si="3">SUM(L13:M13)</f>
        <v>0</v>
      </c>
      <c r="O13" s="224">
        <f t="shared" si="0"/>
        <v>0</v>
      </c>
    </row>
    <row r="14" spans="2:15" ht="14.25" x14ac:dyDescent="0.2">
      <c r="B14" s="50"/>
      <c r="C14" s="8"/>
      <c r="D14" s="8"/>
      <c r="E14" s="8"/>
      <c r="F14" s="58"/>
      <c r="G14" s="69"/>
      <c r="H14" s="9"/>
      <c r="I14" s="107"/>
      <c r="J14" s="31"/>
      <c r="K14" s="163"/>
      <c r="L14" s="107"/>
      <c r="M14" s="31"/>
      <c r="N14" s="203"/>
      <c r="O14" s="224" t="str">
        <f t="shared" si="0"/>
        <v/>
      </c>
    </row>
    <row r="15" spans="2:15" ht="15" x14ac:dyDescent="0.25">
      <c r="B15" s="51"/>
      <c r="C15" s="4"/>
      <c r="D15" s="4"/>
      <c r="E15" s="4"/>
      <c r="F15" s="57">
        <v>612000</v>
      </c>
      <c r="G15" s="68"/>
      <c r="H15" s="10" t="s">
        <v>56</v>
      </c>
      <c r="I15" s="106">
        <f t="shared" ref="I15" si="4">I16</f>
        <v>87700</v>
      </c>
      <c r="J15" s="32">
        <f t="shared" ref="J15:N15" si="5">J16</f>
        <v>0</v>
      </c>
      <c r="K15" s="162">
        <f t="shared" si="5"/>
        <v>87700</v>
      </c>
      <c r="L15" s="106">
        <f t="shared" si="5"/>
        <v>0</v>
      </c>
      <c r="M15" s="32">
        <f t="shared" si="5"/>
        <v>0</v>
      </c>
      <c r="N15" s="202">
        <f t="shared" si="5"/>
        <v>0</v>
      </c>
      <c r="O15" s="228">
        <f t="shared" si="0"/>
        <v>0</v>
      </c>
    </row>
    <row r="16" spans="2:15" ht="14.25" x14ac:dyDescent="0.2">
      <c r="B16" s="50"/>
      <c r="C16" s="8"/>
      <c r="D16" s="8"/>
      <c r="E16" s="8"/>
      <c r="F16" s="58">
        <v>612100</v>
      </c>
      <c r="G16" s="69"/>
      <c r="H16" s="145" t="s">
        <v>5</v>
      </c>
      <c r="I16" s="107">
        <f>76100+4*10*180+4400</f>
        <v>87700</v>
      </c>
      <c r="J16" s="31">
        <v>0</v>
      </c>
      <c r="K16" s="163">
        <f>SUM(I16:J16)</f>
        <v>87700</v>
      </c>
      <c r="L16" s="107"/>
      <c r="M16" s="31"/>
      <c r="N16" s="203">
        <f>SUM(L16:M16)</f>
        <v>0</v>
      </c>
      <c r="O16" s="224">
        <f t="shared" si="0"/>
        <v>0</v>
      </c>
    </row>
    <row r="17" spans="2:15" ht="15" x14ac:dyDescent="0.25">
      <c r="B17" s="50"/>
      <c r="C17" s="8"/>
      <c r="D17" s="8"/>
      <c r="E17" s="8"/>
      <c r="F17" s="58"/>
      <c r="G17" s="69"/>
      <c r="H17" s="9"/>
      <c r="I17" s="109"/>
      <c r="J17" s="55"/>
      <c r="K17" s="165"/>
      <c r="L17" s="109"/>
      <c r="M17" s="55"/>
      <c r="N17" s="205"/>
      <c r="O17" s="224" t="str">
        <f t="shared" si="0"/>
        <v/>
      </c>
    </row>
    <row r="18" spans="2:15" ht="15" x14ac:dyDescent="0.25">
      <c r="B18" s="51"/>
      <c r="C18" s="4"/>
      <c r="D18" s="4"/>
      <c r="E18" s="4"/>
      <c r="F18" s="57">
        <v>613000</v>
      </c>
      <c r="G18" s="68"/>
      <c r="H18" s="10" t="s">
        <v>58</v>
      </c>
      <c r="I18" s="109">
        <f>SUM(I19:I27)</f>
        <v>196000</v>
      </c>
      <c r="J18" s="55">
        <f t="shared" ref="J18:N18" si="6">SUM(J19:J27)</f>
        <v>0</v>
      </c>
      <c r="K18" s="165">
        <f t="shared" si="6"/>
        <v>196000</v>
      </c>
      <c r="L18" s="109">
        <f t="shared" si="6"/>
        <v>0</v>
      </c>
      <c r="M18" s="55">
        <f t="shared" si="6"/>
        <v>0</v>
      </c>
      <c r="N18" s="205">
        <f t="shared" si="6"/>
        <v>0</v>
      </c>
      <c r="O18" s="228">
        <f t="shared" si="0"/>
        <v>0</v>
      </c>
    </row>
    <row r="19" spans="2:15" ht="14.25" x14ac:dyDescent="0.2">
      <c r="B19" s="50"/>
      <c r="C19" s="8"/>
      <c r="D19" s="8"/>
      <c r="E19" s="8"/>
      <c r="F19" s="58">
        <v>613100</v>
      </c>
      <c r="G19" s="69"/>
      <c r="H19" s="9" t="s">
        <v>6</v>
      </c>
      <c r="I19" s="99">
        <v>3000</v>
      </c>
      <c r="J19" s="82">
        <v>0</v>
      </c>
      <c r="K19" s="163">
        <f t="shared" ref="K19:K27" si="7">SUM(I19:J19)</f>
        <v>3000</v>
      </c>
      <c r="L19" s="99"/>
      <c r="M19" s="82"/>
      <c r="N19" s="203">
        <f t="shared" ref="N19:N27" si="8">SUM(L19:M19)</f>
        <v>0</v>
      </c>
      <c r="O19" s="224">
        <f t="shared" si="0"/>
        <v>0</v>
      </c>
    </row>
    <row r="20" spans="2:15" ht="14.25" x14ac:dyDescent="0.2">
      <c r="B20" s="50"/>
      <c r="C20" s="8"/>
      <c r="D20" s="8"/>
      <c r="E20" s="8"/>
      <c r="F20" s="58">
        <v>613200</v>
      </c>
      <c r="G20" s="69"/>
      <c r="H20" s="9" t="s">
        <v>7</v>
      </c>
      <c r="I20" s="99">
        <v>26000</v>
      </c>
      <c r="J20" s="82">
        <v>0</v>
      </c>
      <c r="K20" s="163">
        <f t="shared" si="7"/>
        <v>26000</v>
      </c>
      <c r="L20" s="99"/>
      <c r="M20" s="82"/>
      <c r="N20" s="203">
        <f t="shared" si="8"/>
        <v>0</v>
      </c>
      <c r="O20" s="224">
        <f t="shared" si="0"/>
        <v>0</v>
      </c>
    </row>
    <row r="21" spans="2:15" ht="14.25" x14ac:dyDescent="0.2">
      <c r="B21" s="50"/>
      <c r="C21" s="8"/>
      <c r="D21" s="8"/>
      <c r="E21" s="8"/>
      <c r="F21" s="58">
        <v>613300</v>
      </c>
      <c r="G21" s="69"/>
      <c r="H21" s="9" t="s">
        <v>70</v>
      </c>
      <c r="I21" s="99">
        <v>11000</v>
      </c>
      <c r="J21" s="82">
        <v>0</v>
      </c>
      <c r="K21" s="163">
        <f t="shared" si="7"/>
        <v>11000</v>
      </c>
      <c r="L21" s="99"/>
      <c r="M21" s="82"/>
      <c r="N21" s="203">
        <f t="shared" si="8"/>
        <v>0</v>
      </c>
      <c r="O21" s="224">
        <f t="shared" si="0"/>
        <v>0</v>
      </c>
    </row>
    <row r="22" spans="2:15" ht="14.25" x14ac:dyDescent="0.2">
      <c r="B22" s="50"/>
      <c r="C22" s="8"/>
      <c r="D22" s="8"/>
      <c r="E22" s="8"/>
      <c r="F22" s="58">
        <v>613400</v>
      </c>
      <c r="G22" s="69"/>
      <c r="H22" s="9" t="s">
        <v>59</v>
      </c>
      <c r="I22" s="99">
        <v>53000</v>
      </c>
      <c r="J22" s="82">
        <v>0</v>
      </c>
      <c r="K22" s="163">
        <f t="shared" si="7"/>
        <v>53000</v>
      </c>
      <c r="L22" s="99"/>
      <c r="M22" s="82"/>
      <c r="N22" s="203">
        <f t="shared" si="8"/>
        <v>0</v>
      </c>
      <c r="O22" s="224">
        <f t="shared" si="0"/>
        <v>0</v>
      </c>
    </row>
    <row r="23" spans="2:15" ht="14.25" x14ac:dyDescent="0.2">
      <c r="B23" s="50"/>
      <c r="C23" s="8"/>
      <c r="D23" s="8"/>
      <c r="E23" s="8"/>
      <c r="F23" s="58">
        <v>613500</v>
      </c>
      <c r="G23" s="69"/>
      <c r="H23" s="9" t="s">
        <v>8</v>
      </c>
      <c r="I23" s="99">
        <v>31000</v>
      </c>
      <c r="J23" s="82">
        <v>0</v>
      </c>
      <c r="K23" s="163">
        <f t="shared" si="7"/>
        <v>31000</v>
      </c>
      <c r="L23" s="99"/>
      <c r="M23" s="82"/>
      <c r="N23" s="203">
        <f t="shared" si="8"/>
        <v>0</v>
      </c>
      <c r="O23" s="224">
        <f t="shared" si="0"/>
        <v>0</v>
      </c>
    </row>
    <row r="24" spans="2:15" ht="14.25" x14ac:dyDescent="0.2">
      <c r="B24" s="50"/>
      <c r="C24" s="8"/>
      <c r="D24" s="8"/>
      <c r="E24" s="8"/>
      <c r="F24" s="58">
        <v>613600</v>
      </c>
      <c r="G24" s="69"/>
      <c r="H24" s="9" t="s">
        <v>71</v>
      </c>
      <c r="I24" s="99">
        <v>0</v>
      </c>
      <c r="J24" s="82">
        <v>0</v>
      </c>
      <c r="K24" s="163">
        <f t="shared" si="7"/>
        <v>0</v>
      </c>
      <c r="L24" s="99"/>
      <c r="M24" s="82"/>
      <c r="N24" s="203">
        <f t="shared" si="8"/>
        <v>0</v>
      </c>
      <c r="O24" s="224" t="str">
        <f t="shared" si="0"/>
        <v/>
      </c>
    </row>
    <row r="25" spans="2:15" ht="14.25" x14ac:dyDescent="0.2">
      <c r="B25" s="50"/>
      <c r="C25" s="8"/>
      <c r="D25" s="8"/>
      <c r="E25" s="8"/>
      <c r="F25" s="58">
        <v>613700</v>
      </c>
      <c r="G25" s="69"/>
      <c r="H25" s="9" t="s">
        <v>9</v>
      </c>
      <c r="I25" s="99">
        <f>30000+3000</f>
        <v>33000</v>
      </c>
      <c r="J25" s="82">
        <v>0</v>
      </c>
      <c r="K25" s="163">
        <f t="shared" si="7"/>
        <v>33000</v>
      </c>
      <c r="L25" s="99"/>
      <c r="M25" s="82"/>
      <c r="N25" s="203">
        <f t="shared" si="8"/>
        <v>0</v>
      </c>
      <c r="O25" s="224">
        <f t="shared" si="0"/>
        <v>0</v>
      </c>
    </row>
    <row r="26" spans="2:15" ht="14.25" x14ac:dyDescent="0.2">
      <c r="B26" s="50"/>
      <c r="C26" s="8"/>
      <c r="D26" s="8"/>
      <c r="E26" s="8"/>
      <c r="F26" s="58">
        <v>613800</v>
      </c>
      <c r="G26" s="69"/>
      <c r="H26" s="9" t="s">
        <v>60</v>
      </c>
      <c r="I26" s="99">
        <v>11000</v>
      </c>
      <c r="J26" s="82">
        <v>0</v>
      </c>
      <c r="K26" s="163">
        <f t="shared" si="7"/>
        <v>11000</v>
      </c>
      <c r="L26" s="99"/>
      <c r="M26" s="82"/>
      <c r="N26" s="203">
        <f t="shared" si="8"/>
        <v>0</v>
      </c>
      <c r="O26" s="224">
        <f t="shared" si="0"/>
        <v>0</v>
      </c>
    </row>
    <row r="27" spans="2:15" ht="14.25" x14ac:dyDescent="0.2">
      <c r="B27" s="50"/>
      <c r="C27" s="8"/>
      <c r="D27" s="8"/>
      <c r="E27" s="8"/>
      <c r="F27" s="58">
        <v>613900</v>
      </c>
      <c r="G27" s="69"/>
      <c r="H27" s="9" t="s">
        <v>61</v>
      </c>
      <c r="I27" s="99">
        <v>28000</v>
      </c>
      <c r="J27" s="82">
        <v>0</v>
      </c>
      <c r="K27" s="163">
        <f t="shared" si="7"/>
        <v>28000</v>
      </c>
      <c r="L27" s="99"/>
      <c r="M27" s="82"/>
      <c r="N27" s="203">
        <f t="shared" si="8"/>
        <v>0</v>
      </c>
      <c r="O27" s="224">
        <f t="shared" si="0"/>
        <v>0</v>
      </c>
    </row>
    <row r="28" spans="2:15" ht="15" x14ac:dyDescent="0.25">
      <c r="B28" s="50"/>
      <c r="C28" s="8"/>
      <c r="D28" s="8"/>
      <c r="E28" s="8"/>
      <c r="F28" s="58"/>
      <c r="G28" s="69"/>
      <c r="H28" s="9"/>
      <c r="I28" s="110"/>
      <c r="J28" s="52"/>
      <c r="K28" s="165"/>
      <c r="L28" s="110"/>
      <c r="M28" s="52"/>
      <c r="N28" s="205"/>
      <c r="O28" s="224" t="str">
        <f t="shared" si="0"/>
        <v/>
      </c>
    </row>
    <row r="29" spans="2:15" ht="15" x14ac:dyDescent="0.25">
      <c r="B29" s="51"/>
      <c r="C29" s="4"/>
      <c r="D29" s="4"/>
      <c r="E29" s="4"/>
      <c r="F29" s="57">
        <v>614000</v>
      </c>
      <c r="G29" s="68"/>
      <c r="H29" s="10" t="s">
        <v>72</v>
      </c>
      <c r="I29" s="110">
        <f t="shared" ref="I29" si="9">I30+I31</f>
        <v>100000</v>
      </c>
      <c r="J29" s="52">
        <f t="shared" ref="J29:N29" si="10">J30+J31</f>
        <v>261000</v>
      </c>
      <c r="K29" s="165">
        <f t="shared" si="10"/>
        <v>361000</v>
      </c>
      <c r="L29" s="110">
        <f t="shared" si="10"/>
        <v>0</v>
      </c>
      <c r="M29" s="52">
        <f t="shared" si="10"/>
        <v>0</v>
      </c>
      <c r="N29" s="205">
        <f t="shared" si="10"/>
        <v>0</v>
      </c>
      <c r="O29" s="228">
        <f t="shared" si="0"/>
        <v>0</v>
      </c>
    </row>
    <row r="30" spans="2:15" ht="14.25" x14ac:dyDescent="0.2">
      <c r="B30" s="50"/>
      <c r="C30" s="8"/>
      <c r="D30" s="8"/>
      <c r="E30" s="8"/>
      <c r="F30" s="58">
        <v>614100</v>
      </c>
      <c r="G30" s="69" t="s">
        <v>348</v>
      </c>
      <c r="H30" s="144" t="s">
        <v>349</v>
      </c>
      <c r="I30" s="108">
        <v>0</v>
      </c>
      <c r="J30" s="46">
        <v>0</v>
      </c>
      <c r="K30" s="163">
        <f t="shared" ref="K30:K31" si="11">SUM(I30:J30)</f>
        <v>0</v>
      </c>
      <c r="L30" s="108"/>
      <c r="M30" s="46"/>
      <c r="N30" s="203">
        <f t="shared" ref="N30:N31" si="12">SUM(L30:M30)</f>
        <v>0</v>
      </c>
      <c r="O30" s="224" t="str">
        <f t="shared" si="0"/>
        <v/>
      </c>
    </row>
    <row r="31" spans="2:15" ht="14.25" x14ac:dyDescent="0.2">
      <c r="B31" s="50"/>
      <c r="C31" s="8"/>
      <c r="D31" s="8"/>
      <c r="E31" s="8"/>
      <c r="F31" s="58">
        <v>614200</v>
      </c>
      <c r="G31" s="69" t="s">
        <v>116</v>
      </c>
      <c r="H31" s="9" t="s">
        <v>25</v>
      </c>
      <c r="I31" s="108">
        <v>100000</v>
      </c>
      <c r="J31" s="46">
        <f>180000+81000</f>
        <v>261000</v>
      </c>
      <c r="K31" s="163">
        <f t="shared" si="11"/>
        <v>361000</v>
      </c>
      <c r="L31" s="108"/>
      <c r="M31" s="46"/>
      <c r="N31" s="203">
        <f t="shared" si="12"/>
        <v>0</v>
      </c>
      <c r="O31" s="224">
        <f t="shared" si="0"/>
        <v>0</v>
      </c>
    </row>
    <row r="32" spans="2:15" ht="14.25" x14ac:dyDescent="0.2">
      <c r="B32" s="50"/>
      <c r="C32" s="8"/>
      <c r="D32" s="8"/>
      <c r="E32" s="8"/>
      <c r="F32" s="57"/>
      <c r="G32" s="68"/>
      <c r="H32" s="10"/>
      <c r="I32" s="108"/>
      <c r="J32" s="46"/>
      <c r="K32" s="164"/>
      <c r="L32" s="108"/>
      <c r="M32" s="46"/>
      <c r="N32" s="204"/>
      <c r="O32" s="224" t="str">
        <f t="shared" si="0"/>
        <v/>
      </c>
    </row>
    <row r="33" spans="2:15" ht="15" x14ac:dyDescent="0.25">
      <c r="B33" s="51"/>
      <c r="C33" s="4"/>
      <c r="D33" s="4"/>
      <c r="E33" s="4"/>
      <c r="F33" s="57">
        <v>821000</v>
      </c>
      <c r="G33" s="68"/>
      <c r="H33" s="10" t="s">
        <v>12</v>
      </c>
      <c r="I33" s="110">
        <f t="shared" ref="I33" si="13">SUM(I34:I37)</f>
        <v>386000</v>
      </c>
      <c r="J33" s="52">
        <f t="shared" ref="J33:N33" si="14">SUM(J34:J37)</f>
        <v>189000</v>
      </c>
      <c r="K33" s="165">
        <f t="shared" si="14"/>
        <v>575000</v>
      </c>
      <c r="L33" s="110">
        <f t="shared" si="14"/>
        <v>0</v>
      </c>
      <c r="M33" s="52">
        <f t="shared" si="14"/>
        <v>0</v>
      </c>
      <c r="N33" s="205">
        <f t="shared" si="14"/>
        <v>0</v>
      </c>
      <c r="O33" s="228">
        <f t="shared" si="0"/>
        <v>0</v>
      </c>
    </row>
    <row r="34" spans="2:15" ht="14.25" x14ac:dyDescent="0.2">
      <c r="B34" s="50"/>
      <c r="C34" s="8"/>
      <c r="D34" s="8"/>
      <c r="E34" s="8"/>
      <c r="F34" s="58">
        <v>821200</v>
      </c>
      <c r="G34" s="69"/>
      <c r="H34" s="9" t="s">
        <v>13</v>
      </c>
      <c r="I34" s="116">
        <v>66000</v>
      </c>
      <c r="J34" s="54">
        <v>70000</v>
      </c>
      <c r="K34" s="163">
        <f t="shared" ref="K34:K36" si="15">SUM(I34:J34)</f>
        <v>136000</v>
      </c>
      <c r="L34" s="116"/>
      <c r="M34" s="54"/>
      <c r="N34" s="203">
        <f t="shared" ref="N34:N36" si="16">SUM(L34:M34)</f>
        <v>0</v>
      </c>
      <c r="O34" s="224">
        <f t="shared" si="0"/>
        <v>0</v>
      </c>
    </row>
    <row r="35" spans="2:15" ht="14.25" x14ac:dyDescent="0.2">
      <c r="B35" s="50"/>
      <c r="C35" s="8"/>
      <c r="D35" s="8"/>
      <c r="E35" s="8"/>
      <c r="F35" s="58">
        <v>821300</v>
      </c>
      <c r="G35" s="69"/>
      <c r="H35" s="9" t="s">
        <v>14</v>
      </c>
      <c r="I35" s="108">
        <v>0</v>
      </c>
      <c r="J35" s="46">
        <v>119000</v>
      </c>
      <c r="K35" s="163">
        <f t="shared" si="15"/>
        <v>119000</v>
      </c>
      <c r="L35" s="108"/>
      <c r="M35" s="46"/>
      <c r="N35" s="203">
        <f t="shared" si="16"/>
        <v>0</v>
      </c>
      <c r="O35" s="224">
        <f t="shared" si="0"/>
        <v>0</v>
      </c>
    </row>
    <row r="36" spans="2:15" ht="14.25" x14ac:dyDescent="0.2">
      <c r="B36" s="50"/>
      <c r="C36" s="8"/>
      <c r="D36" s="8"/>
      <c r="E36" s="8"/>
      <c r="F36" s="58">
        <v>821300</v>
      </c>
      <c r="G36" s="69" t="s">
        <v>254</v>
      </c>
      <c r="H36" s="144" t="s">
        <v>253</v>
      </c>
      <c r="I36" s="108">
        <v>320000</v>
      </c>
      <c r="J36" s="46">
        <v>0</v>
      </c>
      <c r="K36" s="163">
        <f t="shared" si="15"/>
        <v>320000</v>
      </c>
      <c r="L36" s="108"/>
      <c r="M36" s="46"/>
      <c r="N36" s="203">
        <f t="shared" si="16"/>
        <v>0</v>
      </c>
      <c r="O36" s="224">
        <f t="shared" si="0"/>
        <v>0</v>
      </c>
    </row>
    <row r="37" spans="2:15" ht="14.25" x14ac:dyDescent="0.2">
      <c r="B37" s="50"/>
      <c r="C37" s="8"/>
      <c r="D37" s="8"/>
      <c r="E37" s="8"/>
      <c r="F37" s="58"/>
      <c r="G37" s="69"/>
      <c r="H37" s="9"/>
      <c r="I37" s="108"/>
      <c r="J37" s="46"/>
      <c r="K37" s="164"/>
      <c r="L37" s="108"/>
      <c r="M37" s="46"/>
      <c r="N37" s="204"/>
      <c r="O37" s="224" t="str">
        <f t="shared" si="0"/>
        <v/>
      </c>
    </row>
    <row r="38" spans="2:15" ht="15" x14ac:dyDescent="0.25">
      <c r="B38" s="51"/>
      <c r="C38" s="4"/>
      <c r="D38" s="4"/>
      <c r="E38" s="4"/>
      <c r="F38" s="57"/>
      <c r="G38" s="68"/>
      <c r="H38" s="10" t="s">
        <v>15</v>
      </c>
      <c r="I38" s="110">
        <v>40</v>
      </c>
      <c r="J38" s="52"/>
      <c r="K38" s="165">
        <v>40</v>
      </c>
      <c r="L38" s="110"/>
      <c r="M38" s="52"/>
      <c r="N38" s="205"/>
      <c r="O38" s="224"/>
    </row>
    <row r="39" spans="2:15" ht="15" x14ac:dyDescent="0.25">
      <c r="B39" s="51"/>
      <c r="C39" s="4"/>
      <c r="D39" s="4"/>
      <c r="E39" s="4"/>
      <c r="F39" s="57"/>
      <c r="G39" s="68"/>
      <c r="H39" s="4" t="s">
        <v>24</v>
      </c>
      <c r="I39" s="110">
        <f t="shared" ref="I39:N39" si="17">I11+I15+I18+I29+I33</f>
        <v>2189390</v>
      </c>
      <c r="J39" s="52">
        <f t="shared" si="17"/>
        <v>450000</v>
      </c>
      <c r="K39" s="88">
        <f t="shared" si="17"/>
        <v>2639390</v>
      </c>
      <c r="L39" s="110">
        <f t="shared" si="17"/>
        <v>0</v>
      </c>
      <c r="M39" s="52">
        <f t="shared" si="17"/>
        <v>0</v>
      </c>
      <c r="N39" s="205">
        <f t="shared" si="17"/>
        <v>0</v>
      </c>
      <c r="O39" s="228">
        <f t="shared" si="0"/>
        <v>0</v>
      </c>
    </row>
    <row r="40" spans="2:15" ht="15" x14ac:dyDescent="0.25">
      <c r="B40" s="51"/>
      <c r="C40" s="4"/>
      <c r="D40" s="4"/>
      <c r="E40" s="4"/>
      <c r="F40" s="57"/>
      <c r="G40" s="68"/>
      <c r="H40" s="4" t="s">
        <v>16</v>
      </c>
      <c r="I40" s="110">
        <f t="shared" ref="I40:N41" si="18">I39</f>
        <v>2189390</v>
      </c>
      <c r="J40" s="52">
        <f t="shared" si="18"/>
        <v>450000</v>
      </c>
      <c r="K40" s="88">
        <f t="shared" si="18"/>
        <v>2639390</v>
      </c>
      <c r="L40" s="110">
        <f t="shared" si="18"/>
        <v>0</v>
      </c>
      <c r="M40" s="52">
        <f t="shared" si="18"/>
        <v>0</v>
      </c>
      <c r="N40" s="205">
        <f t="shared" si="18"/>
        <v>0</v>
      </c>
      <c r="O40" s="228">
        <f t="shared" si="0"/>
        <v>0</v>
      </c>
    </row>
    <row r="41" spans="2:15" ht="15" x14ac:dyDescent="0.25">
      <c r="B41" s="51"/>
      <c r="C41" s="4"/>
      <c r="D41" s="4"/>
      <c r="E41" s="4"/>
      <c r="F41" s="57"/>
      <c r="G41" s="68"/>
      <c r="H41" s="4" t="s">
        <v>17</v>
      </c>
      <c r="I41" s="110">
        <f t="shared" si="18"/>
        <v>2189390</v>
      </c>
      <c r="J41" s="52">
        <f t="shared" si="18"/>
        <v>450000</v>
      </c>
      <c r="K41" s="88">
        <f t="shared" si="18"/>
        <v>2639390</v>
      </c>
      <c r="L41" s="110">
        <f t="shared" si="18"/>
        <v>0</v>
      </c>
      <c r="M41" s="52">
        <f t="shared" si="18"/>
        <v>0</v>
      </c>
      <c r="N41" s="205">
        <f t="shared" si="18"/>
        <v>0</v>
      </c>
      <c r="O41" s="228">
        <f t="shared" si="0"/>
        <v>0</v>
      </c>
    </row>
    <row r="42" spans="2:15" ht="15.75" thickBot="1" x14ac:dyDescent="0.3">
      <c r="B42" s="6"/>
      <c r="C42" s="7"/>
      <c r="D42" s="7"/>
      <c r="E42" s="7"/>
      <c r="F42" s="59"/>
      <c r="G42" s="70"/>
      <c r="H42" s="7"/>
      <c r="I42" s="123"/>
      <c r="J42" s="25"/>
      <c r="K42" s="94"/>
      <c r="L42" s="184"/>
      <c r="M42" s="25"/>
      <c r="N42" s="222"/>
      <c r="O42" s="227"/>
    </row>
    <row r="43" spans="2:15" ht="14.25" x14ac:dyDescent="0.2">
      <c r="F43" s="60"/>
      <c r="G43" s="71"/>
      <c r="I43" s="18"/>
      <c r="J43" s="18"/>
      <c r="K43" s="95"/>
      <c r="L43" s="18"/>
      <c r="M43" s="18"/>
      <c r="N43" s="95"/>
      <c r="O43" s="233" t="str">
        <f t="shared" si="0"/>
        <v/>
      </c>
    </row>
  </sheetData>
  <mergeCells count="14">
    <mergeCell ref="H7:H8"/>
    <mergeCell ref="I7:K7"/>
    <mergeCell ref="L7:N7"/>
    <mergeCell ref="O7:O8"/>
    <mergeCell ref="B1:N1"/>
    <mergeCell ref="F3:K3"/>
    <mergeCell ref="D5:E5"/>
    <mergeCell ref="H6:I6"/>
    <mergeCell ref="B7:B8"/>
    <mergeCell ref="C7:C8"/>
    <mergeCell ref="D7:D8"/>
    <mergeCell ref="E7:E8"/>
    <mergeCell ref="F7:F8"/>
    <mergeCell ref="G7:G8"/>
  </mergeCells>
  <pageMargins left="0.39370078740157483" right="0.39370078740157483" top="0.39370078740157483" bottom="0.39370078740157483" header="0.31496062992125984" footer="0.31496062992125984"/>
  <pageSetup paperSize="9" scale="7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List17"/>
  <dimension ref="B1:O38"/>
  <sheetViews>
    <sheetView topLeftCell="B1" zoomScaleNormal="100" workbookViewId="0">
      <selection activeCell="L9" sqref="L9:O9"/>
    </sheetView>
  </sheetViews>
  <sheetFormatPr defaultColWidth="9.140625" defaultRowHeight="12.75" x14ac:dyDescent="0.2"/>
  <cols>
    <col min="1" max="1" width="6.140625" style="17" customWidth="1"/>
    <col min="2" max="2" width="4.7109375" style="17" customWidth="1"/>
    <col min="3" max="3" width="5.140625" style="17" customWidth="1"/>
    <col min="4" max="5" width="5" style="17" customWidth="1"/>
    <col min="6" max="7" width="8.7109375" style="53" customWidth="1"/>
    <col min="8" max="8" width="50.7109375" style="17" customWidth="1"/>
    <col min="9" max="9" width="11.7109375" style="17" customWidth="1"/>
    <col min="10" max="10" width="11.85546875" style="17" customWidth="1"/>
    <col min="11" max="11" width="13.5703125" style="17" customWidth="1"/>
    <col min="12" max="13" width="14.7109375" style="17" customWidth="1"/>
    <col min="14" max="14" width="15.7109375" style="17" customWidth="1"/>
    <col min="15" max="15" width="9.140625" style="17"/>
    <col min="16" max="16" width="9.5703125" style="17" bestFit="1" customWidth="1"/>
    <col min="17" max="16384" width="9.140625" style="17"/>
  </cols>
  <sheetData>
    <row r="1" spans="2:15" ht="15.75" x14ac:dyDescent="0.25">
      <c r="B1" s="428" t="s">
        <v>374</v>
      </c>
      <c r="C1" s="429"/>
      <c r="D1" s="429"/>
      <c r="E1" s="429"/>
      <c r="F1" s="429"/>
      <c r="G1" s="429"/>
      <c r="H1" s="429"/>
      <c r="I1" s="430"/>
      <c r="J1" s="430"/>
      <c r="K1" s="430"/>
      <c r="L1" s="430"/>
      <c r="M1" s="430"/>
      <c r="N1" s="430"/>
    </row>
    <row r="2" spans="2:15" x14ac:dyDescent="0.2">
      <c r="M2" s="126" t="s">
        <v>232</v>
      </c>
      <c r="N2" s="196"/>
    </row>
    <row r="3" spans="2:15" ht="15.75" x14ac:dyDescent="0.25">
      <c r="B3" s="180" t="s">
        <v>173</v>
      </c>
      <c r="F3" s="431" t="s">
        <v>52</v>
      </c>
      <c r="G3" s="432"/>
      <c r="H3" s="432"/>
      <c r="I3" s="432"/>
      <c r="J3" s="432"/>
      <c r="K3" s="432"/>
    </row>
    <row r="4" spans="2:15" x14ac:dyDescent="0.2">
      <c r="B4" s="180"/>
      <c r="G4"/>
      <c r="H4"/>
      <c r="I4"/>
      <c r="J4"/>
      <c r="K4"/>
    </row>
    <row r="5" spans="2:15" ht="15.75" x14ac:dyDescent="0.25">
      <c r="B5" s="180" t="s">
        <v>172</v>
      </c>
      <c r="D5" s="433">
        <v>24</v>
      </c>
      <c r="E5" s="434"/>
      <c r="F5" s="181"/>
      <c r="G5" s="181"/>
      <c r="I5" s="180"/>
      <c r="L5" s="411"/>
    </row>
    <row r="6" spans="2:15" s="22" customFormat="1" ht="16.5" thickBot="1" x14ac:dyDescent="0.3">
      <c r="F6" s="48"/>
      <c r="G6" s="48"/>
      <c r="H6" s="435"/>
      <c r="I6" s="435"/>
      <c r="J6" s="26"/>
      <c r="K6" s="26"/>
      <c r="L6" s="26"/>
      <c r="M6" s="26"/>
      <c r="N6" s="26"/>
    </row>
    <row r="7" spans="2:15" s="22" customFormat="1" ht="30" customHeight="1" x14ac:dyDescent="0.2">
      <c r="B7" s="436" t="s">
        <v>0</v>
      </c>
      <c r="C7" s="438" t="s">
        <v>1</v>
      </c>
      <c r="D7" s="438" t="s">
        <v>21</v>
      </c>
      <c r="E7" s="438" t="s">
        <v>135</v>
      </c>
      <c r="F7" s="421" t="s">
        <v>85</v>
      </c>
      <c r="G7" s="440" t="s">
        <v>88</v>
      </c>
      <c r="H7" s="421" t="s">
        <v>2</v>
      </c>
      <c r="I7" s="423" t="s">
        <v>375</v>
      </c>
      <c r="J7" s="424"/>
      <c r="K7" s="425"/>
      <c r="L7" s="423" t="s">
        <v>373</v>
      </c>
      <c r="M7" s="424"/>
      <c r="N7" s="424"/>
      <c r="O7" s="426" t="s">
        <v>258</v>
      </c>
    </row>
    <row r="8" spans="2:15" s="22" customFormat="1" ht="25.5" x14ac:dyDescent="0.2">
      <c r="B8" s="437"/>
      <c r="C8" s="439"/>
      <c r="D8" s="439"/>
      <c r="E8" s="439"/>
      <c r="F8" s="422"/>
      <c r="G8" s="439"/>
      <c r="H8" s="422"/>
      <c r="I8" s="105" t="s">
        <v>117</v>
      </c>
      <c r="J8" s="85" t="s">
        <v>118</v>
      </c>
      <c r="K8" s="159" t="s">
        <v>81</v>
      </c>
      <c r="L8" s="105" t="s">
        <v>117</v>
      </c>
      <c r="M8" s="85" t="s">
        <v>118</v>
      </c>
      <c r="N8" s="200" t="s">
        <v>81</v>
      </c>
      <c r="O8" s="427"/>
    </row>
    <row r="9" spans="2:15" s="48" customFormat="1" x14ac:dyDescent="0.2">
      <c r="B9" s="97">
        <v>1</v>
      </c>
      <c r="C9" s="68">
        <v>2</v>
      </c>
      <c r="D9" s="68">
        <v>3</v>
      </c>
      <c r="E9" s="68">
        <v>4</v>
      </c>
      <c r="F9" s="68">
        <v>5</v>
      </c>
      <c r="G9" s="68">
        <v>6</v>
      </c>
      <c r="H9" s="68">
        <v>7</v>
      </c>
      <c r="I9" s="97">
        <v>8</v>
      </c>
      <c r="J9" s="68">
        <v>9</v>
      </c>
      <c r="K9" s="160" t="s">
        <v>171</v>
      </c>
      <c r="L9" s="97">
        <v>11</v>
      </c>
      <c r="M9" s="68">
        <v>12</v>
      </c>
      <c r="N9" s="68" t="s">
        <v>394</v>
      </c>
      <c r="O9" s="232" t="s">
        <v>395</v>
      </c>
    </row>
    <row r="10" spans="2:15" ht="15" x14ac:dyDescent="0.25">
      <c r="B10" s="2" t="s">
        <v>53</v>
      </c>
      <c r="C10" s="3" t="s">
        <v>3</v>
      </c>
      <c r="D10" s="3" t="s">
        <v>4</v>
      </c>
      <c r="E10" s="136" t="s">
        <v>140</v>
      </c>
      <c r="F10" s="49"/>
      <c r="G10" s="49"/>
      <c r="H10" s="182" t="s">
        <v>52</v>
      </c>
      <c r="I10" s="115"/>
      <c r="J10" s="23"/>
      <c r="K10" s="168"/>
      <c r="L10" s="115"/>
      <c r="M10" s="23"/>
      <c r="N10" s="217"/>
      <c r="O10" s="224" t="str">
        <f t="shared" ref="O10:O34" si="0">IF(K10=0,"",N10/K10*100)</f>
        <v/>
      </c>
    </row>
    <row r="11" spans="2:15" ht="15" x14ac:dyDescent="0.25">
      <c r="B11" s="51"/>
      <c r="C11" s="4"/>
      <c r="D11" s="4"/>
      <c r="E11" s="4"/>
      <c r="F11" s="57">
        <v>611000</v>
      </c>
      <c r="G11" s="68"/>
      <c r="H11" s="10" t="s">
        <v>57</v>
      </c>
      <c r="I11" s="106">
        <f>I12+I13</f>
        <v>933190</v>
      </c>
      <c r="J11" s="32">
        <f t="shared" ref="J11:N11" si="1">SUM(J12:J13)</f>
        <v>0</v>
      </c>
      <c r="K11" s="162">
        <f t="shared" si="1"/>
        <v>933190</v>
      </c>
      <c r="L11" s="106">
        <f t="shared" si="1"/>
        <v>0</v>
      </c>
      <c r="M11" s="32">
        <f t="shared" si="1"/>
        <v>0</v>
      </c>
      <c r="N11" s="202">
        <f t="shared" si="1"/>
        <v>0</v>
      </c>
      <c r="O11" s="228">
        <f t="shared" si="0"/>
        <v>0</v>
      </c>
    </row>
    <row r="12" spans="2:15" ht="14.25" x14ac:dyDescent="0.2">
      <c r="B12" s="50"/>
      <c r="C12" s="8"/>
      <c r="D12" s="8"/>
      <c r="E12" s="8"/>
      <c r="F12" s="58">
        <v>611100</v>
      </c>
      <c r="G12" s="69"/>
      <c r="H12" s="9" t="s">
        <v>68</v>
      </c>
      <c r="I12" s="119">
        <v>800850</v>
      </c>
      <c r="J12" s="34">
        <v>0</v>
      </c>
      <c r="K12" s="163">
        <f>SUM(I12:J12)</f>
        <v>800850</v>
      </c>
      <c r="L12" s="119"/>
      <c r="M12" s="34"/>
      <c r="N12" s="203">
        <f>SUM(L12:M12)</f>
        <v>0</v>
      </c>
      <c r="O12" s="224">
        <f t="shared" si="0"/>
        <v>0</v>
      </c>
    </row>
    <row r="13" spans="2:15" ht="14.25" x14ac:dyDescent="0.2">
      <c r="B13" s="50"/>
      <c r="C13" s="8"/>
      <c r="D13" s="8"/>
      <c r="E13" s="8"/>
      <c r="F13" s="58">
        <v>611200</v>
      </c>
      <c r="G13" s="69"/>
      <c r="H13" s="9" t="s">
        <v>69</v>
      </c>
      <c r="I13" s="119">
        <v>132340</v>
      </c>
      <c r="J13" s="34">
        <v>0</v>
      </c>
      <c r="K13" s="163">
        <f t="shared" ref="K13" si="2">SUM(I13:J13)</f>
        <v>132340</v>
      </c>
      <c r="L13" s="119"/>
      <c r="M13" s="34"/>
      <c r="N13" s="203">
        <f t="shared" ref="N13" si="3">SUM(L13:M13)</f>
        <v>0</v>
      </c>
      <c r="O13" s="224">
        <f t="shared" si="0"/>
        <v>0</v>
      </c>
    </row>
    <row r="14" spans="2:15" ht="15" x14ac:dyDescent="0.25">
      <c r="B14" s="50"/>
      <c r="C14" s="8"/>
      <c r="D14" s="8"/>
      <c r="E14" s="8"/>
      <c r="F14" s="58"/>
      <c r="G14" s="69"/>
      <c r="H14" s="9"/>
      <c r="I14" s="106"/>
      <c r="J14" s="32"/>
      <c r="K14" s="162"/>
      <c r="L14" s="106"/>
      <c r="M14" s="32"/>
      <c r="N14" s="202"/>
      <c r="O14" s="224" t="str">
        <f t="shared" si="0"/>
        <v/>
      </c>
    </row>
    <row r="15" spans="2:15" ht="15" x14ac:dyDescent="0.25">
      <c r="B15" s="51"/>
      <c r="C15" s="4"/>
      <c r="D15" s="4"/>
      <c r="E15" s="4"/>
      <c r="F15" s="57">
        <v>612000</v>
      </c>
      <c r="G15" s="68"/>
      <c r="H15" s="10" t="s">
        <v>56</v>
      </c>
      <c r="I15" s="106">
        <f>I16</f>
        <v>41520</v>
      </c>
      <c r="J15" s="32">
        <f t="shared" ref="J15:N15" si="4">J16</f>
        <v>0</v>
      </c>
      <c r="K15" s="162">
        <f t="shared" si="4"/>
        <v>41520</v>
      </c>
      <c r="L15" s="106">
        <f t="shared" si="4"/>
        <v>0</v>
      </c>
      <c r="M15" s="32">
        <f t="shared" si="4"/>
        <v>0</v>
      </c>
      <c r="N15" s="202">
        <f t="shared" si="4"/>
        <v>0</v>
      </c>
      <c r="O15" s="228">
        <f t="shared" si="0"/>
        <v>0</v>
      </c>
    </row>
    <row r="16" spans="2:15" ht="14.25" x14ac:dyDescent="0.2">
      <c r="B16" s="50"/>
      <c r="C16" s="8"/>
      <c r="D16" s="8"/>
      <c r="E16" s="8"/>
      <c r="F16" s="58">
        <v>612100</v>
      </c>
      <c r="G16" s="69"/>
      <c r="H16" s="145" t="s">
        <v>5</v>
      </c>
      <c r="I16" s="119">
        <f>38850+2*120+210+2220</f>
        <v>41520</v>
      </c>
      <c r="J16" s="34">
        <v>0</v>
      </c>
      <c r="K16" s="163">
        <f>SUM(I16:J16)</f>
        <v>41520</v>
      </c>
      <c r="L16" s="119"/>
      <c r="M16" s="34"/>
      <c r="N16" s="203">
        <f>SUM(L16:M16)</f>
        <v>0</v>
      </c>
      <c r="O16" s="224">
        <f t="shared" si="0"/>
        <v>0</v>
      </c>
    </row>
    <row r="17" spans="2:15" ht="15" x14ac:dyDescent="0.25">
      <c r="B17" s="50"/>
      <c r="C17" s="8"/>
      <c r="D17" s="8"/>
      <c r="E17" s="8"/>
      <c r="F17" s="58"/>
      <c r="G17" s="69"/>
      <c r="H17" s="9"/>
      <c r="I17" s="110"/>
      <c r="J17" s="52"/>
      <c r="K17" s="165"/>
      <c r="L17" s="110"/>
      <c r="M17" s="52"/>
      <c r="N17" s="205"/>
      <c r="O17" s="224" t="str">
        <f t="shared" si="0"/>
        <v/>
      </c>
    </row>
    <row r="18" spans="2:15" ht="15" x14ac:dyDescent="0.25">
      <c r="B18" s="51"/>
      <c r="C18" s="4"/>
      <c r="D18" s="4"/>
      <c r="E18" s="4"/>
      <c r="F18" s="57">
        <v>613000</v>
      </c>
      <c r="G18" s="68"/>
      <c r="H18" s="10" t="s">
        <v>58</v>
      </c>
      <c r="I18" s="109">
        <f>SUM(I19:I27)</f>
        <v>160000</v>
      </c>
      <c r="J18" s="55">
        <f t="shared" ref="J18:N18" si="5">SUM(J19:J27)</f>
        <v>0</v>
      </c>
      <c r="K18" s="165">
        <f t="shared" si="5"/>
        <v>160000</v>
      </c>
      <c r="L18" s="109">
        <f t="shared" si="5"/>
        <v>0</v>
      </c>
      <c r="M18" s="55">
        <f t="shared" si="5"/>
        <v>0</v>
      </c>
      <c r="N18" s="205">
        <f t="shared" si="5"/>
        <v>0</v>
      </c>
      <c r="O18" s="228">
        <f t="shared" si="0"/>
        <v>0</v>
      </c>
    </row>
    <row r="19" spans="2:15" ht="14.25" x14ac:dyDescent="0.2">
      <c r="B19" s="50"/>
      <c r="C19" s="8"/>
      <c r="D19" s="8"/>
      <c r="E19" s="8"/>
      <c r="F19" s="58">
        <v>613100</v>
      </c>
      <c r="G19" s="69"/>
      <c r="H19" s="9" t="s">
        <v>6</v>
      </c>
      <c r="I19" s="100">
        <v>9000</v>
      </c>
      <c r="J19" s="84">
        <v>0</v>
      </c>
      <c r="K19" s="163">
        <f t="shared" ref="K19:K27" si="6">SUM(I19:J19)</f>
        <v>9000</v>
      </c>
      <c r="L19" s="100"/>
      <c r="M19" s="84"/>
      <c r="N19" s="203">
        <f t="shared" ref="N19:N27" si="7">SUM(L19:M19)</f>
        <v>0</v>
      </c>
      <c r="O19" s="224">
        <f t="shared" si="0"/>
        <v>0</v>
      </c>
    </row>
    <row r="20" spans="2:15" ht="14.25" x14ac:dyDescent="0.2">
      <c r="B20" s="50"/>
      <c r="C20" s="8"/>
      <c r="D20" s="8"/>
      <c r="E20" s="8"/>
      <c r="F20" s="58">
        <v>613200</v>
      </c>
      <c r="G20" s="69"/>
      <c r="H20" s="9" t="s">
        <v>7</v>
      </c>
      <c r="I20" s="100">
        <v>25000</v>
      </c>
      <c r="J20" s="84">
        <v>0</v>
      </c>
      <c r="K20" s="163">
        <f t="shared" si="6"/>
        <v>25000</v>
      </c>
      <c r="L20" s="100"/>
      <c r="M20" s="84"/>
      <c r="N20" s="203">
        <f t="shared" si="7"/>
        <v>0</v>
      </c>
      <c r="O20" s="224">
        <f t="shared" si="0"/>
        <v>0</v>
      </c>
    </row>
    <row r="21" spans="2:15" ht="14.25" x14ac:dyDescent="0.2">
      <c r="B21" s="50"/>
      <c r="C21" s="8"/>
      <c r="D21" s="8"/>
      <c r="E21" s="8"/>
      <c r="F21" s="58">
        <v>613300</v>
      </c>
      <c r="G21" s="69"/>
      <c r="H21" s="9" t="s">
        <v>70</v>
      </c>
      <c r="I21" s="100">
        <v>18000</v>
      </c>
      <c r="J21" s="84">
        <v>0</v>
      </c>
      <c r="K21" s="163">
        <f t="shared" si="6"/>
        <v>18000</v>
      </c>
      <c r="L21" s="100"/>
      <c r="M21" s="84"/>
      <c r="N21" s="203">
        <f t="shared" si="7"/>
        <v>0</v>
      </c>
      <c r="O21" s="224">
        <f t="shared" si="0"/>
        <v>0</v>
      </c>
    </row>
    <row r="22" spans="2:15" ht="14.25" x14ac:dyDescent="0.2">
      <c r="B22" s="50"/>
      <c r="C22" s="8"/>
      <c r="D22" s="8"/>
      <c r="E22" s="8"/>
      <c r="F22" s="58">
        <v>613400</v>
      </c>
      <c r="G22" s="69"/>
      <c r="H22" s="9" t="s">
        <v>59</v>
      </c>
      <c r="I22" s="100">
        <v>8000</v>
      </c>
      <c r="J22" s="84">
        <v>0</v>
      </c>
      <c r="K22" s="163">
        <f t="shared" si="6"/>
        <v>8000</v>
      </c>
      <c r="L22" s="100"/>
      <c r="M22" s="84"/>
      <c r="N22" s="203">
        <f t="shared" si="7"/>
        <v>0</v>
      </c>
      <c r="O22" s="224">
        <f t="shared" si="0"/>
        <v>0</v>
      </c>
    </row>
    <row r="23" spans="2:15" ht="14.25" x14ac:dyDescent="0.2">
      <c r="B23" s="50"/>
      <c r="C23" s="8"/>
      <c r="D23" s="8"/>
      <c r="E23" s="8"/>
      <c r="F23" s="58">
        <v>613500</v>
      </c>
      <c r="G23" s="69"/>
      <c r="H23" s="9" t="s">
        <v>8</v>
      </c>
      <c r="I23" s="100">
        <v>5000</v>
      </c>
      <c r="J23" s="84">
        <v>0</v>
      </c>
      <c r="K23" s="163">
        <f t="shared" si="6"/>
        <v>5000</v>
      </c>
      <c r="L23" s="100"/>
      <c r="M23" s="84"/>
      <c r="N23" s="203">
        <f t="shared" si="7"/>
        <v>0</v>
      </c>
      <c r="O23" s="224">
        <f t="shared" si="0"/>
        <v>0</v>
      </c>
    </row>
    <row r="24" spans="2:15" ht="14.25" x14ac:dyDescent="0.2">
      <c r="B24" s="50"/>
      <c r="C24" s="8"/>
      <c r="D24" s="8"/>
      <c r="E24" s="8"/>
      <c r="F24" s="58">
        <v>613600</v>
      </c>
      <c r="G24" s="69"/>
      <c r="H24" s="9" t="s">
        <v>71</v>
      </c>
      <c r="I24" s="100">
        <v>0</v>
      </c>
      <c r="J24" s="84">
        <v>0</v>
      </c>
      <c r="K24" s="163">
        <f t="shared" si="6"/>
        <v>0</v>
      </c>
      <c r="L24" s="100"/>
      <c r="M24" s="84"/>
      <c r="N24" s="203">
        <f t="shared" si="7"/>
        <v>0</v>
      </c>
      <c r="O24" s="224" t="str">
        <f t="shared" si="0"/>
        <v/>
      </c>
    </row>
    <row r="25" spans="2:15" ht="14.25" x14ac:dyDescent="0.2">
      <c r="B25" s="50"/>
      <c r="C25" s="8"/>
      <c r="D25" s="8"/>
      <c r="E25" s="8"/>
      <c r="F25" s="58">
        <v>613700</v>
      </c>
      <c r="G25" s="69"/>
      <c r="H25" s="9" t="s">
        <v>9</v>
      </c>
      <c r="I25" s="100">
        <v>10000</v>
      </c>
      <c r="J25" s="84">
        <v>0</v>
      </c>
      <c r="K25" s="163">
        <f t="shared" si="6"/>
        <v>10000</v>
      </c>
      <c r="L25" s="100"/>
      <c r="M25" s="84"/>
      <c r="N25" s="203">
        <f t="shared" si="7"/>
        <v>0</v>
      </c>
      <c r="O25" s="224">
        <f t="shared" si="0"/>
        <v>0</v>
      </c>
    </row>
    <row r="26" spans="2:15" ht="14.25" x14ac:dyDescent="0.2">
      <c r="B26" s="50"/>
      <c r="C26" s="8"/>
      <c r="D26" s="8"/>
      <c r="E26" s="8"/>
      <c r="F26" s="58">
        <v>613800</v>
      </c>
      <c r="G26" s="69"/>
      <c r="H26" s="9" t="s">
        <v>60</v>
      </c>
      <c r="I26" s="100">
        <v>5000</v>
      </c>
      <c r="J26" s="84">
        <v>0</v>
      </c>
      <c r="K26" s="163">
        <f t="shared" si="6"/>
        <v>5000</v>
      </c>
      <c r="L26" s="100"/>
      <c r="M26" s="84"/>
      <c r="N26" s="203">
        <f t="shared" si="7"/>
        <v>0</v>
      </c>
      <c r="O26" s="224">
        <f t="shared" si="0"/>
        <v>0</v>
      </c>
    </row>
    <row r="27" spans="2:15" ht="14.25" x14ac:dyDescent="0.2">
      <c r="B27" s="50"/>
      <c r="C27" s="8"/>
      <c r="D27" s="8"/>
      <c r="E27" s="8"/>
      <c r="F27" s="58">
        <v>613900</v>
      </c>
      <c r="G27" s="69"/>
      <c r="H27" s="9" t="s">
        <v>61</v>
      </c>
      <c r="I27" s="100">
        <v>80000</v>
      </c>
      <c r="J27" s="84">
        <v>0</v>
      </c>
      <c r="K27" s="163">
        <f t="shared" si="6"/>
        <v>80000</v>
      </c>
      <c r="L27" s="100"/>
      <c r="M27" s="84"/>
      <c r="N27" s="203">
        <f t="shared" si="7"/>
        <v>0</v>
      </c>
      <c r="O27" s="224">
        <f t="shared" si="0"/>
        <v>0</v>
      </c>
    </row>
    <row r="28" spans="2:15" ht="14.25" x14ac:dyDescent="0.2">
      <c r="B28" s="51"/>
      <c r="C28" s="4"/>
      <c r="D28" s="4"/>
      <c r="E28" s="4"/>
      <c r="F28" s="57"/>
      <c r="G28" s="68"/>
      <c r="H28" s="10"/>
      <c r="I28" s="116"/>
      <c r="J28" s="54"/>
      <c r="K28" s="164"/>
      <c r="L28" s="116"/>
      <c r="M28" s="54"/>
      <c r="N28" s="204"/>
      <c r="O28" s="224" t="str">
        <f t="shared" si="0"/>
        <v/>
      </c>
    </row>
    <row r="29" spans="2:15" ht="15" x14ac:dyDescent="0.25">
      <c r="B29" s="51"/>
      <c r="C29" s="4"/>
      <c r="D29" s="4"/>
      <c r="E29" s="4"/>
      <c r="F29" s="57">
        <v>821000</v>
      </c>
      <c r="G29" s="68"/>
      <c r="H29" s="10" t="s">
        <v>12</v>
      </c>
      <c r="I29" s="110">
        <f t="shared" ref="I29" si="8">SUM(I30:I31)</f>
        <v>50000</v>
      </c>
      <c r="J29" s="52">
        <f t="shared" ref="J29:N29" si="9">SUM(J30:J31)</f>
        <v>0</v>
      </c>
      <c r="K29" s="165">
        <f t="shared" si="9"/>
        <v>50000</v>
      </c>
      <c r="L29" s="110">
        <f t="shared" si="9"/>
        <v>0</v>
      </c>
      <c r="M29" s="52">
        <f t="shared" si="9"/>
        <v>0</v>
      </c>
      <c r="N29" s="205">
        <f t="shared" si="9"/>
        <v>0</v>
      </c>
      <c r="O29" s="228">
        <f t="shared" si="0"/>
        <v>0</v>
      </c>
    </row>
    <row r="30" spans="2:15" ht="14.25" x14ac:dyDescent="0.2">
      <c r="B30" s="50"/>
      <c r="C30" s="8"/>
      <c r="D30" s="8"/>
      <c r="E30" s="8"/>
      <c r="F30" s="58">
        <v>821200</v>
      </c>
      <c r="G30" s="69"/>
      <c r="H30" s="9" t="s">
        <v>13</v>
      </c>
      <c r="I30" s="116">
        <v>30000</v>
      </c>
      <c r="J30" s="54">
        <v>0</v>
      </c>
      <c r="K30" s="163">
        <f t="shared" ref="K30:K31" si="10">SUM(I30:J30)</f>
        <v>30000</v>
      </c>
      <c r="L30" s="116"/>
      <c r="M30" s="54"/>
      <c r="N30" s="203">
        <f t="shared" ref="N30:N31" si="11">SUM(L30:M30)</f>
        <v>0</v>
      </c>
      <c r="O30" s="224">
        <f t="shared" si="0"/>
        <v>0</v>
      </c>
    </row>
    <row r="31" spans="2:15" ht="14.25" x14ac:dyDescent="0.2">
      <c r="B31" s="50"/>
      <c r="C31" s="8"/>
      <c r="D31" s="8"/>
      <c r="E31" s="8"/>
      <c r="F31" s="58">
        <v>821300</v>
      </c>
      <c r="G31" s="69"/>
      <c r="H31" s="9" t="s">
        <v>14</v>
      </c>
      <c r="I31" s="116">
        <v>20000</v>
      </c>
      <c r="J31" s="54">
        <v>0</v>
      </c>
      <c r="K31" s="163">
        <f t="shared" si="10"/>
        <v>20000</v>
      </c>
      <c r="L31" s="116"/>
      <c r="M31" s="54"/>
      <c r="N31" s="203">
        <f t="shared" si="11"/>
        <v>0</v>
      </c>
      <c r="O31" s="224">
        <f t="shared" si="0"/>
        <v>0</v>
      </c>
    </row>
    <row r="32" spans="2:15" ht="14.25" x14ac:dyDescent="0.2">
      <c r="B32" s="50"/>
      <c r="C32" s="8"/>
      <c r="D32" s="8"/>
      <c r="E32" s="8"/>
      <c r="F32" s="58"/>
      <c r="G32" s="69"/>
      <c r="H32" s="9"/>
      <c r="I32" s="116"/>
      <c r="J32" s="54"/>
      <c r="K32" s="164"/>
      <c r="L32" s="116"/>
      <c r="M32" s="54"/>
      <c r="N32" s="204"/>
      <c r="O32" s="224" t="str">
        <f t="shared" si="0"/>
        <v/>
      </c>
    </row>
    <row r="33" spans="2:15" ht="15" x14ac:dyDescent="0.25">
      <c r="B33" s="51"/>
      <c r="C33" s="4"/>
      <c r="D33" s="4"/>
      <c r="E33" s="4"/>
      <c r="F33" s="57"/>
      <c r="G33" s="68"/>
      <c r="H33" s="10" t="s">
        <v>15</v>
      </c>
      <c r="I33" s="110">
        <v>16</v>
      </c>
      <c r="J33" s="52"/>
      <c r="K33" s="165">
        <v>16</v>
      </c>
      <c r="L33" s="110"/>
      <c r="M33" s="52"/>
      <c r="N33" s="205"/>
      <c r="O33" s="224"/>
    </row>
    <row r="34" spans="2:15" ht="15" x14ac:dyDescent="0.25">
      <c r="B34" s="51"/>
      <c r="C34" s="4"/>
      <c r="D34" s="4"/>
      <c r="E34" s="4"/>
      <c r="F34" s="57"/>
      <c r="G34" s="68"/>
      <c r="H34" s="4" t="s">
        <v>24</v>
      </c>
      <c r="I34" s="110">
        <f t="shared" ref="I34:N34" si="12">I11+I15+I18+I29</f>
        <v>1184710</v>
      </c>
      <c r="J34" s="52">
        <f t="shared" si="12"/>
        <v>0</v>
      </c>
      <c r="K34" s="165">
        <f t="shared" si="12"/>
        <v>1184710</v>
      </c>
      <c r="L34" s="110">
        <f t="shared" si="12"/>
        <v>0</v>
      </c>
      <c r="M34" s="52">
        <f t="shared" si="12"/>
        <v>0</v>
      </c>
      <c r="N34" s="205">
        <f t="shared" si="12"/>
        <v>0</v>
      </c>
      <c r="O34" s="228">
        <f t="shared" si="0"/>
        <v>0</v>
      </c>
    </row>
    <row r="35" spans="2:15" ht="15" x14ac:dyDescent="0.25">
      <c r="B35" s="51"/>
      <c r="C35" s="4"/>
      <c r="D35" s="4"/>
      <c r="E35" s="4"/>
      <c r="F35" s="57"/>
      <c r="G35" s="68"/>
      <c r="H35" s="4" t="s">
        <v>16</v>
      </c>
      <c r="I35" s="110">
        <f t="shared" ref="I35:N36" si="13">I34</f>
        <v>1184710</v>
      </c>
      <c r="J35" s="52">
        <f t="shared" si="13"/>
        <v>0</v>
      </c>
      <c r="K35" s="165">
        <f t="shared" si="13"/>
        <v>1184710</v>
      </c>
      <c r="L35" s="110">
        <f t="shared" si="13"/>
        <v>0</v>
      </c>
      <c r="M35" s="52">
        <f t="shared" si="13"/>
        <v>0</v>
      </c>
      <c r="N35" s="205">
        <f t="shared" si="13"/>
        <v>0</v>
      </c>
      <c r="O35" s="228">
        <f t="shared" ref="O35:O38" si="14">IF(K35=0,"",N35/K35*100)</f>
        <v>0</v>
      </c>
    </row>
    <row r="36" spans="2:15" ht="15" x14ac:dyDescent="0.25">
      <c r="B36" s="51"/>
      <c r="C36" s="4"/>
      <c r="D36" s="4"/>
      <c r="E36" s="4"/>
      <c r="F36" s="57"/>
      <c r="G36" s="68"/>
      <c r="H36" s="4" t="s">
        <v>17</v>
      </c>
      <c r="I36" s="110">
        <f t="shared" si="13"/>
        <v>1184710</v>
      </c>
      <c r="J36" s="52">
        <f t="shared" si="13"/>
        <v>0</v>
      </c>
      <c r="K36" s="165">
        <f t="shared" si="13"/>
        <v>1184710</v>
      </c>
      <c r="L36" s="110">
        <f t="shared" si="13"/>
        <v>0</v>
      </c>
      <c r="M36" s="52">
        <f t="shared" si="13"/>
        <v>0</v>
      </c>
      <c r="N36" s="205">
        <f t="shared" si="13"/>
        <v>0</v>
      </c>
      <c r="O36" s="228">
        <f t="shared" si="14"/>
        <v>0</v>
      </c>
    </row>
    <row r="37" spans="2:15" ht="15" thickBot="1" x14ac:dyDescent="0.25">
      <c r="B37" s="6"/>
      <c r="C37" s="7"/>
      <c r="D37" s="7"/>
      <c r="E37" s="7"/>
      <c r="F37" s="59"/>
      <c r="G37" s="70"/>
      <c r="H37" s="7"/>
      <c r="I37" s="112"/>
      <c r="J37" s="13"/>
      <c r="K37" s="167"/>
      <c r="L37" s="184"/>
      <c r="M37" s="13"/>
      <c r="N37" s="207"/>
      <c r="O37" s="227"/>
    </row>
    <row r="38" spans="2:15" ht="14.25" x14ac:dyDescent="0.2">
      <c r="F38" s="60"/>
      <c r="G38" s="71"/>
      <c r="I38" s="20"/>
      <c r="J38" s="20"/>
      <c r="K38" s="92"/>
      <c r="L38" s="20"/>
      <c r="M38" s="20"/>
      <c r="N38" s="92"/>
      <c r="O38" s="233" t="str">
        <f t="shared" si="14"/>
        <v/>
      </c>
    </row>
  </sheetData>
  <mergeCells count="14">
    <mergeCell ref="H7:H8"/>
    <mergeCell ref="I7:K7"/>
    <mergeCell ref="L7:N7"/>
    <mergeCell ref="O7:O8"/>
    <mergeCell ref="B1:N1"/>
    <mergeCell ref="F3:K3"/>
    <mergeCell ref="D5:E5"/>
    <mergeCell ref="H6:I6"/>
    <mergeCell ref="B7:B8"/>
    <mergeCell ref="C7:C8"/>
    <mergeCell ref="D7:D8"/>
    <mergeCell ref="E7:E8"/>
    <mergeCell ref="F7:F8"/>
    <mergeCell ref="G7:G8"/>
  </mergeCells>
  <pageMargins left="0.39370078740157483" right="0.39370078740157483" top="0.39370078740157483" bottom="0.39370078740157483" header="0.31496062992125984" footer="0.31496062992125984"/>
  <pageSetup paperSize="9" scale="7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List18"/>
  <dimension ref="B1:O38"/>
  <sheetViews>
    <sheetView topLeftCell="D1" zoomScaleNormal="100" workbookViewId="0">
      <selection activeCell="L9" sqref="L9:O9"/>
    </sheetView>
  </sheetViews>
  <sheetFormatPr defaultColWidth="9.140625" defaultRowHeight="12.75" x14ac:dyDescent="0.2"/>
  <cols>
    <col min="1" max="1" width="6.140625" style="17" customWidth="1"/>
    <col min="2" max="2" width="4.7109375" style="17" customWidth="1"/>
    <col min="3" max="3" width="5.140625" style="17" customWidth="1"/>
    <col min="4" max="5" width="5" style="17" customWidth="1"/>
    <col min="6" max="7" width="8.7109375" style="53" customWidth="1"/>
    <col min="8" max="8" width="50.7109375" style="17" customWidth="1"/>
    <col min="9" max="9" width="11.7109375" style="17" customWidth="1"/>
    <col min="10" max="10" width="11.85546875" style="17" customWidth="1"/>
    <col min="11" max="11" width="13.5703125" style="17" customWidth="1"/>
    <col min="12" max="13" width="14.7109375" style="17" customWidth="1"/>
    <col min="14" max="14" width="15.7109375" style="17" customWidth="1"/>
    <col min="15" max="15" width="9.140625" style="17"/>
    <col min="16" max="16" width="9.5703125" style="17" bestFit="1" customWidth="1"/>
    <col min="17" max="16384" width="9.140625" style="17"/>
  </cols>
  <sheetData>
    <row r="1" spans="2:15" ht="15.75" x14ac:dyDescent="0.25">
      <c r="B1" s="428" t="s">
        <v>374</v>
      </c>
      <c r="C1" s="429"/>
      <c r="D1" s="429"/>
      <c r="E1" s="429"/>
      <c r="F1" s="429"/>
      <c r="G1" s="429"/>
      <c r="H1" s="429"/>
      <c r="I1" s="430"/>
      <c r="J1" s="430"/>
      <c r="K1" s="430"/>
      <c r="L1" s="430"/>
      <c r="M1" s="430"/>
      <c r="N1" s="430"/>
    </row>
    <row r="2" spans="2:15" x14ac:dyDescent="0.2">
      <c r="M2" s="126" t="s">
        <v>232</v>
      </c>
      <c r="N2" s="196"/>
    </row>
    <row r="3" spans="2:15" ht="15.75" x14ac:dyDescent="0.25">
      <c r="B3" s="180" t="s">
        <v>173</v>
      </c>
      <c r="F3" s="431" t="s">
        <v>77</v>
      </c>
      <c r="G3" s="432"/>
      <c r="H3" s="432"/>
      <c r="I3" s="432"/>
      <c r="J3" s="432"/>
      <c r="K3" s="432"/>
    </row>
    <row r="4" spans="2:15" x14ac:dyDescent="0.2">
      <c r="B4" s="180"/>
      <c r="G4"/>
      <c r="H4"/>
      <c r="I4"/>
      <c r="J4"/>
      <c r="K4"/>
    </row>
    <row r="5" spans="2:15" ht="15.75" x14ac:dyDescent="0.25">
      <c r="B5" s="180" t="s">
        <v>172</v>
      </c>
      <c r="D5" s="433">
        <v>26</v>
      </c>
      <c r="E5" s="434"/>
      <c r="F5" s="181"/>
      <c r="G5" s="181"/>
      <c r="I5" s="180"/>
      <c r="L5" s="411"/>
    </row>
    <row r="6" spans="2:15" s="22" customFormat="1" ht="16.5" thickBot="1" x14ac:dyDescent="0.3">
      <c r="F6" s="48"/>
      <c r="G6" s="48"/>
      <c r="H6" s="435"/>
      <c r="I6" s="435"/>
      <c r="J6" s="26"/>
      <c r="K6" s="26"/>
      <c r="L6" s="26"/>
      <c r="M6" s="26"/>
      <c r="N6" s="26"/>
    </row>
    <row r="7" spans="2:15" s="22" customFormat="1" ht="29.25" customHeight="1" x14ac:dyDescent="0.2">
      <c r="B7" s="436" t="s">
        <v>0</v>
      </c>
      <c r="C7" s="438" t="s">
        <v>1</v>
      </c>
      <c r="D7" s="438" t="s">
        <v>21</v>
      </c>
      <c r="E7" s="438" t="s">
        <v>135</v>
      </c>
      <c r="F7" s="421" t="s">
        <v>85</v>
      </c>
      <c r="G7" s="440" t="s">
        <v>88</v>
      </c>
      <c r="H7" s="421" t="s">
        <v>2</v>
      </c>
      <c r="I7" s="423" t="s">
        <v>375</v>
      </c>
      <c r="J7" s="424"/>
      <c r="K7" s="425"/>
      <c r="L7" s="423" t="s">
        <v>373</v>
      </c>
      <c r="M7" s="424"/>
      <c r="N7" s="424"/>
      <c r="O7" s="426" t="s">
        <v>258</v>
      </c>
    </row>
    <row r="8" spans="2:15" s="22" customFormat="1" ht="25.5" x14ac:dyDescent="0.2">
      <c r="B8" s="437"/>
      <c r="C8" s="439"/>
      <c r="D8" s="439"/>
      <c r="E8" s="439"/>
      <c r="F8" s="422"/>
      <c r="G8" s="439"/>
      <c r="H8" s="422"/>
      <c r="I8" s="105" t="s">
        <v>117</v>
      </c>
      <c r="J8" s="85" t="s">
        <v>118</v>
      </c>
      <c r="K8" s="159" t="s">
        <v>81</v>
      </c>
      <c r="L8" s="105" t="s">
        <v>117</v>
      </c>
      <c r="M8" s="85" t="s">
        <v>118</v>
      </c>
      <c r="N8" s="200" t="s">
        <v>81</v>
      </c>
      <c r="O8" s="427"/>
    </row>
    <row r="9" spans="2:15" s="48" customFormat="1" x14ac:dyDescent="0.2">
      <c r="B9" s="97">
        <v>1</v>
      </c>
      <c r="C9" s="68">
        <v>2</v>
      </c>
      <c r="D9" s="68">
        <v>3</v>
      </c>
      <c r="E9" s="68">
        <v>4</v>
      </c>
      <c r="F9" s="68">
        <v>5</v>
      </c>
      <c r="G9" s="68">
        <v>6</v>
      </c>
      <c r="H9" s="68">
        <v>7</v>
      </c>
      <c r="I9" s="97">
        <v>8</v>
      </c>
      <c r="J9" s="68">
        <v>9</v>
      </c>
      <c r="K9" s="160" t="s">
        <v>171</v>
      </c>
      <c r="L9" s="97">
        <v>11</v>
      </c>
      <c r="M9" s="68">
        <v>12</v>
      </c>
      <c r="N9" s="68" t="s">
        <v>394</v>
      </c>
      <c r="O9" s="232" t="s">
        <v>395</v>
      </c>
    </row>
    <row r="10" spans="2:15" ht="15" x14ac:dyDescent="0.25">
      <c r="B10" s="2" t="s">
        <v>54</v>
      </c>
      <c r="C10" s="3" t="s">
        <v>3</v>
      </c>
      <c r="D10" s="3" t="s">
        <v>4</v>
      </c>
      <c r="E10" s="136" t="s">
        <v>140</v>
      </c>
      <c r="F10" s="49"/>
      <c r="G10" s="49"/>
      <c r="H10" s="182" t="s">
        <v>77</v>
      </c>
      <c r="I10" s="1"/>
      <c r="J10" s="49"/>
      <c r="K10" s="161"/>
      <c r="L10" s="1"/>
      <c r="M10" s="49"/>
      <c r="N10" s="201"/>
      <c r="O10" s="224" t="str">
        <f t="shared" ref="O10:O38" si="0">IF(K10=0,"",N10/K10*100)</f>
        <v/>
      </c>
    </row>
    <row r="11" spans="2:15" ht="15" x14ac:dyDescent="0.25">
      <c r="B11" s="51"/>
      <c r="C11" s="4"/>
      <c r="D11" s="4"/>
      <c r="E11" s="4"/>
      <c r="F11" s="57">
        <v>611000</v>
      </c>
      <c r="G11" s="68"/>
      <c r="H11" s="10" t="s">
        <v>57</v>
      </c>
      <c r="I11" s="106">
        <f>SUM(I12:I13)</f>
        <v>120940</v>
      </c>
      <c r="J11" s="32">
        <f t="shared" ref="J11:N11" si="1">SUM(J12:J13)</f>
        <v>0</v>
      </c>
      <c r="K11" s="162">
        <f t="shared" si="1"/>
        <v>120940</v>
      </c>
      <c r="L11" s="106">
        <f t="shared" si="1"/>
        <v>0</v>
      </c>
      <c r="M11" s="32">
        <f t="shared" si="1"/>
        <v>0</v>
      </c>
      <c r="N11" s="202">
        <f t="shared" si="1"/>
        <v>0</v>
      </c>
      <c r="O11" s="228">
        <f t="shared" si="0"/>
        <v>0</v>
      </c>
    </row>
    <row r="12" spans="2:15" ht="14.25" x14ac:dyDescent="0.2">
      <c r="B12" s="50"/>
      <c r="C12" s="8"/>
      <c r="D12" s="8"/>
      <c r="E12" s="8"/>
      <c r="F12" s="58">
        <v>611100</v>
      </c>
      <c r="G12" s="69"/>
      <c r="H12" s="9" t="s">
        <v>68</v>
      </c>
      <c r="I12" s="107">
        <f>98230+12*140+5600</f>
        <v>105510</v>
      </c>
      <c r="J12" s="31">
        <v>0</v>
      </c>
      <c r="K12" s="163">
        <f>SUM(I12:J12)</f>
        <v>105510</v>
      </c>
      <c r="L12" s="107"/>
      <c r="M12" s="31"/>
      <c r="N12" s="203">
        <f>SUM(L12:M12)</f>
        <v>0</v>
      </c>
      <c r="O12" s="224">
        <f t="shared" si="0"/>
        <v>0</v>
      </c>
    </row>
    <row r="13" spans="2:15" ht="14.25" x14ac:dyDescent="0.2">
      <c r="B13" s="50"/>
      <c r="C13" s="8"/>
      <c r="D13" s="8"/>
      <c r="E13" s="8"/>
      <c r="F13" s="58">
        <v>611200</v>
      </c>
      <c r="G13" s="69"/>
      <c r="H13" s="9" t="s">
        <v>69</v>
      </c>
      <c r="I13" s="107">
        <f>15430</f>
        <v>15430</v>
      </c>
      <c r="J13" s="31">
        <v>0</v>
      </c>
      <c r="K13" s="163">
        <f t="shared" ref="K13" si="2">SUM(I13:J13)</f>
        <v>15430</v>
      </c>
      <c r="L13" s="107"/>
      <c r="M13" s="31"/>
      <c r="N13" s="203">
        <f t="shared" ref="N13" si="3">SUM(L13:M13)</f>
        <v>0</v>
      </c>
      <c r="O13" s="224">
        <f t="shared" si="0"/>
        <v>0</v>
      </c>
    </row>
    <row r="14" spans="2:15" ht="15" x14ac:dyDescent="0.25">
      <c r="B14" s="50"/>
      <c r="C14" s="8"/>
      <c r="D14" s="8"/>
      <c r="E14" s="8"/>
      <c r="F14" s="58"/>
      <c r="G14" s="69"/>
      <c r="H14" s="9"/>
      <c r="I14" s="106"/>
      <c r="J14" s="32"/>
      <c r="K14" s="162"/>
      <c r="L14" s="106"/>
      <c r="M14" s="32"/>
      <c r="N14" s="202"/>
      <c r="O14" s="224" t="str">
        <f t="shared" si="0"/>
        <v/>
      </c>
    </row>
    <row r="15" spans="2:15" ht="15" x14ac:dyDescent="0.25">
      <c r="B15" s="51"/>
      <c r="C15" s="4"/>
      <c r="D15" s="4"/>
      <c r="E15" s="4"/>
      <c r="F15" s="57">
        <v>612000</v>
      </c>
      <c r="G15" s="68"/>
      <c r="H15" s="10" t="s">
        <v>56</v>
      </c>
      <c r="I15" s="106">
        <f t="shared" ref="I15" si="4">I16</f>
        <v>5290</v>
      </c>
      <c r="J15" s="32">
        <f t="shared" ref="J15:N15" si="5">J16</f>
        <v>0</v>
      </c>
      <c r="K15" s="162">
        <f t="shared" si="5"/>
        <v>5290</v>
      </c>
      <c r="L15" s="106">
        <f t="shared" si="5"/>
        <v>0</v>
      </c>
      <c r="M15" s="32">
        <f t="shared" si="5"/>
        <v>0</v>
      </c>
      <c r="N15" s="202">
        <f t="shared" si="5"/>
        <v>0</v>
      </c>
      <c r="O15" s="228">
        <f t="shared" si="0"/>
        <v>0</v>
      </c>
    </row>
    <row r="16" spans="2:15" ht="14.25" x14ac:dyDescent="0.2">
      <c r="B16" s="50"/>
      <c r="C16" s="8"/>
      <c r="D16" s="8"/>
      <c r="E16" s="8"/>
      <c r="F16" s="58">
        <v>612100</v>
      </c>
      <c r="G16" s="69"/>
      <c r="H16" s="145" t="s">
        <v>5</v>
      </c>
      <c r="I16" s="107">
        <f>4890+12*10+280</f>
        <v>5290</v>
      </c>
      <c r="J16" s="31">
        <v>0</v>
      </c>
      <c r="K16" s="163">
        <f>SUM(I16:J16)</f>
        <v>5290</v>
      </c>
      <c r="L16" s="107"/>
      <c r="M16" s="31"/>
      <c r="N16" s="203">
        <f>SUM(L16:M16)</f>
        <v>0</v>
      </c>
      <c r="O16" s="224">
        <f t="shared" si="0"/>
        <v>0</v>
      </c>
    </row>
    <row r="17" spans="2:15" ht="15" x14ac:dyDescent="0.25">
      <c r="B17" s="50"/>
      <c r="C17" s="8"/>
      <c r="D17" s="8"/>
      <c r="E17" s="8"/>
      <c r="F17" s="58"/>
      <c r="G17" s="69"/>
      <c r="H17" s="9"/>
      <c r="I17" s="109"/>
      <c r="J17" s="55"/>
      <c r="K17" s="165"/>
      <c r="L17" s="109"/>
      <c r="M17" s="55"/>
      <c r="N17" s="205"/>
      <c r="O17" s="224" t="str">
        <f t="shared" si="0"/>
        <v/>
      </c>
    </row>
    <row r="18" spans="2:15" ht="15" x14ac:dyDescent="0.25">
      <c r="B18" s="51"/>
      <c r="C18" s="4"/>
      <c r="D18" s="4"/>
      <c r="E18" s="4"/>
      <c r="F18" s="57">
        <v>613000</v>
      </c>
      <c r="G18" s="68"/>
      <c r="H18" s="10" t="s">
        <v>58</v>
      </c>
      <c r="I18" s="109">
        <f>SUM(I19:I27)</f>
        <v>13300</v>
      </c>
      <c r="J18" s="55">
        <f t="shared" ref="J18:N18" si="6">SUM(J19:J27)</f>
        <v>0</v>
      </c>
      <c r="K18" s="165">
        <f t="shared" si="6"/>
        <v>13300</v>
      </c>
      <c r="L18" s="109">
        <f t="shared" si="6"/>
        <v>0</v>
      </c>
      <c r="M18" s="55">
        <f t="shared" si="6"/>
        <v>0</v>
      </c>
      <c r="N18" s="205">
        <f t="shared" si="6"/>
        <v>0</v>
      </c>
      <c r="O18" s="228">
        <f t="shared" si="0"/>
        <v>0</v>
      </c>
    </row>
    <row r="19" spans="2:15" ht="14.25" x14ac:dyDescent="0.2">
      <c r="B19" s="50"/>
      <c r="C19" s="8"/>
      <c r="D19" s="8"/>
      <c r="E19" s="8"/>
      <c r="F19" s="58">
        <v>613100</v>
      </c>
      <c r="G19" s="69"/>
      <c r="H19" s="9" t="s">
        <v>6</v>
      </c>
      <c r="I19" s="99">
        <v>2000</v>
      </c>
      <c r="J19" s="82">
        <v>0</v>
      </c>
      <c r="K19" s="163">
        <f t="shared" ref="K19:K27" si="7">SUM(I19:J19)</f>
        <v>2000</v>
      </c>
      <c r="L19" s="99"/>
      <c r="M19" s="82"/>
      <c r="N19" s="203">
        <f t="shared" ref="N19:N27" si="8">SUM(L19:M19)</f>
        <v>0</v>
      </c>
      <c r="O19" s="224">
        <f t="shared" si="0"/>
        <v>0</v>
      </c>
    </row>
    <row r="20" spans="2:15" ht="14.25" x14ac:dyDescent="0.2">
      <c r="B20" s="50"/>
      <c r="C20" s="8"/>
      <c r="D20" s="8"/>
      <c r="E20" s="8"/>
      <c r="F20" s="58">
        <v>613200</v>
      </c>
      <c r="G20" s="69"/>
      <c r="H20" s="9" t="s">
        <v>7</v>
      </c>
      <c r="I20" s="99">
        <v>0</v>
      </c>
      <c r="J20" s="82">
        <v>0</v>
      </c>
      <c r="K20" s="163">
        <f t="shared" si="7"/>
        <v>0</v>
      </c>
      <c r="L20" s="99"/>
      <c r="M20" s="82"/>
      <c r="N20" s="203">
        <f t="shared" si="8"/>
        <v>0</v>
      </c>
      <c r="O20" s="224" t="str">
        <f t="shared" si="0"/>
        <v/>
      </c>
    </row>
    <row r="21" spans="2:15" ht="14.25" x14ac:dyDescent="0.2">
      <c r="B21" s="50"/>
      <c r="C21" s="8"/>
      <c r="D21" s="8"/>
      <c r="E21" s="8"/>
      <c r="F21" s="58">
        <v>613300</v>
      </c>
      <c r="G21" s="69"/>
      <c r="H21" s="9" t="s">
        <v>70</v>
      </c>
      <c r="I21" s="99">
        <v>4800</v>
      </c>
      <c r="J21" s="82">
        <v>0</v>
      </c>
      <c r="K21" s="163">
        <f t="shared" si="7"/>
        <v>4800</v>
      </c>
      <c r="L21" s="99"/>
      <c r="M21" s="82"/>
      <c r="N21" s="203">
        <f t="shared" si="8"/>
        <v>0</v>
      </c>
      <c r="O21" s="224">
        <f t="shared" si="0"/>
        <v>0</v>
      </c>
    </row>
    <row r="22" spans="2:15" ht="14.25" x14ac:dyDescent="0.2">
      <c r="B22" s="50"/>
      <c r="C22" s="8"/>
      <c r="D22" s="8"/>
      <c r="E22" s="8"/>
      <c r="F22" s="58">
        <v>613400</v>
      </c>
      <c r="G22" s="69"/>
      <c r="H22" s="9" t="s">
        <v>59</v>
      </c>
      <c r="I22" s="99">
        <v>1500</v>
      </c>
      <c r="J22" s="82">
        <v>0</v>
      </c>
      <c r="K22" s="163">
        <f t="shared" si="7"/>
        <v>1500</v>
      </c>
      <c r="L22" s="99"/>
      <c r="M22" s="82"/>
      <c r="N22" s="203">
        <f t="shared" si="8"/>
        <v>0</v>
      </c>
      <c r="O22" s="224">
        <f t="shared" si="0"/>
        <v>0</v>
      </c>
    </row>
    <row r="23" spans="2:15" ht="14.25" x14ac:dyDescent="0.2">
      <c r="B23" s="50"/>
      <c r="C23" s="8"/>
      <c r="D23" s="8"/>
      <c r="E23" s="8"/>
      <c r="F23" s="58">
        <v>613500</v>
      </c>
      <c r="G23" s="69"/>
      <c r="H23" s="9" t="s">
        <v>8</v>
      </c>
      <c r="I23" s="99">
        <v>0</v>
      </c>
      <c r="J23" s="82">
        <v>0</v>
      </c>
      <c r="K23" s="163">
        <f t="shared" si="7"/>
        <v>0</v>
      </c>
      <c r="L23" s="99"/>
      <c r="M23" s="82"/>
      <c r="N23" s="203">
        <f t="shared" si="8"/>
        <v>0</v>
      </c>
      <c r="O23" s="224" t="str">
        <f t="shared" si="0"/>
        <v/>
      </c>
    </row>
    <row r="24" spans="2:15" ht="14.25" x14ac:dyDescent="0.2">
      <c r="B24" s="50"/>
      <c r="C24" s="8"/>
      <c r="D24" s="8"/>
      <c r="E24" s="8"/>
      <c r="F24" s="58">
        <v>613600</v>
      </c>
      <c r="G24" s="69"/>
      <c r="H24" s="9" t="s">
        <v>71</v>
      </c>
      <c r="I24" s="99">
        <v>0</v>
      </c>
      <c r="J24" s="82">
        <v>0</v>
      </c>
      <c r="K24" s="163">
        <f t="shared" si="7"/>
        <v>0</v>
      </c>
      <c r="L24" s="99"/>
      <c r="M24" s="82"/>
      <c r="N24" s="203">
        <f t="shared" si="8"/>
        <v>0</v>
      </c>
      <c r="O24" s="224" t="str">
        <f t="shared" si="0"/>
        <v/>
      </c>
    </row>
    <row r="25" spans="2:15" ht="14.25" x14ac:dyDescent="0.2">
      <c r="B25" s="50"/>
      <c r="C25" s="8"/>
      <c r="D25" s="8"/>
      <c r="E25" s="8"/>
      <c r="F25" s="58">
        <v>613700</v>
      </c>
      <c r="G25" s="69"/>
      <c r="H25" s="9" t="s">
        <v>9</v>
      </c>
      <c r="I25" s="99">
        <v>2000</v>
      </c>
      <c r="J25" s="82">
        <v>0</v>
      </c>
      <c r="K25" s="163">
        <f t="shared" si="7"/>
        <v>2000</v>
      </c>
      <c r="L25" s="99"/>
      <c r="M25" s="82"/>
      <c r="N25" s="203">
        <f t="shared" si="8"/>
        <v>0</v>
      </c>
      <c r="O25" s="224">
        <f t="shared" si="0"/>
        <v>0</v>
      </c>
    </row>
    <row r="26" spans="2:15" ht="14.25" x14ac:dyDescent="0.2">
      <c r="B26" s="50"/>
      <c r="C26" s="8"/>
      <c r="D26" s="8"/>
      <c r="E26" s="8"/>
      <c r="F26" s="58">
        <v>613800</v>
      </c>
      <c r="G26" s="69"/>
      <c r="H26" s="9" t="s">
        <v>60</v>
      </c>
      <c r="I26" s="99">
        <v>0</v>
      </c>
      <c r="J26" s="82">
        <v>0</v>
      </c>
      <c r="K26" s="163">
        <f t="shared" si="7"/>
        <v>0</v>
      </c>
      <c r="L26" s="99"/>
      <c r="M26" s="82"/>
      <c r="N26" s="203">
        <f t="shared" si="8"/>
        <v>0</v>
      </c>
      <c r="O26" s="224" t="str">
        <f t="shared" si="0"/>
        <v/>
      </c>
    </row>
    <row r="27" spans="2:15" ht="14.25" x14ac:dyDescent="0.2">
      <c r="B27" s="50"/>
      <c r="C27" s="8"/>
      <c r="D27" s="8"/>
      <c r="E27" s="8"/>
      <c r="F27" s="58">
        <v>613900</v>
      </c>
      <c r="G27" s="69"/>
      <c r="H27" s="9" t="s">
        <v>61</v>
      </c>
      <c r="I27" s="99">
        <v>3000</v>
      </c>
      <c r="J27" s="82">
        <v>0</v>
      </c>
      <c r="K27" s="163">
        <f t="shared" si="7"/>
        <v>3000</v>
      </c>
      <c r="L27" s="99"/>
      <c r="M27" s="82"/>
      <c r="N27" s="203">
        <f t="shared" si="8"/>
        <v>0</v>
      </c>
      <c r="O27" s="224">
        <f t="shared" si="0"/>
        <v>0</v>
      </c>
    </row>
    <row r="28" spans="2:15" ht="15" x14ac:dyDescent="0.25">
      <c r="B28" s="50"/>
      <c r="C28" s="8"/>
      <c r="D28" s="8"/>
      <c r="E28" s="8"/>
      <c r="F28" s="58"/>
      <c r="G28" s="69"/>
      <c r="H28" s="9"/>
      <c r="I28" s="110"/>
      <c r="J28" s="52"/>
      <c r="K28" s="165"/>
      <c r="L28" s="110"/>
      <c r="M28" s="52"/>
      <c r="N28" s="205"/>
      <c r="O28" s="224" t="str">
        <f t="shared" si="0"/>
        <v/>
      </c>
    </row>
    <row r="29" spans="2:15" ht="15" x14ac:dyDescent="0.25">
      <c r="B29" s="51"/>
      <c r="C29" s="4"/>
      <c r="D29" s="4"/>
      <c r="E29" s="4"/>
      <c r="F29" s="57">
        <v>821000</v>
      </c>
      <c r="G29" s="68"/>
      <c r="H29" s="10" t="s">
        <v>12</v>
      </c>
      <c r="I29" s="110">
        <f t="shared" ref="I29" si="9">I30+I31</f>
        <v>2000</v>
      </c>
      <c r="J29" s="52">
        <f t="shared" ref="J29:N29" si="10">J30+J31</f>
        <v>0</v>
      </c>
      <c r="K29" s="165">
        <f t="shared" si="10"/>
        <v>2000</v>
      </c>
      <c r="L29" s="110">
        <f t="shared" si="10"/>
        <v>0</v>
      </c>
      <c r="M29" s="52">
        <f t="shared" si="10"/>
        <v>0</v>
      </c>
      <c r="N29" s="205">
        <f t="shared" si="10"/>
        <v>0</v>
      </c>
      <c r="O29" s="228">
        <f t="shared" si="0"/>
        <v>0</v>
      </c>
    </row>
    <row r="30" spans="2:15" ht="14.25" x14ac:dyDescent="0.2">
      <c r="B30" s="50"/>
      <c r="C30" s="8"/>
      <c r="D30" s="8"/>
      <c r="E30" s="8"/>
      <c r="F30" s="58">
        <v>821200</v>
      </c>
      <c r="G30" s="69"/>
      <c r="H30" s="9" t="s">
        <v>13</v>
      </c>
      <c r="I30" s="108">
        <v>0</v>
      </c>
      <c r="J30" s="46">
        <v>0</v>
      </c>
      <c r="K30" s="163">
        <f t="shared" ref="K30:K31" si="11">SUM(I30:J30)</f>
        <v>0</v>
      </c>
      <c r="L30" s="108"/>
      <c r="M30" s="46"/>
      <c r="N30" s="203">
        <f t="shared" ref="N30:N31" si="12">SUM(L30:M30)</f>
        <v>0</v>
      </c>
      <c r="O30" s="224" t="str">
        <f t="shared" si="0"/>
        <v/>
      </c>
    </row>
    <row r="31" spans="2:15" ht="14.25" x14ac:dyDescent="0.2">
      <c r="B31" s="50"/>
      <c r="C31" s="8"/>
      <c r="D31" s="8"/>
      <c r="E31" s="8"/>
      <c r="F31" s="58">
        <v>821300</v>
      </c>
      <c r="G31" s="69"/>
      <c r="H31" s="9" t="s">
        <v>14</v>
      </c>
      <c r="I31" s="108">
        <v>2000</v>
      </c>
      <c r="J31" s="46">
        <v>0</v>
      </c>
      <c r="K31" s="163">
        <f t="shared" si="11"/>
        <v>2000</v>
      </c>
      <c r="L31" s="108"/>
      <c r="M31" s="46"/>
      <c r="N31" s="203">
        <f t="shared" si="12"/>
        <v>0</v>
      </c>
      <c r="O31" s="224">
        <f t="shared" si="0"/>
        <v>0</v>
      </c>
    </row>
    <row r="32" spans="2:15" ht="15" x14ac:dyDescent="0.25">
      <c r="B32" s="50"/>
      <c r="C32" s="8"/>
      <c r="D32" s="8"/>
      <c r="E32" s="8"/>
      <c r="F32" s="58"/>
      <c r="G32" s="69"/>
      <c r="H32" s="9"/>
      <c r="I32" s="110"/>
      <c r="J32" s="52"/>
      <c r="K32" s="165"/>
      <c r="L32" s="110"/>
      <c r="M32" s="52"/>
      <c r="N32" s="205"/>
      <c r="O32" s="224" t="str">
        <f t="shared" si="0"/>
        <v/>
      </c>
    </row>
    <row r="33" spans="2:15" ht="15" x14ac:dyDescent="0.25">
      <c r="B33" s="51"/>
      <c r="C33" s="4"/>
      <c r="D33" s="4"/>
      <c r="E33" s="4"/>
      <c r="F33" s="57"/>
      <c r="G33" s="68"/>
      <c r="H33" s="10" t="s">
        <v>15</v>
      </c>
      <c r="I33" s="110">
        <v>3</v>
      </c>
      <c r="J33" s="52"/>
      <c r="K33" s="165">
        <v>3</v>
      </c>
      <c r="L33" s="110"/>
      <c r="M33" s="52"/>
      <c r="N33" s="205"/>
      <c r="O33" s="224"/>
    </row>
    <row r="34" spans="2:15" ht="15" x14ac:dyDescent="0.25">
      <c r="B34" s="51"/>
      <c r="C34" s="4"/>
      <c r="D34" s="4"/>
      <c r="E34" s="4"/>
      <c r="F34" s="57"/>
      <c r="G34" s="68"/>
      <c r="H34" s="4" t="s">
        <v>24</v>
      </c>
      <c r="I34" s="110">
        <f t="shared" ref="I34:N34" si="13">I11+I15+I18+I29</f>
        <v>141530</v>
      </c>
      <c r="J34" s="52">
        <f t="shared" si="13"/>
        <v>0</v>
      </c>
      <c r="K34" s="165">
        <f t="shared" si="13"/>
        <v>141530</v>
      </c>
      <c r="L34" s="110">
        <f t="shared" si="13"/>
        <v>0</v>
      </c>
      <c r="M34" s="52">
        <f t="shared" si="13"/>
        <v>0</v>
      </c>
      <c r="N34" s="205">
        <f t="shared" si="13"/>
        <v>0</v>
      </c>
      <c r="O34" s="228">
        <f t="shared" si="0"/>
        <v>0</v>
      </c>
    </row>
    <row r="35" spans="2:15" ht="15" x14ac:dyDescent="0.25">
      <c r="B35" s="51"/>
      <c r="C35" s="4"/>
      <c r="D35" s="4"/>
      <c r="E35" s="4"/>
      <c r="F35" s="57"/>
      <c r="G35" s="68"/>
      <c r="H35" s="4" t="s">
        <v>16</v>
      </c>
      <c r="I35" s="110">
        <f t="shared" ref="I35:N36" si="14">I34</f>
        <v>141530</v>
      </c>
      <c r="J35" s="52">
        <f t="shared" si="14"/>
        <v>0</v>
      </c>
      <c r="K35" s="165">
        <f t="shared" si="14"/>
        <v>141530</v>
      </c>
      <c r="L35" s="110">
        <f t="shared" si="14"/>
        <v>0</v>
      </c>
      <c r="M35" s="52">
        <f t="shared" si="14"/>
        <v>0</v>
      </c>
      <c r="N35" s="205">
        <f t="shared" si="14"/>
        <v>0</v>
      </c>
      <c r="O35" s="228">
        <f t="shared" si="0"/>
        <v>0</v>
      </c>
    </row>
    <row r="36" spans="2:15" ht="15" x14ac:dyDescent="0.25">
      <c r="B36" s="51"/>
      <c r="C36" s="4"/>
      <c r="D36" s="4"/>
      <c r="E36" s="4"/>
      <c r="F36" s="57"/>
      <c r="G36" s="68"/>
      <c r="H36" s="4" t="s">
        <v>17</v>
      </c>
      <c r="I36" s="110">
        <f t="shared" si="14"/>
        <v>141530</v>
      </c>
      <c r="J36" s="52">
        <f t="shared" si="14"/>
        <v>0</v>
      </c>
      <c r="K36" s="165">
        <f t="shared" si="14"/>
        <v>141530</v>
      </c>
      <c r="L36" s="110">
        <f t="shared" si="14"/>
        <v>0</v>
      </c>
      <c r="M36" s="52">
        <f t="shared" si="14"/>
        <v>0</v>
      </c>
      <c r="N36" s="205">
        <f t="shared" si="14"/>
        <v>0</v>
      </c>
      <c r="O36" s="228">
        <f t="shared" si="0"/>
        <v>0</v>
      </c>
    </row>
    <row r="37" spans="2:15" ht="15" thickBot="1" x14ac:dyDescent="0.25">
      <c r="B37" s="6"/>
      <c r="C37" s="7"/>
      <c r="D37" s="7"/>
      <c r="E37" s="7"/>
      <c r="F37" s="59"/>
      <c r="G37" s="70"/>
      <c r="H37" s="7"/>
      <c r="I37" s="6"/>
      <c r="J37" s="7"/>
      <c r="K37" s="169"/>
      <c r="L37" s="184"/>
      <c r="M37" s="7"/>
      <c r="N37" s="215"/>
      <c r="O37" s="227"/>
    </row>
    <row r="38" spans="2:15" ht="14.25" x14ac:dyDescent="0.2">
      <c r="F38" s="60"/>
      <c r="G38" s="71"/>
      <c r="K38" s="91"/>
      <c r="N38" s="91"/>
      <c r="O38" s="233" t="str">
        <f t="shared" si="0"/>
        <v/>
      </c>
    </row>
  </sheetData>
  <mergeCells count="14">
    <mergeCell ref="H7:H8"/>
    <mergeCell ref="I7:K7"/>
    <mergeCell ref="L7:N7"/>
    <mergeCell ref="O7:O8"/>
    <mergeCell ref="B1:N1"/>
    <mergeCell ref="F3:K3"/>
    <mergeCell ref="D5:E5"/>
    <mergeCell ref="H6:I6"/>
    <mergeCell ref="B7:B8"/>
    <mergeCell ref="C7:C8"/>
    <mergeCell ref="D7:D8"/>
    <mergeCell ref="E7:E8"/>
    <mergeCell ref="F7:F8"/>
    <mergeCell ref="G7:G8"/>
  </mergeCells>
  <pageMargins left="0.39370078740157483" right="0.39370078740157483" top="0.39370078740157483" bottom="0.39370078740157483" header="0.31496062992125984" footer="0.31496062992125984"/>
  <pageSetup paperSize="9" scale="7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List19"/>
  <dimension ref="B1:O38"/>
  <sheetViews>
    <sheetView topLeftCell="B1" zoomScaleNormal="100" workbookViewId="0">
      <selection activeCell="L9" sqref="L9:O9"/>
    </sheetView>
  </sheetViews>
  <sheetFormatPr defaultColWidth="9.140625" defaultRowHeight="12.75" x14ac:dyDescent="0.2"/>
  <cols>
    <col min="1" max="1" width="6.140625" style="17" customWidth="1"/>
    <col min="2" max="2" width="4.7109375" style="17" customWidth="1"/>
    <col min="3" max="3" width="5.140625" style="17" customWidth="1"/>
    <col min="4" max="5" width="5" style="17" customWidth="1"/>
    <col min="6" max="7" width="8.7109375" style="53" customWidth="1"/>
    <col min="8" max="8" width="50.7109375" style="17" customWidth="1"/>
    <col min="9" max="9" width="11.7109375" style="17" customWidth="1"/>
    <col min="10" max="10" width="11.85546875" style="17" customWidth="1"/>
    <col min="11" max="11" width="13.5703125" style="17" customWidth="1"/>
    <col min="12" max="13" width="14.7109375" style="17" customWidth="1"/>
    <col min="14" max="14" width="15.7109375" style="17" customWidth="1"/>
    <col min="15" max="15" width="9.140625" style="17"/>
    <col min="16" max="16" width="9.5703125" style="17" bestFit="1" customWidth="1"/>
    <col min="17" max="16384" width="9.140625" style="17"/>
  </cols>
  <sheetData>
    <row r="1" spans="2:15" ht="15.75" x14ac:dyDescent="0.25">
      <c r="B1" s="428" t="s">
        <v>374</v>
      </c>
      <c r="C1" s="429"/>
      <c r="D1" s="429"/>
      <c r="E1" s="429"/>
      <c r="F1" s="429"/>
      <c r="G1" s="429"/>
      <c r="H1" s="429"/>
      <c r="I1" s="430"/>
      <c r="J1" s="430"/>
      <c r="K1" s="430"/>
      <c r="L1" s="430"/>
      <c r="M1" s="430"/>
      <c r="N1" s="430"/>
    </row>
    <row r="2" spans="2:15" x14ac:dyDescent="0.2">
      <c r="M2" s="126" t="s">
        <v>232</v>
      </c>
      <c r="N2" s="196"/>
    </row>
    <row r="3" spans="2:15" ht="15.75" x14ac:dyDescent="0.25">
      <c r="B3" s="180" t="s">
        <v>173</v>
      </c>
      <c r="F3" s="431" t="s">
        <v>131</v>
      </c>
      <c r="G3" s="432"/>
      <c r="H3" s="432"/>
      <c r="I3" s="432"/>
      <c r="J3" s="432"/>
      <c r="K3" s="432"/>
    </row>
    <row r="4" spans="2:15" x14ac:dyDescent="0.2">
      <c r="B4" s="180"/>
      <c r="G4"/>
      <c r="H4"/>
      <c r="I4"/>
      <c r="J4"/>
      <c r="K4"/>
    </row>
    <row r="5" spans="2:15" ht="15.75" x14ac:dyDescent="0.25">
      <c r="B5" s="180" t="s">
        <v>172</v>
      </c>
      <c r="D5" s="433">
        <v>27</v>
      </c>
      <c r="E5" s="434"/>
      <c r="F5" s="181"/>
      <c r="G5" s="181"/>
      <c r="I5" s="180"/>
      <c r="L5" s="411"/>
    </row>
    <row r="6" spans="2:15" s="22" customFormat="1" ht="16.5" thickBot="1" x14ac:dyDescent="0.3">
      <c r="F6" s="48"/>
      <c r="G6" s="48"/>
      <c r="H6" s="435"/>
      <c r="I6" s="435"/>
      <c r="J6" s="26"/>
      <c r="K6" s="26"/>
      <c r="L6" s="26"/>
      <c r="M6" s="26"/>
      <c r="N6" s="26"/>
    </row>
    <row r="7" spans="2:15" s="22" customFormat="1" ht="31.5" customHeight="1" x14ac:dyDescent="0.2">
      <c r="B7" s="436" t="s">
        <v>0</v>
      </c>
      <c r="C7" s="438" t="s">
        <v>1</v>
      </c>
      <c r="D7" s="438" t="s">
        <v>21</v>
      </c>
      <c r="E7" s="438" t="s">
        <v>135</v>
      </c>
      <c r="F7" s="421" t="s">
        <v>85</v>
      </c>
      <c r="G7" s="440" t="s">
        <v>88</v>
      </c>
      <c r="H7" s="421" t="s">
        <v>2</v>
      </c>
      <c r="I7" s="423" t="s">
        <v>375</v>
      </c>
      <c r="J7" s="424"/>
      <c r="K7" s="425"/>
      <c r="L7" s="423" t="s">
        <v>373</v>
      </c>
      <c r="M7" s="424"/>
      <c r="N7" s="424"/>
      <c r="O7" s="426" t="s">
        <v>258</v>
      </c>
    </row>
    <row r="8" spans="2:15" s="22" customFormat="1" ht="25.5" x14ac:dyDescent="0.2">
      <c r="B8" s="437"/>
      <c r="C8" s="439"/>
      <c r="D8" s="439"/>
      <c r="E8" s="439"/>
      <c r="F8" s="422"/>
      <c r="G8" s="439"/>
      <c r="H8" s="422"/>
      <c r="I8" s="105" t="s">
        <v>117</v>
      </c>
      <c r="J8" s="85" t="s">
        <v>118</v>
      </c>
      <c r="K8" s="159" t="s">
        <v>81</v>
      </c>
      <c r="L8" s="105" t="s">
        <v>117</v>
      </c>
      <c r="M8" s="85" t="s">
        <v>118</v>
      </c>
      <c r="N8" s="200" t="s">
        <v>81</v>
      </c>
      <c r="O8" s="427"/>
    </row>
    <row r="9" spans="2:15" s="48" customFormat="1" x14ac:dyDescent="0.2">
      <c r="B9" s="97">
        <v>1</v>
      </c>
      <c r="C9" s="68">
        <v>2</v>
      </c>
      <c r="D9" s="68">
        <v>3</v>
      </c>
      <c r="E9" s="68">
        <v>4</v>
      </c>
      <c r="F9" s="68">
        <v>5</v>
      </c>
      <c r="G9" s="68">
        <v>6</v>
      </c>
      <c r="H9" s="68">
        <v>7</v>
      </c>
      <c r="I9" s="97">
        <v>8</v>
      </c>
      <c r="J9" s="68">
        <v>9</v>
      </c>
      <c r="K9" s="160" t="s">
        <v>171</v>
      </c>
      <c r="L9" s="97">
        <v>11</v>
      </c>
      <c r="M9" s="68">
        <v>12</v>
      </c>
      <c r="N9" s="68" t="s">
        <v>394</v>
      </c>
      <c r="O9" s="232" t="s">
        <v>395</v>
      </c>
    </row>
    <row r="10" spans="2:15" ht="15" x14ac:dyDescent="0.25">
      <c r="B10" s="2" t="s">
        <v>55</v>
      </c>
      <c r="C10" s="3" t="s">
        <v>3</v>
      </c>
      <c r="D10" s="3" t="s">
        <v>4</v>
      </c>
      <c r="E10" s="136" t="s">
        <v>140</v>
      </c>
      <c r="F10" s="49"/>
      <c r="G10" s="49"/>
      <c r="H10" s="182" t="s">
        <v>200</v>
      </c>
      <c r="I10" s="115"/>
      <c r="J10" s="23"/>
      <c r="K10" s="168"/>
      <c r="L10" s="115"/>
      <c r="M10" s="23"/>
      <c r="N10" s="217"/>
      <c r="O10" s="224" t="str">
        <f t="shared" ref="O10:O36" si="0">IF(K10=0,"",N10/K10*100)</f>
        <v/>
      </c>
    </row>
    <row r="11" spans="2:15" ht="15" x14ac:dyDescent="0.25">
      <c r="B11" s="51"/>
      <c r="C11" s="4"/>
      <c r="D11" s="4"/>
      <c r="E11" s="4"/>
      <c r="F11" s="57">
        <v>611000</v>
      </c>
      <c r="G11" s="68"/>
      <c r="H11" s="10" t="s">
        <v>57</v>
      </c>
      <c r="I11" s="106">
        <f>SUM(I12:I13)</f>
        <v>884580</v>
      </c>
      <c r="J11" s="32">
        <f t="shared" ref="J11:N11" si="1">SUM(J12:J13)</f>
        <v>0</v>
      </c>
      <c r="K11" s="162">
        <f t="shared" si="1"/>
        <v>884580</v>
      </c>
      <c r="L11" s="106">
        <f t="shared" si="1"/>
        <v>0</v>
      </c>
      <c r="M11" s="32">
        <f t="shared" si="1"/>
        <v>0</v>
      </c>
      <c r="N11" s="202">
        <f t="shared" si="1"/>
        <v>0</v>
      </c>
      <c r="O11" s="228">
        <f t="shared" si="0"/>
        <v>0</v>
      </c>
    </row>
    <row r="12" spans="2:15" ht="14.25" x14ac:dyDescent="0.2">
      <c r="B12" s="50"/>
      <c r="C12" s="8"/>
      <c r="D12" s="8"/>
      <c r="E12" s="8"/>
      <c r="F12" s="58">
        <v>611100</v>
      </c>
      <c r="G12" s="69"/>
      <c r="H12" s="9" t="s">
        <v>68</v>
      </c>
      <c r="I12" s="119">
        <f>670780+3*1820+1280+730+10*3000+38240</f>
        <v>746490</v>
      </c>
      <c r="J12" s="34">
        <v>0</v>
      </c>
      <c r="K12" s="163">
        <f>SUM(I12:J12)</f>
        <v>746490</v>
      </c>
      <c r="L12" s="119"/>
      <c r="M12" s="34"/>
      <c r="N12" s="203">
        <f>SUM(L12:M12)</f>
        <v>0</v>
      </c>
      <c r="O12" s="224">
        <f t="shared" si="0"/>
        <v>0</v>
      </c>
    </row>
    <row r="13" spans="2:15" ht="14.25" x14ac:dyDescent="0.2">
      <c r="B13" s="50"/>
      <c r="C13" s="8"/>
      <c r="D13" s="8"/>
      <c r="E13" s="8"/>
      <c r="F13" s="58">
        <v>611200</v>
      </c>
      <c r="G13" s="69"/>
      <c r="H13" s="9" t="s">
        <v>69</v>
      </c>
      <c r="I13" s="119">
        <f>89590+3*4050+2840+1620+26000+850+5040</f>
        <v>138090</v>
      </c>
      <c r="J13" s="34">
        <v>0</v>
      </c>
      <c r="K13" s="163">
        <f t="shared" ref="K13" si="2">SUM(I13:J13)</f>
        <v>138090</v>
      </c>
      <c r="L13" s="119"/>
      <c r="M13" s="34"/>
      <c r="N13" s="203">
        <f t="shared" ref="N13" si="3">SUM(L13:M13)</f>
        <v>0</v>
      </c>
      <c r="O13" s="224">
        <f t="shared" si="0"/>
        <v>0</v>
      </c>
    </row>
    <row r="14" spans="2:15" ht="15" x14ac:dyDescent="0.25">
      <c r="B14" s="50"/>
      <c r="C14" s="8"/>
      <c r="D14" s="8"/>
      <c r="E14" s="8"/>
      <c r="F14" s="58"/>
      <c r="G14" s="69"/>
      <c r="H14" s="9"/>
      <c r="I14" s="106"/>
      <c r="J14" s="32"/>
      <c r="K14" s="162"/>
      <c r="L14" s="106"/>
      <c r="M14" s="32"/>
      <c r="N14" s="202"/>
      <c r="O14" s="224" t="str">
        <f t="shared" si="0"/>
        <v/>
      </c>
    </row>
    <row r="15" spans="2:15" ht="15" x14ac:dyDescent="0.25">
      <c r="B15" s="51"/>
      <c r="C15" s="4"/>
      <c r="D15" s="4"/>
      <c r="E15" s="4"/>
      <c r="F15" s="57">
        <v>612000</v>
      </c>
      <c r="G15" s="68"/>
      <c r="H15" s="10" t="s">
        <v>56</v>
      </c>
      <c r="I15" s="106">
        <f t="shared" ref="I15" si="4">I16</f>
        <v>37540</v>
      </c>
      <c r="J15" s="32">
        <f t="shared" ref="J15:N15" si="5">J16</f>
        <v>0</v>
      </c>
      <c r="K15" s="162">
        <f t="shared" si="5"/>
        <v>37540</v>
      </c>
      <c r="L15" s="106">
        <f t="shared" si="5"/>
        <v>0</v>
      </c>
      <c r="M15" s="32">
        <f t="shared" si="5"/>
        <v>0</v>
      </c>
      <c r="N15" s="202">
        <f t="shared" si="5"/>
        <v>0</v>
      </c>
      <c r="O15" s="228">
        <f t="shared" si="0"/>
        <v>0</v>
      </c>
    </row>
    <row r="16" spans="2:15" ht="14.25" x14ac:dyDescent="0.2">
      <c r="B16" s="50"/>
      <c r="C16" s="8"/>
      <c r="D16" s="8"/>
      <c r="E16" s="8"/>
      <c r="F16" s="58">
        <v>612100</v>
      </c>
      <c r="G16" s="69"/>
      <c r="H16" s="145" t="s">
        <v>5</v>
      </c>
      <c r="I16" s="119">
        <f>32930+3*300+210+120+10*150+1880</f>
        <v>37540</v>
      </c>
      <c r="J16" s="34">
        <v>0</v>
      </c>
      <c r="K16" s="163">
        <f>SUM(I16:J16)</f>
        <v>37540</v>
      </c>
      <c r="L16" s="119"/>
      <c r="M16" s="34"/>
      <c r="N16" s="203">
        <f>SUM(L16:M16)</f>
        <v>0</v>
      </c>
      <c r="O16" s="224">
        <f t="shared" si="0"/>
        <v>0</v>
      </c>
    </row>
    <row r="17" spans="2:15" ht="15" x14ac:dyDescent="0.25">
      <c r="B17" s="50"/>
      <c r="C17" s="8"/>
      <c r="D17" s="8"/>
      <c r="E17" s="8"/>
      <c r="F17" s="58"/>
      <c r="G17" s="69"/>
      <c r="H17" s="9"/>
      <c r="I17" s="110"/>
      <c r="J17" s="52"/>
      <c r="K17" s="165"/>
      <c r="L17" s="110"/>
      <c r="M17" s="52"/>
      <c r="N17" s="205"/>
      <c r="O17" s="224" t="str">
        <f t="shared" si="0"/>
        <v/>
      </c>
    </row>
    <row r="18" spans="2:15" ht="15" x14ac:dyDescent="0.25">
      <c r="B18" s="51"/>
      <c r="C18" s="4"/>
      <c r="D18" s="4"/>
      <c r="E18" s="4"/>
      <c r="F18" s="57">
        <v>613000</v>
      </c>
      <c r="G18" s="68"/>
      <c r="H18" s="10" t="s">
        <v>58</v>
      </c>
      <c r="I18" s="109">
        <f>SUM(I19:I27)</f>
        <v>114500</v>
      </c>
      <c r="J18" s="55">
        <f t="shared" ref="J18:N18" si="6">SUM(J19:J27)</f>
        <v>0</v>
      </c>
      <c r="K18" s="165">
        <f t="shared" si="6"/>
        <v>114500</v>
      </c>
      <c r="L18" s="109">
        <f t="shared" si="6"/>
        <v>0</v>
      </c>
      <c r="M18" s="55">
        <f t="shared" si="6"/>
        <v>0</v>
      </c>
      <c r="N18" s="205">
        <f t="shared" si="6"/>
        <v>0</v>
      </c>
      <c r="O18" s="228">
        <f t="shared" si="0"/>
        <v>0</v>
      </c>
    </row>
    <row r="19" spans="2:15" ht="14.25" x14ac:dyDescent="0.2">
      <c r="B19" s="50"/>
      <c r="C19" s="8"/>
      <c r="D19" s="8"/>
      <c r="E19" s="8"/>
      <c r="F19" s="58">
        <v>613100</v>
      </c>
      <c r="G19" s="69"/>
      <c r="H19" s="9" t="s">
        <v>6</v>
      </c>
      <c r="I19" s="100">
        <v>4200</v>
      </c>
      <c r="J19" s="84">
        <v>0</v>
      </c>
      <c r="K19" s="163">
        <f t="shared" ref="K19:K27" si="7">SUM(I19:J19)</f>
        <v>4200</v>
      </c>
      <c r="L19" s="100"/>
      <c r="M19" s="84"/>
      <c r="N19" s="203">
        <f t="shared" ref="N19:N27" si="8">SUM(L19:M19)</f>
        <v>0</v>
      </c>
      <c r="O19" s="224">
        <f t="shared" si="0"/>
        <v>0</v>
      </c>
    </row>
    <row r="20" spans="2:15" ht="14.25" x14ac:dyDescent="0.2">
      <c r="B20" s="50"/>
      <c r="C20" s="8"/>
      <c r="D20" s="8"/>
      <c r="E20" s="8"/>
      <c r="F20" s="58">
        <v>613200</v>
      </c>
      <c r="G20" s="69"/>
      <c r="H20" s="9" t="s">
        <v>7</v>
      </c>
      <c r="I20" s="100">
        <v>8500</v>
      </c>
      <c r="J20" s="84">
        <v>0</v>
      </c>
      <c r="K20" s="163">
        <f t="shared" si="7"/>
        <v>8500</v>
      </c>
      <c r="L20" s="100"/>
      <c r="M20" s="84"/>
      <c r="N20" s="203">
        <f t="shared" si="8"/>
        <v>0</v>
      </c>
      <c r="O20" s="224">
        <f t="shared" si="0"/>
        <v>0</v>
      </c>
    </row>
    <row r="21" spans="2:15" ht="14.25" x14ac:dyDescent="0.2">
      <c r="B21" s="50"/>
      <c r="C21" s="8"/>
      <c r="D21" s="8"/>
      <c r="E21" s="8"/>
      <c r="F21" s="58">
        <v>613300</v>
      </c>
      <c r="G21" s="69"/>
      <c r="H21" s="9" t="s">
        <v>70</v>
      </c>
      <c r="I21" s="100">
        <v>13000</v>
      </c>
      <c r="J21" s="84">
        <v>0</v>
      </c>
      <c r="K21" s="163">
        <f t="shared" si="7"/>
        <v>13000</v>
      </c>
      <c r="L21" s="100"/>
      <c r="M21" s="84"/>
      <c r="N21" s="203">
        <f t="shared" si="8"/>
        <v>0</v>
      </c>
      <c r="O21" s="224">
        <f t="shared" si="0"/>
        <v>0</v>
      </c>
    </row>
    <row r="22" spans="2:15" ht="14.25" x14ac:dyDescent="0.2">
      <c r="B22" s="50"/>
      <c r="C22" s="8"/>
      <c r="D22" s="8"/>
      <c r="E22" s="8"/>
      <c r="F22" s="58">
        <v>613400</v>
      </c>
      <c r="G22" s="69"/>
      <c r="H22" s="9" t="s">
        <v>59</v>
      </c>
      <c r="I22" s="100">
        <v>19500</v>
      </c>
      <c r="J22" s="84">
        <v>0</v>
      </c>
      <c r="K22" s="163">
        <f t="shared" si="7"/>
        <v>19500</v>
      </c>
      <c r="L22" s="100"/>
      <c r="M22" s="84"/>
      <c r="N22" s="203">
        <f t="shared" si="8"/>
        <v>0</v>
      </c>
      <c r="O22" s="224">
        <f t="shared" si="0"/>
        <v>0</v>
      </c>
    </row>
    <row r="23" spans="2:15" ht="14.25" x14ac:dyDescent="0.2">
      <c r="B23" s="50"/>
      <c r="C23" s="8"/>
      <c r="D23" s="8"/>
      <c r="E23" s="8"/>
      <c r="F23" s="58">
        <v>613500</v>
      </c>
      <c r="G23" s="69"/>
      <c r="H23" s="9" t="s">
        <v>8</v>
      </c>
      <c r="I23" s="100">
        <v>4800</v>
      </c>
      <c r="J23" s="84">
        <v>0</v>
      </c>
      <c r="K23" s="163">
        <f t="shared" si="7"/>
        <v>4800</v>
      </c>
      <c r="L23" s="100"/>
      <c r="M23" s="84"/>
      <c r="N23" s="203">
        <f t="shared" si="8"/>
        <v>0</v>
      </c>
      <c r="O23" s="224">
        <f t="shared" si="0"/>
        <v>0</v>
      </c>
    </row>
    <row r="24" spans="2:15" ht="14.25" x14ac:dyDescent="0.2">
      <c r="B24" s="50"/>
      <c r="C24" s="8"/>
      <c r="D24" s="8"/>
      <c r="E24" s="8"/>
      <c r="F24" s="58">
        <v>613600</v>
      </c>
      <c r="G24" s="69"/>
      <c r="H24" s="9" t="s">
        <v>71</v>
      </c>
      <c r="I24" s="100">
        <v>0</v>
      </c>
      <c r="J24" s="84">
        <v>0</v>
      </c>
      <c r="K24" s="163">
        <f t="shared" si="7"/>
        <v>0</v>
      </c>
      <c r="L24" s="100"/>
      <c r="M24" s="84"/>
      <c r="N24" s="203">
        <f t="shared" si="8"/>
        <v>0</v>
      </c>
      <c r="O24" s="224" t="str">
        <f t="shared" si="0"/>
        <v/>
      </c>
    </row>
    <row r="25" spans="2:15" ht="14.25" x14ac:dyDescent="0.2">
      <c r="B25" s="50"/>
      <c r="C25" s="8"/>
      <c r="D25" s="8"/>
      <c r="E25" s="8"/>
      <c r="F25" s="58">
        <v>613700</v>
      </c>
      <c r="G25" s="69"/>
      <c r="H25" s="9" t="s">
        <v>9</v>
      </c>
      <c r="I25" s="100">
        <v>7500</v>
      </c>
      <c r="J25" s="84">
        <v>0</v>
      </c>
      <c r="K25" s="163">
        <f t="shared" si="7"/>
        <v>7500</v>
      </c>
      <c r="L25" s="100"/>
      <c r="M25" s="84"/>
      <c r="N25" s="203">
        <f t="shared" si="8"/>
        <v>0</v>
      </c>
      <c r="O25" s="224">
        <f t="shared" si="0"/>
        <v>0</v>
      </c>
    </row>
    <row r="26" spans="2:15" ht="14.25" x14ac:dyDescent="0.2">
      <c r="B26" s="50"/>
      <c r="C26" s="8"/>
      <c r="D26" s="8"/>
      <c r="E26" s="8"/>
      <c r="F26" s="58">
        <v>613800</v>
      </c>
      <c r="G26" s="69"/>
      <c r="H26" s="9" t="s">
        <v>60</v>
      </c>
      <c r="I26" s="100">
        <v>2500</v>
      </c>
      <c r="J26" s="84">
        <v>0</v>
      </c>
      <c r="K26" s="163">
        <f t="shared" si="7"/>
        <v>2500</v>
      </c>
      <c r="L26" s="100"/>
      <c r="M26" s="84"/>
      <c r="N26" s="203">
        <f t="shared" si="8"/>
        <v>0</v>
      </c>
      <c r="O26" s="224">
        <f t="shared" si="0"/>
        <v>0</v>
      </c>
    </row>
    <row r="27" spans="2:15" ht="14.25" x14ac:dyDescent="0.2">
      <c r="B27" s="50"/>
      <c r="C27" s="8"/>
      <c r="D27" s="8"/>
      <c r="E27" s="8"/>
      <c r="F27" s="58">
        <v>613900</v>
      </c>
      <c r="G27" s="69"/>
      <c r="H27" s="9" t="s">
        <v>61</v>
      </c>
      <c r="I27" s="100">
        <v>54500</v>
      </c>
      <c r="J27" s="84">
        <v>0</v>
      </c>
      <c r="K27" s="163">
        <f t="shared" si="7"/>
        <v>54500</v>
      </c>
      <c r="L27" s="100"/>
      <c r="M27" s="84"/>
      <c r="N27" s="203">
        <f t="shared" si="8"/>
        <v>0</v>
      </c>
      <c r="O27" s="224">
        <f t="shared" si="0"/>
        <v>0</v>
      </c>
    </row>
    <row r="28" spans="2:15" ht="14.25" x14ac:dyDescent="0.2">
      <c r="B28" s="51"/>
      <c r="C28" s="4"/>
      <c r="D28" s="4"/>
      <c r="E28" s="4"/>
      <c r="F28" s="57"/>
      <c r="G28" s="68"/>
      <c r="H28" s="10"/>
      <c r="I28" s="116"/>
      <c r="J28" s="54"/>
      <c r="K28" s="164"/>
      <c r="L28" s="116"/>
      <c r="M28" s="54"/>
      <c r="N28" s="204"/>
      <c r="O28" s="224" t="str">
        <f t="shared" si="0"/>
        <v/>
      </c>
    </row>
    <row r="29" spans="2:15" ht="15" x14ac:dyDescent="0.25">
      <c r="B29" s="51"/>
      <c r="C29" s="4"/>
      <c r="D29" s="4"/>
      <c r="E29" s="4"/>
      <c r="F29" s="57">
        <v>821000</v>
      </c>
      <c r="G29" s="68"/>
      <c r="H29" s="10" t="s">
        <v>12</v>
      </c>
      <c r="I29" s="110">
        <f t="shared" ref="I29" si="9">I30+I31</f>
        <v>54000</v>
      </c>
      <c r="J29" s="52">
        <f t="shared" ref="J29:N29" si="10">J30+J31</f>
        <v>0</v>
      </c>
      <c r="K29" s="165">
        <f t="shared" si="10"/>
        <v>54000</v>
      </c>
      <c r="L29" s="110">
        <f t="shared" si="10"/>
        <v>0</v>
      </c>
      <c r="M29" s="52">
        <f t="shared" si="10"/>
        <v>0</v>
      </c>
      <c r="N29" s="205">
        <f t="shared" si="10"/>
        <v>0</v>
      </c>
      <c r="O29" s="228">
        <f t="shared" si="0"/>
        <v>0</v>
      </c>
    </row>
    <row r="30" spans="2:15" ht="14.25" x14ac:dyDescent="0.2">
      <c r="B30" s="50"/>
      <c r="C30" s="8"/>
      <c r="D30" s="8"/>
      <c r="E30" s="8"/>
      <c r="F30" s="58">
        <v>821200</v>
      </c>
      <c r="G30" s="69"/>
      <c r="H30" s="9" t="s">
        <v>13</v>
      </c>
      <c r="I30" s="116">
        <v>25000</v>
      </c>
      <c r="J30" s="54">
        <v>0</v>
      </c>
      <c r="K30" s="163">
        <f t="shared" ref="K30:K31" si="11">SUM(I30:J30)</f>
        <v>25000</v>
      </c>
      <c r="L30" s="116"/>
      <c r="M30" s="54"/>
      <c r="N30" s="203">
        <f t="shared" ref="N30:N31" si="12">SUM(L30:M30)</f>
        <v>0</v>
      </c>
      <c r="O30" s="224">
        <f t="shared" si="0"/>
        <v>0</v>
      </c>
    </row>
    <row r="31" spans="2:15" ht="14.25" x14ac:dyDescent="0.2">
      <c r="B31" s="50"/>
      <c r="C31" s="8"/>
      <c r="D31" s="8"/>
      <c r="E31" s="8"/>
      <c r="F31" s="58">
        <v>821300</v>
      </c>
      <c r="G31" s="69"/>
      <c r="H31" s="9" t="s">
        <v>14</v>
      </c>
      <c r="I31" s="116">
        <v>29000</v>
      </c>
      <c r="J31" s="54">
        <v>0</v>
      </c>
      <c r="K31" s="163">
        <f t="shared" si="11"/>
        <v>29000</v>
      </c>
      <c r="L31" s="116"/>
      <c r="M31" s="54"/>
      <c r="N31" s="203">
        <f t="shared" si="12"/>
        <v>0</v>
      </c>
      <c r="O31" s="224">
        <f t="shared" si="0"/>
        <v>0</v>
      </c>
    </row>
    <row r="32" spans="2:15" ht="14.25" x14ac:dyDescent="0.2">
      <c r="B32" s="50"/>
      <c r="C32" s="8"/>
      <c r="D32" s="8"/>
      <c r="E32" s="8"/>
      <c r="F32" s="58"/>
      <c r="G32" s="69"/>
      <c r="H32" s="9"/>
      <c r="I32" s="116"/>
      <c r="J32" s="54"/>
      <c r="K32" s="164"/>
      <c r="L32" s="116"/>
      <c r="M32" s="54"/>
      <c r="N32" s="204"/>
      <c r="O32" s="224" t="str">
        <f t="shared" si="0"/>
        <v/>
      </c>
    </row>
    <row r="33" spans="2:15" ht="15" x14ac:dyDescent="0.25">
      <c r="B33" s="51"/>
      <c r="C33" s="4"/>
      <c r="D33" s="4"/>
      <c r="E33" s="4"/>
      <c r="F33" s="57"/>
      <c r="G33" s="68"/>
      <c r="H33" s="10" t="s">
        <v>15</v>
      </c>
      <c r="I33" s="111" t="s">
        <v>381</v>
      </c>
      <c r="J33" s="47">
        <v>0</v>
      </c>
      <c r="K33" s="166" t="s">
        <v>381</v>
      </c>
      <c r="L33" s="110"/>
      <c r="M33" s="52"/>
      <c r="N33" s="205"/>
      <c r="O33" s="224"/>
    </row>
    <row r="34" spans="2:15" ht="15" x14ac:dyDescent="0.25">
      <c r="B34" s="51"/>
      <c r="C34" s="4"/>
      <c r="D34" s="4"/>
      <c r="E34" s="4"/>
      <c r="F34" s="57"/>
      <c r="G34" s="68"/>
      <c r="H34" s="4" t="s">
        <v>24</v>
      </c>
      <c r="I34" s="110">
        <f t="shared" ref="I34:N34" si="13">I11+I15+I18+I29</f>
        <v>1090620</v>
      </c>
      <c r="J34" s="52">
        <f t="shared" si="13"/>
        <v>0</v>
      </c>
      <c r="K34" s="165">
        <f t="shared" si="13"/>
        <v>1090620</v>
      </c>
      <c r="L34" s="110">
        <f t="shared" si="13"/>
        <v>0</v>
      </c>
      <c r="M34" s="52">
        <f t="shared" si="13"/>
        <v>0</v>
      </c>
      <c r="N34" s="205">
        <f t="shared" si="13"/>
        <v>0</v>
      </c>
      <c r="O34" s="228">
        <f t="shared" si="0"/>
        <v>0</v>
      </c>
    </row>
    <row r="35" spans="2:15" ht="15" x14ac:dyDescent="0.25">
      <c r="B35" s="51"/>
      <c r="C35" s="4"/>
      <c r="D35" s="4"/>
      <c r="E35" s="4"/>
      <c r="F35" s="57"/>
      <c r="G35" s="68"/>
      <c r="H35" s="4" t="s">
        <v>16</v>
      </c>
      <c r="I35" s="110">
        <f t="shared" ref="I35:N36" si="14">I34</f>
        <v>1090620</v>
      </c>
      <c r="J35" s="52">
        <f t="shared" si="14"/>
        <v>0</v>
      </c>
      <c r="K35" s="165">
        <f t="shared" si="14"/>
        <v>1090620</v>
      </c>
      <c r="L35" s="110">
        <f t="shared" si="14"/>
        <v>0</v>
      </c>
      <c r="M35" s="52">
        <f t="shared" si="14"/>
        <v>0</v>
      </c>
      <c r="N35" s="205">
        <f t="shared" si="14"/>
        <v>0</v>
      </c>
      <c r="O35" s="228">
        <f t="shared" si="0"/>
        <v>0</v>
      </c>
    </row>
    <row r="36" spans="2:15" ht="15" x14ac:dyDescent="0.25">
      <c r="B36" s="51"/>
      <c r="C36" s="4"/>
      <c r="D36" s="4"/>
      <c r="E36" s="4"/>
      <c r="F36" s="57"/>
      <c r="G36" s="68"/>
      <c r="H36" s="4" t="s">
        <v>17</v>
      </c>
      <c r="I36" s="110">
        <f t="shared" si="14"/>
        <v>1090620</v>
      </c>
      <c r="J36" s="52">
        <f t="shared" si="14"/>
        <v>0</v>
      </c>
      <c r="K36" s="165">
        <f t="shared" si="14"/>
        <v>1090620</v>
      </c>
      <c r="L36" s="110">
        <f t="shared" si="14"/>
        <v>0</v>
      </c>
      <c r="M36" s="52">
        <f t="shared" si="14"/>
        <v>0</v>
      </c>
      <c r="N36" s="205">
        <f t="shared" si="14"/>
        <v>0</v>
      </c>
      <c r="O36" s="228">
        <f t="shared" si="0"/>
        <v>0</v>
      </c>
    </row>
    <row r="37" spans="2:15" ht="15" thickBot="1" x14ac:dyDescent="0.25">
      <c r="B37" s="6"/>
      <c r="C37" s="7"/>
      <c r="D37" s="7"/>
      <c r="E37" s="7"/>
      <c r="F37" s="59"/>
      <c r="G37" s="70"/>
      <c r="H37" s="7"/>
      <c r="I37" s="112"/>
      <c r="J37" s="13"/>
      <c r="K37" s="167"/>
      <c r="L37" s="184"/>
      <c r="M37" s="13"/>
      <c r="N37" s="207"/>
      <c r="O37" s="227"/>
    </row>
    <row r="38" spans="2:15" ht="14.25" x14ac:dyDescent="0.2">
      <c r="F38" s="60"/>
      <c r="G38" s="71"/>
      <c r="I38" s="20"/>
      <c r="J38" s="20"/>
      <c r="K38" s="92"/>
      <c r="L38" s="20"/>
      <c r="M38" s="20"/>
      <c r="N38" s="92"/>
      <c r="O38" s="233" t="str">
        <f t="shared" ref="O38" si="15">IF(K38=0,"",N38/K38*100)</f>
        <v/>
      </c>
    </row>
  </sheetData>
  <mergeCells count="14">
    <mergeCell ref="H7:H8"/>
    <mergeCell ref="I7:K7"/>
    <mergeCell ref="L7:N7"/>
    <mergeCell ref="O7:O8"/>
    <mergeCell ref="B1:N1"/>
    <mergeCell ref="F3:K3"/>
    <mergeCell ref="D5:E5"/>
    <mergeCell ref="H6:I6"/>
    <mergeCell ref="B7:B8"/>
    <mergeCell ref="C7:C8"/>
    <mergeCell ref="D7:D8"/>
    <mergeCell ref="E7:E8"/>
    <mergeCell ref="F7:F8"/>
    <mergeCell ref="G7:G8"/>
  </mergeCells>
  <pageMargins left="0.39370078740157483" right="0.39370078740157483" top="0.39370078740157483" bottom="0.39370078740157483" header="0.31496062992125984" footer="0.31496062992125984"/>
  <pageSetup paperSize="9" scale="7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ist20"/>
  <dimension ref="B1:O38"/>
  <sheetViews>
    <sheetView topLeftCell="D1" zoomScaleNormal="100" workbookViewId="0">
      <selection activeCell="M13" sqref="M13"/>
    </sheetView>
  </sheetViews>
  <sheetFormatPr defaultColWidth="9.140625" defaultRowHeight="12.75" x14ac:dyDescent="0.2"/>
  <cols>
    <col min="1" max="1" width="6.140625" style="17" customWidth="1"/>
    <col min="2" max="2" width="4.7109375" style="17" customWidth="1"/>
    <col min="3" max="3" width="5.140625" style="17" customWidth="1"/>
    <col min="4" max="5" width="5" style="17" customWidth="1"/>
    <col min="6" max="7" width="8.7109375" style="53" customWidth="1"/>
    <col min="8" max="8" width="50.7109375" style="17" customWidth="1"/>
    <col min="9" max="9" width="11.7109375" style="17" customWidth="1"/>
    <col min="10" max="10" width="11.85546875" style="17" customWidth="1"/>
    <col min="11" max="11" width="13.5703125" style="17" customWidth="1"/>
    <col min="12" max="13" width="14.7109375" style="17" customWidth="1"/>
    <col min="14" max="14" width="15.7109375" style="17" customWidth="1"/>
    <col min="15" max="15" width="9.140625" style="17"/>
    <col min="16" max="16" width="9.5703125" style="17" bestFit="1" customWidth="1"/>
    <col min="17" max="16384" width="9.140625" style="17"/>
  </cols>
  <sheetData>
    <row r="1" spans="2:15" ht="15.75" x14ac:dyDescent="0.25">
      <c r="B1" s="428" t="s">
        <v>374</v>
      </c>
      <c r="C1" s="429"/>
      <c r="D1" s="429"/>
      <c r="E1" s="429"/>
      <c r="F1" s="429"/>
      <c r="G1" s="429"/>
      <c r="H1" s="429"/>
      <c r="I1" s="430"/>
      <c r="J1" s="430"/>
      <c r="K1" s="430"/>
      <c r="L1" s="430"/>
      <c r="M1" s="430"/>
      <c r="N1" s="430"/>
    </row>
    <row r="2" spans="2:15" x14ac:dyDescent="0.2">
      <c r="M2" s="126" t="s">
        <v>232</v>
      </c>
      <c r="N2" s="196"/>
    </row>
    <row r="3" spans="2:15" ht="15.75" x14ac:dyDescent="0.25">
      <c r="B3" s="180" t="s">
        <v>173</v>
      </c>
      <c r="F3" s="431" t="s">
        <v>65</v>
      </c>
      <c r="G3" s="432"/>
      <c r="H3" s="432"/>
      <c r="I3" s="432"/>
      <c r="J3" s="432"/>
      <c r="K3" s="432"/>
    </row>
    <row r="4" spans="2:15" x14ac:dyDescent="0.2">
      <c r="B4" s="180"/>
      <c r="G4"/>
      <c r="H4"/>
      <c r="I4"/>
      <c r="J4"/>
      <c r="K4"/>
    </row>
    <row r="5" spans="2:15" ht="15.75" x14ac:dyDescent="0.25">
      <c r="B5" s="180" t="s">
        <v>172</v>
      </c>
      <c r="D5" s="433">
        <v>28</v>
      </c>
      <c r="E5" s="434"/>
      <c r="F5" s="181"/>
      <c r="G5" s="181"/>
      <c r="I5" s="180"/>
      <c r="L5" s="411"/>
    </row>
    <row r="6" spans="2:15" s="22" customFormat="1" ht="16.5" thickBot="1" x14ac:dyDescent="0.3">
      <c r="F6" s="48"/>
      <c r="G6" s="48"/>
      <c r="H6" s="435"/>
      <c r="I6" s="435"/>
      <c r="J6" s="26"/>
      <c r="K6" s="26"/>
      <c r="L6" s="26"/>
      <c r="M6" s="26"/>
      <c r="N6" s="26"/>
    </row>
    <row r="7" spans="2:15" s="22" customFormat="1" ht="32.25" customHeight="1" x14ac:dyDescent="0.2">
      <c r="B7" s="436" t="s">
        <v>0</v>
      </c>
      <c r="C7" s="438" t="s">
        <v>1</v>
      </c>
      <c r="D7" s="438" t="s">
        <v>21</v>
      </c>
      <c r="E7" s="438" t="s">
        <v>135</v>
      </c>
      <c r="F7" s="421" t="s">
        <v>85</v>
      </c>
      <c r="G7" s="440" t="s">
        <v>88</v>
      </c>
      <c r="H7" s="421" t="s">
        <v>2</v>
      </c>
      <c r="I7" s="423" t="s">
        <v>375</v>
      </c>
      <c r="J7" s="424"/>
      <c r="K7" s="425"/>
      <c r="L7" s="423" t="s">
        <v>373</v>
      </c>
      <c r="M7" s="424"/>
      <c r="N7" s="424"/>
      <c r="O7" s="426" t="s">
        <v>258</v>
      </c>
    </row>
    <row r="8" spans="2:15" s="22" customFormat="1" ht="25.5" x14ac:dyDescent="0.2">
      <c r="B8" s="437"/>
      <c r="C8" s="439"/>
      <c r="D8" s="439"/>
      <c r="E8" s="439"/>
      <c r="F8" s="422"/>
      <c r="G8" s="439"/>
      <c r="H8" s="422"/>
      <c r="I8" s="105" t="s">
        <v>117</v>
      </c>
      <c r="J8" s="85" t="s">
        <v>118</v>
      </c>
      <c r="K8" s="159" t="s">
        <v>81</v>
      </c>
      <c r="L8" s="105" t="s">
        <v>117</v>
      </c>
      <c r="M8" s="85" t="s">
        <v>118</v>
      </c>
      <c r="N8" s="200" t="s">
        <v>81</v>
      </c>
      <c r="O8" s="427"/>
    </row>
    <row r="9" spans="2:15" s="48" customFormat="1" x14ac:dyDescent="0.2">
      <c r="B9" s="97">
        <v>1</v>
      </c>
      <c r="C9" s="68">
        <v>2</v>
      </c>
      <c r="D9" s="68">
        <v>3</v>
      </c>
      <c r="E9" s="68">
        <v>4</v>
      </c>
      <c r="F9" s="68">
        <v>5</v>
      </c>
      <c r="G9" s="68">
        <v>6</v>
      </c>
      <c r="H9" s="68">
        <v>7</v>
      </c>
      <c r="I9" s="97">
        <v>8</v>
      </c>
      <c r="J9" s="68">
        <v>9</v>
      </c>
      <c r="K9" s="160" t="s">
        <v>171</v>
      </c>
      <c r="L9" s="97">
        <v>11</v>
      </c>
      <c r="M9" s="68">
        <v>12</v>
      </c>
      <c r="N9" s="68" t="s">
        <v>394</v>
      </c>
      <c r="O9" s="232" t="s">
        <v>395</v>
      </c>
    </row>
    <row r="10" spans="2:15" ht="15" x14ac:dyDescent="0.25">
      <c r="B10" s="2" t="s">
        <v>64</v>
      </c>
      <c r="C10" s="3" t="s">
        <v>3</v>
      </c>
      <c r="D10" s="3" t="s">
        <v>4</v>
      </c>
      <c r="E10" s="136" t="s">
        <v>141</v>
      </c>
      <c r="F10" s="49"/>
      <c r="G10" s="49"/>
      <c r="H10" s="182" t="s">
        <v>201</v>
      </c>
      <c r="I10" s="115"/>
      <c r="J10" s="23"/>
      <c r="K10" s="168"/>
      <c r="L10" s="115"/>
      <c r="M10" s="23"/>
      <c r="N10" s="217"/>
      <c r="O10" s="224" t="str">
        <f t="shared" ref="O10:O36" si="0">IF(K10=0,"",N10/K10*100)</f>
        <v/>
      </c>
    </row>
    <row r="11" spans="2:15" ht="15" x14ac:dyDescent="0.25">
      <c r="B11" s="51"/>
      <c r="C11" s="4"/>
      <c r="D11" s="4"/>
      <c r="E11" s="4"/>
      <c r="F11" s="57">
        <v>611000</v>
      </c>
      <c r="G11" s="68"/>
      <c r="H11" s="10" t="s">
        <v>57</v>
      </c>
      <c r="I11" s="106">
        <f>SUM(I12:I13)</f>
        <v>662830</v>
      </c>
      <c r="J11" s="32">
        <f t="shared" ref="J11:N11" si="1">SUM(J12:J13)</f>
        <v>0</v>
      </c>
      <c r="K11" s="162">
        <f t="shared" si="1"/>
        <v>662830</v>
      </c>
      <c r="L11" s="106">
        <f t="shared" si="1"/>
        <v>0</v>
      </c>
      <c r="M11" s="32">
        <f t="shared" si="1"/>
        <v>0</v>
      </c>
      <c r="N11" s="202">
        <f t="shared" si="1"/>
        <v>0</v>
      </c>
      <c r="O11" s="228">
        <f t="shared" si="0"/>
        <v>0</v>
      </c>
    </row>
    <row r="12" spans="2:15" ht="14.25" x14ac:dyDescent="0.2">
      <c r="B12" s="50"/>
      <c r="C12" s="8"/>
      <c r="D12" s="8"/>
      <c r="E12" s="8"/>
      <c r="F12" s="58">
        <v>611100</v>
      </c>
      <c r="G12" s="69"/>
      <c r="H12" s="9" t="s">
        <v>68</v>
      </c>
      <c r="I12" s="119">
        <f>488650+12*3000+9*3000+28800</f>
        <v>580450</v>
      </c>
      <c r="J12" s="34">
        <v>0</v>
      </c>
      <c r="K12" s="163">
        <f>SUM(I12:J12)</f>
        <v>580450</v>
      </c>
      <c r="L12" s="119"/>
      <c r="M12" s="34"/>
      <c r="N12" s="203">
        <f>SUM(L12:M12)</f>
        <v>0</v>
      </c>
      <c r="O12" s="224">
        <f t="shared" si="0"/>
        <v>0</v>
      </c>
    </row>
    <row r="13" spans="2:15" ht="14.25" x14ac:dyDescent="0.2">
      <c r="B13" s="50"/>
      <c r="C13" s="8"/>
      <c r="D13" s="8"/>
      <c r="E13" s="8"/>
      <c r="F13" s="58">
        <v>611200</v>
      </c>
      <c r="G13" s="69"/>
      <c r="H13" s="9" t="s">
        <v>69</v>
      </c>
      <c r="I13" s="119">
        <f>70400+850+5550+850+4730</f>
        <v>82380</v>
      </c>
      <c r="J13" s="34">
        <v>0</v>
      </c>
      <c r="K13" s="163">
        <f t="shared" ref="K13" si="2">SUM(I13:J13)</f>
        <v>82380</v>
      </c>
      <c r="L13" s="119"/>
      <c r="M13" s="34"/>
      <c r="N13" s="203">
        <f t="shared" ref="N13" si="3">SUM(L13:M13)</f>
        <v>0</v>
      </c>
      <c r="O13" s="224">
        <f t="shared" si="0"/>
        <v>0</v>
      </c>
    </row>
    <row r="14" spans="2:15" ht="15" x14ac:dyDescent="0.25">
      <c r="B14" s="50"/>
      <c r="C14" s="8"/>
      <c r="D14" s="8"/>
      <c r="E14" s="8"/>
      <c r="F14" s="58"/>
      <c r="G14" s="69"/>
      <c r="H14" s="9"/>
      <c r="I14" s="106"/>
      <c r="J14" s="32"/>
      <c r="K14" s="162"/>
      <c r="L14" s="106"/>
      <c r="M14" s="32"/>
      <c r="N14" s="202"/>
      <c r="O14" s="224" t="str">
        <f t="shared" si="0"/>
        <v/>
      </c>
    </row>
    <row r="15" spans="2:15" ht="15" x14ac:dyDescent="0.25">
      <c r="B15" s="51"/>
      <c r="C15" s="4"/>
      <c r="D15" s="4"/>
      <c r="E15" s="4"/>
      <c r="F15" s="57">
        <v>612000</v>
      </c>
      <c r="G15" s="68"/>
      <c r="H15" s="10" t="s">
        <v>56</v>
      </c>
      <c r="I15" s="106">
        <f t="shared" ref="I15" si="4">I16</f>
        <v>29650</v>
      </c>
      <c r="J15" s="32">
        <f t="shared" ref="J15:N15" si="5">J16</f>
        <v>0</v>
      </c>
      <c r="K15" s="162">
        <f t="shared" si="5"/>
        <v>29650</v>
      </c>
      <c r="L15" s="106">
        <f t="shared" si="5"/>
        <v>0</v>
      </c>
      <c r="M15" s="32">
        <f t="shared" si="5"/>
        <v>0</v>
      </c>
      <c r="N15" s="202">
        <f t="shared" si="5"/>
        <v>0</v>
      </c>
      <c r="O15" s="228">
        <f t="shared" si="0"/>
        <v>0</v>
      </c>
    </row>
    <row r="16" spans="2:15" ht="14.25" x14ac:dyDescent="0.2">
      <c r="B16" s="50"/>
      <c r="C16" s="8"/>
      <c r="D16" s="8"/>
      <c r="E16" s="8"/>
      <c r="F16" s="58">
        <v>612100</v>
      </c>
      <c r="G16" s="69"/>
      <c r="H16" s="145" t="s">
        <v>5</v>
      </c>
      <c r="I16" s="119">
        <f>24970+12*150+9*150+1530</f>
        <v>29650</v>
      </c>
      <c r="J16" s="34">
        <v>0</v>
      </c>
      <c r="K16" s="163">
        <f>SUM(I16:J16)</f>
        <v>29650</v>
      </c>
      <c r="L16" s="119"/>
      <c r="M16" s="34"/>
      <c r="N16" s="203">
        <f>SUM(L16:M16)</f>
        <v>0</v>
      </c>
      <c r="O16" s="224">
        <f t="shared" si="0"/>
        <v>0</v>
      </c>
    </row>
    <row r="17" spans="2:15" ht="14.25" x14ac:dyDescent="0.2">
      <c r="B17" s="50"/>
      <c r="C17" s="8"/>
      <c r="D17" s="8"/>
      <c r="E17" s="8"/>
      <c r="F17" s="58"/>
      <c r="G17" s="69"/>
      <c r="H17" s="9"/>
      <c r="I17" s="116"/>
      <c r="J17" s="54"/>
      <c r="K17" s="164"/>
      <c r="L17" s="116"/>
      <c r="M17" s="54"/>
      <c r="N17" s="204"/>
      <c r="O17" s="224" t="str">
        <f t="shared" si="0"/>
        <v/>
      </c>
    </row>
    <row r="18" spans="2:15" ht="15" x14ac:dyDescent="0.25">
      <c r="B18" s="51"/>
      <c r="C18" s="4"/>
      <c r="D18" s="4"/>
      <c r="E18" s="4"/>
      <c r="F18" s="57">
        <v>613000</v>
      </c>
      <c r="G18" s="68"/>
      <c r="H18" s="10" t="s">
        <v>58</v>
      </c>
      <c r="I18" s="109">
        <f>SUM(I19:I27)</f>
        <v>33300</v>
      </c>
      <c r="J18" s="55">
        <f t="shared" ref="J18:N18" si="6">SUM(J19:J27)</f>
        <v>0</v>
      </c>
      <c r="K18" s="165">
        <f t="shared" si="6"/>
        <v>33300</v>
      </c>
      <c r="L18" s="109">
        <f t="shared" si="6"/>
        <v>0</v>
      </c>
      <c r="M18" s="55">
        <f t="shared" si="6"/>
        <v>0</v>
      </c>
      <c r="N18" s="205">
        <f t="shared" si="6"/>
        <v>0</v>
      </c>
      <c r="O18" s="228">
        <f t="shared" si="0"/>
        <v>0</v>
      </c>
    </row>
    <row r="19" spans="2:15" ht="14.25" x14ac:dyDescent="0.2">
      <c r="B19" s="50"/>
      <c r="C19" s="8"/>
      <c r="D19" s="8"/>
      <c r="E19" s="8"/>
      <c r="F19" s="58">
        <v>613100</v>
      </c>
      <c r="G19" s="69"/>
      <c r="H19" s="9" t="s">
        <v>6</v>
      </c>
      <c r="I19" s="100">
        <v>1200</v>
      </c>
      <c r="J19" s="84">
        <v>0</v>
      </c>
      <c r="K19" s="163">
        <f t="shared" ref="K19:K27" si="7">SUM(I19:J19)</f>
        <v>1200</v>
      </c>
      <c r="L19" s="100"/>
      <c r="M19" s="84"/>
      <c r="N19" s="203">
        <f t="shared" ref="N19:N27" si="8">SUM(L19:M19)</f>
        <v>0</v>
      </c>
      <c r="O19" s="224">
        <f t="shared" si="0"/>
        <v>0</v>
      </c>
    </row>
    <row r="20" spans="2:15" ht="14.25" x14ac:dyDescent="0.2">
      <c r="B20" s="50"/>
      <c r="C20" s="8"/>
      <c r="D20" s="8"/>
      <c r="E20" s="8"/>
      <c r="F20" s="58">
        <v>613200</v>
      </c>
      <c r="G20" s="69"/>
      <c r="H20" s="9" t="s">
        <v>7</v>
      </c>
      <c r="I20" s="100">
        <v>7000</v>
      </c>
      <c r="J20" s="84">
        <v>0</v>
      </c>
      <c r="K20" s="163">
        <f t="shared" si="7"/>
        <v>7000</v>
      </c>
      <c r="L20" s="100"/>
      <c r="M20" s="84"/>
      <c r="N20" s="203">
        <f t="shared" si="8"/>
        <v>0</v>
      </c>
      <c r="O20" s="224">
        <f t="shared" si="0"/>
        <v>0</v>
      </c>
    </row>
    <row r="21" spans="2:15" ht="14.25" x14ac:dyDescent="0.2">
      <c r="B21" s="50"/>
      <c r="C21" s="8"/>
      <c r="D21" s="8"/>
      <c r="E21" s="8"/>
      <c r="F21" s="58">
        <v>613300</v>
      </c>
      <c r="G21" s="69"/>
      <c r="H21" s="9" t="s">
        <v>70</v>
      </c>
      <c r="I21" s="100">
        <v>6000</v>
      </c>
      <c r="J21" s="84">
        <v>0</v>
      </c>
      <c r="K21" s="163">
        <f t="shared" si="7"/>
        <v>6000</v>
      </c>
      <c r="L21" s="100"/>
      <c r="M21" s="84"/>
      <c r="N21" s="203">
        <f t="shared" si="8"/>
        <v>0</v>
      </c>
      <c r="O21" s="224">
        <f t="shared" si="0"/>
        <v>0</v>
      </c>
    </row>
    <row r="22" spans="2:15" ht="14.25" x14ac:dyDescent="0.2">
      <c r="B22" s="50"/>
      <c r="C22" s="8"/>
      <c r="D22" s="8"/>
      <c r="E22" s="8"/>
      <c r="F22" s="58">
        <v>613400</v>
      </c>
      <c r="G22" s="69"/>
      <c r="H22" s="9" t="s">
        <v>59</v>
      </c>
      <c r="I22" s="100">
        <v>1000</v>
      </c>
      <c r="J22" s="84">
        <v>0</v>
      </c>
      <c r="K22" s="163">
        <f t="shared" si="7"/>
        <v>1000</v>
      </c>
      <c r="L22" s="100"/>
      <c r="M22" s="84"/>
      <c r="N22" s="203">
        <f t="shared" si="8"/>
        <v>0</v>
      </c>
      <c r="O22" s="224">
        <f t="shared" si="0"/>
        <v>0</v>
      </c>
    </row>
    <row r="23" spans="2:15" ht="14.25" x14ac:dyDescent="0.2">
      <c r="B23" s="50"/>
      <c r="C23" s="8"/>
      <c r="D23" s="8"/>
      <c r="E23" s="8"/>
      <c r="F23" s="58">
        <v>613500</v>
      </c>
      <c r="G23" s="69"/>
      <c r="H23" s="9" t="s">
        <v>8</v>
      </c>
      <c r="I23" s="100">
        <v>7000</v>
      </c>
      <c r="J23" s="84">
        <v>0</v>
      </c>
      <c r="K23" s="163">
        <f t="shared" si="7"/>
        <v>7000</v>
      </c>
      <c r="L23" s="100"/>
      <c r="M23" s="84"/>
      <c r="N23" s="203">
        <f t="shared" si="8"/>
        <v>0</v>
      </c>
      <c r="O23" s="224">
        <f t="shared" si="0"/>
        <v>0</v>
      </c>
    </row>
    <row r="24" spans="2:15" ht="14.25" x14ac:dyDescent="0.2">
      <c r="B24" s="50"/>
      <c r="C24" s="8"/>
      <c r="D24" s="8"/>
      <c r="E24" s="8"/>
      <c r="F24" s="58">
        <v>613600</v>
      </c>
      <c r="G24" s="69"/>
      <c r="H24" s="9" t="s">
        <v>71</v>
      </c>
      <c r="I24" s="100">
        <v>0</v>
      </c>
      <c r="J24" s="84">
        <v>0</v>
      </c>
      <c r="K24" s="163">
        <f t="shared" si="7"/>
        <v>0</v>
      </c>
      <c r="L24" s="100"/>
      <c r="M24" s="84"/>
      <c r="N24" s="203">
        <f t="shared" si="8"/>
        <v>0</v>
      </c>
      <c r="O24" s="224" t="str">
        <f t="shared" si="0"/>
        <v/>
      </c>
    </row>
    <row r="25" spans="2:15" ht="14.25" x14ac:dyDescent="0.2">
      <c r="B25" s="50"/>
      <c r="C25" s="8"/>
      <c r="D25" s="8"/>
      <c r="E25" s="8"/>
      <c r="F25" s="58">
        <v>613700</v>
      </c>
      <c r="G25" s="69"/>
      <c r="H25" s="9" t="s">
        <v>9</v>
      </c>
      <c r="I25" s="100">
        <v>4000</v>
      </c>
      <c r="J25" s="84">
        <v>0</v>
      </c>
      <c r="K25" s="163">
        <f t="shared" si="7"/>
        <v>4000</v>
      </c>
      <c r="L25" s="100"/>
      <c r="M25" s="84"/>
      <c r="N25" s="203">
        <f t="shared" si="8"/>
        <v>0</v>
      </c>
      <c r="O25" s="224">
        <f t="shared" si="0"/>
        <v>0</v>
      </c>
    </row>
    <row r="26" spans="2:15" ht="14.25" x14ac:dyDescent="0.2">
      <c r="B26" s="50"/>
      <c r="C26" s="8"/>
      <c r="D26" s="8"/>
      <c r="E26" s="8"/>
      <c r="F26" s="58">
        <v>613800</v>
      </c>
      <c r="G26" s="69"/>
      <c r="H26" s="9" t="s">
        <v>60</v>
      </c>
      <c r="I26" s="100">
        <v>2100</v>
      </c>
      <c r="J26" s="84">
        <v>0</v>
      </c>
      <c r="K26" s="163">
        <f t="shared" si="7"/>
        <v>2100</v>
      </c>
      <c r="L26" s="100"/>
      <c r="M26" s="84"/>
      <c r="N26" s="203">
        <f t="shared" si="8"/>
        <v>0</v>
      </c>
      <c r="O26" s="224">
        <f t="shared" si="0"/>
        <v>0</v>
      </c>
    </row>
    <row r="27" spans="2:15" ht="14.25" x14ac:dyDescent="0.2">
      <c r="B27" s="50"/>
      <c r="C27" s="8"/>
      <c r="D27" s="8"/>
      <c r="E27" s="8"/>
      <c r="F27" s="58">
        <v>613900</v>
      </c>
      <c r="G27" s="69"/>
      <c r="H27" s="9" t="s">
        <v>61</v>
      </c>
      <c r="I27" s="100">
        <v>5000</v>
      </c>
      <c r="J27" s="84">
        <v>0</v>
      </c>
      <c r="K27" s="163">
        <f t="shared" si="7"/>
        <v>5000</v>
      </c>
      <c r="L27" s="100"/>
      <c r="M27" s="84"/>
      <c r="N27" s="203">
        <f t="shared" si="8"/>
        <v>0</v>
      </c>
      <c r="O27" s="224">
        <f t="shared" si="0"/>
        <v>0</v>
      </c>
    </row>
    <row r="28" spans="2:15" ht="14.25" x14ac:dyDescent="0.2">
      <c r="B28" s="51"/>
      <c r="C28" s="4"/>
      <c r="D28" s="4"/>
      <c r="E28" s="4"/>
      <c r="F28" s="57"/>
      <c r="G28" s="68"/>
      <c r="H28" s="10"/>
      <c r="I28" s="116"/>
      <c r="J28" s="54"/>
      <c r="K28" s="164"/>
      <c r="L28" s="116"/>
      <c r="M28" s="54"/>
      <c r="N28" s="204"/>
      <c r="O28" s="224" t="str">
        <f t="shared" si="0"/>
        <v/>
      </c>
    </row>
    <row r="29" spans="2:15" ht="15" x14ac:dyDescent="0.25">
      <c r="B29" s="51"/>
      <c r="C29" s="4"/>
      <c r="D29" s="4"/>
      <c r="E29" s="4"/>
      <c r="F29" s="57">
        <v>821000</v>
      </c>
      <c r="G29" s="68"/>
      <c r="H29" s="10" t="s">
        <v>12</v>
      </c>
      <c r="I29" s="110">
        <f t="shared" ref="I29" si="9">SUM(I30:I31)</f>
        <v>1500</v>
      </c>
      <c r="J29" s="52">
        <f t="shared" ref="J29:N29" si="10">SUM(J30:J31)</f>
        <v>0</v>
      </c>
      <c r="K29" s="165">
        <f t="shared" si="10"/>
        <v>1500</v>
      </c>
      <c r="L29" s="110">
        <f t="shared" si="10"/>
        <v>0</v>
      </c>
      <c r="M29" s="52">
        <f t="shared" si="10"/>
        <v>0</v>
      </c>
      <c r="N29" s="205">
        <f t="shared" si="10"/>
        <v>0</v>
      </c>
      <c r="O29" s="228">
        <f t="shared" si="0"/>
        <v>0</v>
      </c>
    </row>
    <row r="30" spans="2:15" ht="14.25" x14ac:dyDescent="0.2">
      <c r="B30" s="50"/>
      <c r="C30" s="8"/>
      <c r="D30" s="8"/>
      <c r="E30" s="8"/>
      <c r="F30" s="58">
        <v>821200</v>
      </c>
      <c r="G30" s="69"/>
      <c r="H30" s="9" t="s">
        <v>13</v>
      </c>
      <c r="I30" s="116">
        <v>0</v>
      </c>
      <c r="J30" s="54">
        <v>0</v>
      </c>
      <c r="K30" s="163">
        <f t="shared" ref="K30:K31" si="11">SUM(I30:J30)</f>
        <v>0</v>
      </c>
      <c r="L30" s="116"/>
      <c r="M30" s="54"/>
      <c r="N30" s="203">
        <f t="shared" ref="N30:N31" si="12">SUM(L30:M30)</f>
        <v>0</v>
      </c>
      <c r="O30" s="224" t="str">
        <f t="shared" si="0"/>
        <v/>
      </c>
    </row>
    <row r="31" spans="2:15" ht="14.25" x14ac:dyDescent="0.2">
      <c r="B31" s="50"/>
      <c r="C31" s="8"/>
      <c r="D31" s="8"/>
      <c r="E31" s="8"/>
      <c r="F31" s="58">
        <v>821300</v>
      </c>
      <c r="G31" s="69"/>
      <c r="H31" s="9" t="s">
        <v>14</v>
      </c>
      <c r="I31" s="116">
        <v>1500</v>
      </c>
      <c r="J31" s="54">
        <v>0</v>
      </c>
      <c r="K31" s="163">
        <f t="shared" si="11"/>
        <v>1500</v>
      </c>
      <c r="L31" s="116"/>
      <c r="M31" s="54"/>
      <c r="N31" s="203">
        <f t="shared" si="12"/>
        <v>0</v>
      </c>
      <c r="O31" s="224">
        <f t="shared" si="0"/>
        <v>0</v>
      </c>
    </row>
    <row r="32" spans="2:15" ht="14.25" x14ac:dyDescent="0.2">
      <c r="B32" s="50"/>
      <c r="C32" s="8"/>
      <c r="D32" s="8"/>
      <c r="E32" s="8"/>
      <c r="F32" s="58"/>
      <c r="G32" s="69"/>
      <c r="H32" s="9"/>
      <c r="I32" s="116"/>
      <c r="J32" s="54"/>
      <c r="K32" s="164"/>
      <c r="L32" s="116"/>
      <c r="M32" s="54"/>
      <c r="N32" s="204"/>
      <c r="O32" s="224" t="str">
        <f t="shared" si="0"/>
        <v/>
      </c>
    </row>
    <row r="33" spans="2:15" ht="15" x14ac:dyDescent="0.25">
      <c r="B33" s="51"/>
      <c r="C33" s="4"/>
      <c r="D33" s="4"/>
      <c r="E33" s="4"/>
      <c r="F33" s="57"/>
      <c r="G33" s="68"/>
      <c r="H33" s="10" t="s">
        <v>15</v>
      </c>
      <c r="I33" s="110">
        <v>14</v>
      </c>
      <c r="J33" s="52"/>
      <c r="K33" s="165">
        <v>14</v>
      </c>
      <c r="L33" s="110"/>
      <c r="M33" s="52"/>
      <c r="N33" s="205"/>
      <c r="O33" s="224"/>
    </row>
    <row r="34" spans="2:15" ht="15" x14ac:dyDescent="0.25">
      <c r="B34" s="51"/>
      <c r="C34" s="4"/>
      <c r="D34" s="4"/>
      <c r="E34" s="4"/>
      <c r="F34" s="57"/>
      <c r="G34" s="68"/>
      <c r="H34" s="4" t="s">
        <v>24</v>
      </c>
      <c r="I34" s="110">
        <f t="shared" ref="I34:N34" si="13">I11+I15+I18+I29</f>
        <v>727280</v>
      </c>
      <c r="J34" s="52">
        <f t="shared" si="13"/>
        <v>0</v>
      </c>
      <c r="K34" s="165">
        <f t="shared" si="13"/>
        <v>727280</v>
      </c>
      <c r="L34" s="110">
        <f t="shared" si="13"/>
        <v>0</v>
      </c>
      <c r="M34" s="52">
        <f t="shared" si="13"/>
        <v>0</v>
      </c>
      <c r="N34" s="205">
        <f t="shared" si="13"/>
        <v>0</v>
      </c>
      <c r="O34" s="228">
        <f t="shared" si="0"/>
        <v>0</v>
      </c>
    </row>
    <row r="35" spans="2:15" ht="15" x14ac:dyDescent="0.25">
      <c r="B35" s="51"/>
      <c r="C35" s="4"/>
      <c r="D35" s="4"/>
      <c r="E35" s="4"/>
      <c r="F35" s="57"/>
      <c r="G35" s="68"/>
      <c r="H35" s="4" t="s">
        <v>16</v>
      </c>
      <c r="I35" s="110">
        <f t="shared" ref="I35:N36" si="14">I34</f>
        <v>727280</v>
      </c>
      <c r="J35" s="52">
        <f t="shared" si="14"/>
        <v>0</v>
      </c>
      <c r="K35" s="165">
        <f t="shared" si="14"/>
        <v>727280</v>
      </c>
      <c r="L35" s="110">
        <f t="shared" si="14"/>
        <v>0</v>
      </c>
      <c r="M35" s="52">
        <f t="shared" si="14"/>
        <v>0</v>
      </c>
      <c r="N35" s="205">
        <f t="shared" si="14"/>
        <v>0</v>
      </c>
      <c r="O35" s="228">
        <f t="shared" si="0"/>
        <v>0</v>
      </c>
    </row>
    <row r="36" spans="2:15" ht="15" x14ac:dyDescent="0.25">
      <c r="B36" s="51"/>
      <c r="C36" s="4"/>
      <c r="D36" s="4"/>
      <c r="E36" s="4"/>
      <c r="F36" s="57"/>
      <c r="G36" s="68"/>
      <c r="H36" s="4" t="s">
        <v>17</v>
      </c>
      <c r="I36" s="110">
        <f t="shared" si="14"/>
        <v>727280</v>
      </c>
      <c r="J36" s="52">
        <f t="shared" si="14"/>
        <v>0</v>
      </c>
      <c r="K36" s="165">
        <f t="shared" si="14"/>
        <v>727280</v>
      </c>
      <c r="L36" s="110">
        <f t="shared" si="14"/>
        <v>0</v>
      </c>
      <c r="M36" s="52">
        <f t="shared" si="14"/>
        <v>0</v>
      </c>
      <c r="N36" s="205">
        <f t="shared" si="14"/>
        <v>0</v>
      </c>
      <c r="O36" s="228">
        <f t="shared" si="0"/>
        <v>0</v>
      </c>
    </row>
    <row r="37" spans="2:15" ht="15" thickBot="1" x14ac:dyDescent="0.25">
      <c r="B37" s="6"/>
      <c r="C37" s="7"/>
      <c r="D37" s="7"/>
      <c r="E37" s="7"/>
      <c r="F37" s="59"/>
      <c r="G37" s="70"/>
      <c r="H37" s="7"/>
      <c r="I37" s="112"/>
      <c r="J37" s="13"/>
      <c r="K37" s="167"/>
      <c r="L37" s="184"/>
      <c r="M37" s="13"/>
      <c r="N37" s="207"/>
      <c r="O37" s="227"/>
    </row>
    <row r="38" spans="2:15" ht="14.25" x14ac:dyDescent="0.2">
      <c r="F38" s="60"/>
      <c r="G38" s="71"/>
      <c r="I38" s="20"/>
      <c r="J38" s="20"/>
      <c r="K38" s="92"/>
      <c r="L38" s="20"/>
      <c r="M38" s="20"/>
      <c r="N38" s="92"/>
    </row>
  </sheetData>
  <mergeCells count="14">
    <mergeCell ref="H7:H8"/>
    <mergeCell ref="I7:K7"/>
    <mergeCell ref="L7:N7"/>
    <mergeCell ref="O7:O8"/>
    <mergeCell ref="B1:N1"/>
    <mergeCell ref="F3:K3"/>
    <mergeCell ref="D5:E5"/>
    <mergeCell ref="H6:I6"/>
    <mergeCell ref="B7:B8"/>
    <mergeCell ref="C7:C8"/>
    <mergeCell ref="D7:D8"/>
    <mergeCell ref="E7:E8"/>
    <mergeCell ref="F7:F8"/>
    <mergeCell ref="G7:G8"/>
  </mergeCells>
  <pageMargins left="0.39370078740157483" right="0.39370078740157483" top="0.39370078740157483" bottom="0.39370078740157483" header="0.31496062992125984" footer="0.31496062992125984"/>
  <pageSetup paperSize="9" scale="7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P132"/>
  <sheetViews>
    <sheetView topLeftCell="C90" workbookViewId="0">
      <selection activeCell="K107" sqref="K107"/>
    </sheetView>
  </sheetViews>
  <sheetFormatPr defaultColWidth="9.140625" defaultRowHeight="12" customHeight="1" x14ac:dyDescent="0.2"/>
  <cols>
    <col min="1" max="1" width="0.5703125" style="234" hidden="1" customWidth="1"/>
    <col min="2" max="2" width="5.7109375" style="234" hidden="1" customWidth="1"/>
    <col min="3" max="3" width="8.7109375" style="235" customWidth="1"/>
    <col min="4" max="4" width="7" style="235" customWidth="1"/>
    <col min="5" max="5" width="52.140625" style="234" customWidth="1"/>
    <col min="6" max="6" width="12.7109375" style="234" customWidth="1"/>
    <col min="7" max="7" width="12.42578125" style="234" customWidth="1"/>
    <col min="8" max="8" width="11.5703125" style="234" customWidth="1"/>
    <col min="9" max="9" width="12.7109375" style="234" customWidth="1"/>
    <col min="10" max="10" width="11" style="234" customWidth="1"/>
    <col min="11" max="11" width="14.7109375" style="234" customWidth="1"/>
    <col min="12" max="12" width="7.42578125" style="236" customWidth="1"/>
    <col min="13" max="13" width="9.140625" style="234"/>
    <col min="14" max="14" width="13.140625" style="234" bestFit="1" customWidth="1"/>
    <col min="15" max="16" width="10.140625" style="234" bestFit="1" customWidth="1"/>
    <col min="17" max="16384" width="9.140625" style="234"/>
  </cols>
  <sheetData>
    <row r="2" spans="2:16" ht="2.25" customHeight="1" x14ac:dyDescent="0.2"/>
    <row r="3" spans="2:16" s="237" customFormat="1" ht="30.75" customHeight="1" thickBot="1" x14ac:dyDescent="0.3">
      <c r="C3" s="441" t="s">
        <v>266</v>
      </c>
      <c r="D3" s="441"/>
      <c r="E3" s="441"/>
      <c r="F3" s="238"/>
      <c r="G3" s="238"/>
      <c r="H3" s="238"/>
      <c r="I3" s="238"/>
      <c r="J3" s="238"/>
      <c r="K3" s="442">
        <f>'10'!L5+'11'!L5+'12'!L5+'13'!L5+'14'!L5+'15'!L5+'16'!L5+'17'!L5+'18'!L5+'19'!L5+'20'!L5+'21'!L5+'22'!L5+'23'!L5+'24'!L5+'26'!L5+'27'!L5+'28'!L5</f>
        <v>0</v>
      </c>
      <c r="L3" s="443"/>
    </row>
    <row r="4" spans="2:16" s="237" customFormat="1" ht="39.75" customHeight="1" x14ac:dyDescent="0.2">
      <c r="B4" s="239" t="s">
        <v>0</v>
      </c>
      <c r="C4" s="444" t="s">
        <v>85</v>
      </c>
      <c r="D4" s="446" t="s">
        <v>88</v>
      </c>
      <c r="E4" s="448" t="s">
        <v>2</v>
      </c>
      <c r="F4" s="423" t="s">
        <v>353</v>
      </c>
      <c r="G4" s="424"/>
      <c r="H4" s="425"/>
      <c r="I4" s="450" t="s">
        <v>341</v>
      </c>
      <c r="J4" s="451"/>
      <c r="K4" s="451"/>
      <c r="L4" s="452" t="s">
        <v>258</v>
      </c>
    </row>
    <row r="5" spans="2:16" s="237" customFormat="1" ht="28.5" customHeight="1" x14ac:dyDescent="0.2">
      <c r="B5" s="240"/>
      <c r="C5" s="445"/>
      <c r="D5" s="447"/>
      <c r="E5" s="449"/>
      <c r="F5" s="105" t="s">
        <v>117</v>
      </c>
      <c r="G5" s="85" t="s">
        <v>118</v>
      </c>
      <c r="H5" s="159" t="s">
        <v>81</v>
      </c>
      <c r="I5" s="241" t="s">
        <v>117</v>
      </c>
      <c r="J5" s="242" t="s">
        <v>118</v>
      </c>
      <c r="K5" s="243" t="s">
        <v>81</v>
      </c>
      <c r="L5" s="453"/>
    </row>
    <row r="6" spans="2:16" s="244" customFormat="1" ht="14.1" customHeight="1" x14ac:dyDescent="0.2">
      <c r="B6" s="245">
        <v>1</v>
      </c>
      <c r="C6" s="246">
        <v>1</v>
      </c>
      <c r="D6" s="247"/>
      <c r="E6" s="248">
        <v>2</v>
      </c>
      <c r="F6" s="249">
        <v>3</v>
      </c>
      <c r="G6" s="249">
        <v>4</v>
      </c>
      <c r="H6" s="250">
        <v>5</v>
      </c>
      <c r="I6" s="246">
        <v>6</v>
      </c>
      <c r="J6" s="248">
        <v>7</v>
      </c>
      <c r="K6" s="250" t="s">
        <v>267</v>
      </c>
      <c r="L6" s="251" t="s">
        <v>268</v>
      </c>
    </row>
    <row r="7" spans="2:16" s="244" customFormat="1" ht="15" customHeight="1" x14ac:dyDescent="0.25">
      <c r="B7" s="245"/>
      <c r="C7" s="252"/>
      <c r="D7" s="253"/>
      <c r="E7" s="254" t="s">
        <v>269</v>
      </c>
      <c r="F7" s="255">
        <f t="shared" ref="F7:K7" si="0">F9+F15+F21+F25+F51+F92+F100+F104+F113</f>
        <v>74613179</v>
      </c>
      <c r="G7" s="256">
        <f t="shared" si="0"/>
        <v>6397117</v>
      </c>
      <c r="H7" s="257">
        <f t="shared" si="0"/>
        <v>81010296</v>
      </c>
      <c r="I7" s="258">
        <f t="shared" si="0"/>
        <v>0</v>
      </c>
      <c r="J7" s="255">
        <f t="shared" si="0"/>
        <v>0</v>
      </c>
      <c r="K7" s="259">
        <f t="shared" si="0"/>
        <v>0</v>
      </c>
      <c r="L7" s="260">
        <f>IF(H7=0,"",K7/H7*100)</f>
        <v>0</v>
      </c>
      <c r="N7" s="261"/>
    </row>
    <row r="8" spans="2:16" s="244" customFormat="1" ht="9" customHeight="1" x14ac:dyDescent="0.25">
      <c r="B8" s="245"/>
      <c r="C8" s="245"/>
      <c r="D8" s="247"/>
      <c r="E8" s="262"/>
      <c r="F8" s="263"/>
      <c r="G8" s="264"/>
      <c r="H8" s="265"/>
      <c r="I8" s="266"/>
      <c r="J8" s="263"/>
      <c r="K8" s="259"/>
      <c r="L8" s="267" t="str">
        <f>IF(F8=0,"",K8/F8*100)</f>
        <v/>
      </c>
      <c r="N8" s="268"/>
    </row>
    <row r="9" spans="2:16" s="244" customFormat="1" ht="15" customHeight="1" x14ac:dyDescent="0.25">
      <c r="B9" s="245"/>
      <c r="C9" s="269">
        <v>600000</v>
      </c>
      <c r="D9" s="270"/>
      <c r="E9" s="254" t="s">
        <v>30</v>
      </c>
      <c r="F9" s="255">
        <f>F10+F11+F12+F13</f>
        <v>730000</v>
      </c>
      <c r="G9" s="256">
        <f t="shared" ref="G9:H9" si="1">G10+G11+G12+G13</f>
        <v>0</v>
      </c>
      <c r="H9" s="257">
        <f t="shared" si="1"/>
        <v>730000</v>
      </c>
      <c r="I9" s="258">
        <f>I10+I11+I12+I13</f>
        <v>0</v>
      </c>
      <c r="J9" s="255">
        <f>J10+J11+J12+J13</f>
        <v>0</v>
      </c>
      <c r="K9" s="259">
        <f>K10+K11+K12+K13</f>
        <v>0</v>
      </c>
      <c r="L9" s="260">
        <f t="shared" ref="L9:L75" si="2">IF(H9=0,"",K9/H9*100)</f>
        <v>0</v>
      </c>
      <c r="N9" s="261"/>
    </row>
    <row r="10" spans="2:16" s="244" customFormat="1" ht="15" customHeight="1" x14ac:dyDescent="0.2">
      <c r="B10" s="245"/>
      <c r="C10" s="271">
        <v>600000</v>
      </c>
      <c r="D10" s="272"/>
      <c r="E10" s="273" t="s">
        <v>18</v>
      </c>
      <c r="F10" s="274">
        <f>'11'!I12</f>
        <v>650000</v>
      </c>
      <c r="G10" s="275">
        <f>'11'!J12</f>
        <v>0</v>
      </c>
      <c r="H10" s="276">
        <f>SUM(F10,G10)</f>
        <v>650000</v>
      </c>
      <c r="I10" s="277">
        <f>'11'!L12</f>
        <v>0</v>
      </c>
      <c r="J10" s="274">
        <v>0</v>
      </c>
      <c r="K10" s="278">
        <f t="shared" ref="K10:K13" si="3">SUM(I10,J10)</f>
        <v>0</v>
      </c>
      <c r="L10" s="267">
        <f t="shared" si="2"/>
        <v>0</v>
      </c>
      <c r="P10" s="268"/>
    </row>
    <row r="11" spans="2:16" s="244" customFormat="1" ht="15" customHeight="1" x14ac:dyDescent="0.2">
      <c r="B11" s="245"/>
      <c r="C11" s="271">
        <v>600000</v>
      </c>
      <c r="D11" s="272"/>
      <c r="E11" s="273" t="s">
        <v>19</v>
      </c>
      <c r="F11" s="274">
        <f>'11'!I13</f>
        <v>40000</v>
      </c>
      <c r="G11" s="275">
        <f>'11'!J13</f>
        <v>0</v>
      </c>
      <c r="H11" s="276">
        <f t="shared" ref="H11:H13" si="4">SUM(F11,G11)</f>
        <v>40000</v>
      </c>
      <c r="I11" s="277">
        <f>'11'!L13</f>
        <v>0</v>
      </c>
      <c r="J11" s="274">
        <v>0</v>
      </c>
      <c r="K11" s="278">
        <f t="shared" si="3"/>
        <v>0</v>
      </c>
      <c r="L11" s="267">
        <f t="shared" si="2"/>
        <v>0</v>
      </c>
      <c r="O11" s="268"/>
    </row>
    <row r="12" spans="2:16" s="244" customFormat="1" ht="15" customHeight="1" x14ac:dyDescent="0.2">
      <c r="B12" s="245"/>
      <c r="C12" s="271">
        <v>600000</v>
      </c>
      <c r="D12" s="272"/>
      <c r="E12" s="273" t="s">
        <v>31</v>
      </c>
      <c r="F12" s="274">
        <f>'11'!I14</f>
        <v>20000</v>
      </c>
      <c r="G12" s="275">
        <f>'11'!J14</f>
        <v>0</v>
      </c>
      <c r="H12" s="276">
        <f t="shared" si="4"/>
        <v>20000</v>
      </c>
      <c r="I12" s="277">
        <f>'11'!L14</f>
        <v>0</v>
      </c>
      <c r="J12" s="274">
        <v>0</v>
      </c>
      <c r="K12" s="278">
        <f t="shared" si="3"/>
        <v>0</v>
      </c>
      <c r="L12" s="267">
        <f t="shared" si="2"/>
        <v>0</v>
      </c>
      <c r="P12" s="268"/>
    </row>
    <row r="13" spans="2:16" s="244" customFormat="1" ht="15" customHeight="1" x14ac:dyDescent="0.2">
      <c r="B13" s="245"/>
      <c r="C13" s="271">
        <v>600000</v>
      </c>
      <c r="D13" s="272"/>
      <c r="E13" s="273" t="s">
        <v>20</v>
      </c>
      <c r="F13" s="274">
        <f>'16'!I12</f>
        <v>20000</v>
      </c>
      <c r="G13" s="275">
        <f>'16'!J12</f>
        <v>0</v>
      </c>
      <c r="H13" s="276">
        <f t="shared" si="4"/>
        <v>20000</v>
      </c>
      <c r="I13" s="277">
        <f>'16'!L12</f>
        <v>0</v>
      </c>
      <c r="J13" s="274">
        <v>0</v>
      </c>
      <c r="K13" s="278">
        <f t="shared" si="3"/>
        <v>0</v>
      </c>
      <c r="L13" s="267">
        <f t="shared" si="2"/>
        <v>0</v>
      </c>
    </row>
    <row r="14" spans="2:16" s="244" customFormat="1" ht="10.5" customHeight="1" x14ac:dyDescent="0.25">
      <c r="B14" s="245"/>
      <c r="C14" s="271"/>
      <c r="D14" s="272"/>
      <c r="E14" s="273"/>
      <c r="F14" s="263"/>
      <c r="G14" s="264"/>
      <c r="H14" s="265"/>
      <c r="I14" s="266"/>
      <c r="J14" s="263"/>
      <c r="K14" s="259"/>
      <c r="L14" s="267" t="str">
        <f t="shared" si="2"/>
        <v/>
      </c>
    </row>
    <row r="15" spans="2:16" s="237" customFormat="1" ht="15" customHeight="1" x14ac:dyDescent="0.25">
      <c r="B15" s="279"/>
      <c r="C15" s="269">
        <v>611000</v>
      </c>
      <c r="D15" s="280"/>
      <c r="E15" s="281" t="s">
        <v>57</v>
      </c>
      <c r="F15" s="282">
        <f>F16+F17</f>
        <v>39949130</v>
      </c>
      <c r="G15" s="283">
        <f t="shared" ref="G15:H15" si="5">G16+G17</f>
        <v>0</v>
      </c>
      <c r="H15" s="284">
        <f t="shared" si="5"/>
        <v>39949130</v>
      </c>
      <c r="I15" s="285">
        <f>I16+I17</f>
        <v>0</v>
      </c>
      <c r="J15" s="282">
        <f>J16+J17</f>
        <v>0</v>
      </c>
      <c r="K15" s="170">
        <f>K16+K17</f>
        <v>0</v>
      </c>
      <c r="L15" s="286">
        <f t="shared" si="2"/>
        <v>0</v>
      </c>
      <c r="N15" s="287"/>
      <c r="O15" s="287"/>
      <c r="P15" s="287"/>
    </row>
    <row r="16" spans="2:16" ht="15" customHeight="1" x14ac:dyDescent="0.2">
      <c r="B16" s="148"/>
      <c r="C16" s="288">
        <v>611100</v>
      </c>
      <c r="D16" s="272"/>
      <c r="E16" s="120" t="s">
        <v>68</v>
      </c>
      <c r="F16" s="84">
        <f>'10'!I12+'11'!I17+'11'!I62+'11'!I91+'11'!I120+'11'!I149+'11'!I181+'12'!I12+'13'!I12+'14'!I12+'14'!I43+'14'!I74+'14'!I103+'14'!I132+'14'!I161+'15'!I12+'16'!I15+'17'!I12+'18'!I12+'19'!I12+'20'!I12+'20'!I59+'20'!I88+'20'!I117+'20'!I146+'20'!I175+'20'!I204+'20'!I233+'20'!I262+'20'!I291+'20'!I320+'21'!I12+'22'!I12+'23'!I12+'24'!I12+'26'!I12+'27'!I12+'28'!I12</f>
        <v>33677920</v>
      </c>
      <c r="G16" s="289">
        <f>'10'!J12+'11'!J17+'11'!J62+'11'!J91+'11'!J120+'11'!J149+'11'!J181+'12'!J12+'13'!J12+'14'!J12+'14'!J43+'14'!J74+'14'!J103+'14'!J132+'14'!J161+'15'!J12+'16'!J15+'17'!J12+'18'!J12+'19'!J12+'20'!J12+'20'!J59+'20'!J88+'20'!J117+'20'!J146+'20'!J175+'20'!J204+'20'!J233+'20'!J262+'20'!J291+'20'!J320+'21'!J12+'22'!J12+'23'!J12+'24'!J12+'26'!J12+'27'!J12+'28'!J12</f>
        <v>0</v>
      </c>
      <c r="H16" s="290">
        <f>'10'!K12+'11'!K17+'11'!K62+'11'!K91+'11'!K120+'11'!K149+'11'!K181+'12'!K12+'13'!K12+'14'!K12+'14'!K43+'14'!K74+'14'!K103+'14'!K132+'14'!K161+'15'!K12+'16'!K15+'17'!K12+'18'!K12+'19'!K12+'20'!K12+'20'!K59+'20'!K88+'20'!K117+'20'!K146+'20'!K175+'20'!K204+'20'!K233+'20'!K262+'20'!K291+'20'!K320+'21'!K12+'22'!K12+'23'!K12+'24'!K12+'26'!K12+'27'!K12+'28'!K12</f>
        <v>33677920</v>
      </c>
      <c r="I16" s="100">
        <f>'10'!L12+'11'!L17+'11'!L62+'11'!L91+'11'!L120+'11'!L149+'11'!L181+'12'!L12+'13'!L12+'14'!L12+'14'!L43+'14'!L74+'14'!L103+'14'!L132+'14'!L161+'15'!L12+'16'!L15+'17'!L12+'18'!L12+'19'!L12+'20'!L12+'20'!L59+'20'!L88+'20'!L117+'20'!L146+'20'!L175+'20'!L204+'20'!L233+'20'!L262+'20'!L291+'20'!L320+'21'!L12+'22'!L12+'23'!L12+'24'!L12+'26'!L12+'27'!L12+'28'!L12</f>
        <v>0</v>
      </c>
      <c r="J16" s="84">
        <f>'10'!M12+'11'!M17+'11'!M62+'11'!M91+'11'!M120+'11'!M149+'11'!M181+'12'!M12+'13'!M12+'14'!M12+'14'!M43+'14'!M74+'14'!M103+'14'!M132+'14'!M161+'15'!M12+'16'!M15+'17'!M12+'18'!M12+'19'!M12+'20'!M12+'20'!M59+'20'!M88+'20'!M117+'20'!M146+'20'!M175+'20'!M204+'20'!M233+'20'!M262+'20'!M291+'20'!M320+'21'!M12+'22'!M12+'23'!M12+'24'!M12+'26'!M12+'27'!M12+'28'!M12</f>
        <v>0</v>
      </c>
      <c r="K16" s="151">
        <f>'10'!N12+'11'!N17+'11'!N62+'11'!N91+'11'!N120+'11'!N149+'11'!N181+'12'!N12+'13'!N12+'14'!N12+'14'!N43+'14'!N74+'14'!N103+'14'!N132+'14'!N161+'15'!N12+'16'!N15+'17'!N12+'18'!N12+'19'!N12+'20'!N12+'20'!N59+'20'!N88+'20'!N117+'20'!N146+'20'!N175+'20'!N204+'20'!N233+'20'!N262+'20'!N291+'20'!N320+'21'!N12+'22'!N12+'23'!N12+'24'!N12+'26'!N12+'27'!N12+'28'!N12</f>
        <v>0</v>
      </c>
      <c r="L16" s="267">
        <f t="shared" si="2"/>
        <v>0</v>
      </c>
      <c r="N16" s="291"/>
    </row>
    <row r="17" spans="2:15" ht="14.25" x14ac:dyDescent="0.2">
      <c r="B17" s="148"/>
      <c r="C17" s="288">
        <v>611200</v>
      </c>
      <c r="D17" s="272"/>
      <c r="E17" s="120" t="s">
        <v>69</v>
      </c>
      <c r="F17" s="84">
        <f>F18+F19</f>
        <v>6271210</v>
      </c>
      <c r="G17" s="289">
        <f t="shared" ref="G17:J17" si="6">G18+G19</f>
        <v>0</v>
      </c>
      <c r="H17" s="290">
        <f t="shared" ref="H17" si="7">F17+G17</f>
        <v>6271210</v>
      </c>
      <c r="I17" s="100">
        <f t="shared" si="6"/>
        <v>0</v>
      </c>
      <c r="J17" s="84">
        <f t="shared" si="6"/>
        <v>0</v>
      </c>
      <c r="K17" s="151">
        <f t="shared" ref="K17" si="8">I17+J17</f>
        <v>0</v>
      </c>
      <c r="L17" s="267">
        <f t="shared" si="2"/>
        <v>0</v>
      </c>
      <c r="N17" s="291"/>
    </row>
    <row r="18" spans="2:15" ht="14.25" x14ac:dyDescent="0.2">
      <c r="B18" s="148"/>
      <c r="C18" s="292">
        <v>611200</v>
      </c>
      <c r="D18" s="293"/>
      <c r="E18" s="294" t="s">
        <v>270</v>
      </c>
      <c r="F18" s="295">
        <f>'10'!I13+'11'!I18+'11'!I63+'11'!I92+'11'!I121+'11'!I150+'11'!I182+'12'!I13+'13'!I13+'14'!I13+'14'!I44+'14'!I75+'14'!I104+'14'!I133+'14'!I162+'15'!I13+'16'!I16+'17'!I13+'18'!I13+'19'!I13+'20'!I13+'20'!I60+'20'!I89+'20'!I118+'20'!I147+'20'!I176+'20'!I205+'20'!I234+'20'!I263+'20'!I292+'20'!I321+'21'!I13+'22'!I13+'23'!I13+'24'!I13+'26'!I13+'27'!I13+'28'!I13</f>
        <v>6271210</v>
      </c>
      <c r="G18" s="296">
        <f>'10'!J13+'11'!J18+'11'!J63+'11'!J92+'11'!J121+'11'!J150+'11'!J182+'12'!J13+'13'!J13+'14'!J13+'14'!J44+'14'!J75+'14'!J104+'14'!J133+'14'!J162+'15'!J13+'16'!J16+'17'!J13+'18'!J13+'19'!J13+'20'!J13+'20'!J60+'20'!J89+'20'!J118+'20'!J147+'20'!J176+'20'!J205+'20'!J234+'20'!J263+'20'!J292+'20'!J321+'21'!J13+'22'!J13+'23'!J13+'24'!J13+'26'!J13+'27'!J13+'28'!J13</f>
        <v>0</v>
      </c>
      <c r="H18" s="297">
        <f>'10'!K13+'11'!K18+'11'!K63+'11'!K92+'11'!K121+'11'!K150+'11'!K182+'12'!K13+'13'!K13+'14'!K13+'14'!K44+'14'!K75+'14'!K104+'14'!K133+'14'!K162+'15'!K13+'16'!K16+'17'!K13+'18'!K13+'19'!K13+'20'!K13+'20'!K60+'20'!K89+'20'!K118+'20'!K147+'20'!K176+'20'!K205+'20'!K234+'20'!K263+'20'!K292+'20'!K321+'21'!K13+'22'!K13+'23'!K13+'24'!K13+'26'!K13+'27'!K13+'28'!K13</f>
        <v>6271210</v>
      </c>
      <c r="I18" s="298">
        <f>'10'!L13+'11'!L18+'11'!L63+'11'!L92+'11'!L121+'11'!L150+'11'!L182+'12'!L13+'13'!L13+'14'!L13+'14'!L44+'14'!L75+'14'!L104+'14'!L133+'14'!L162+'15'!L13+'16'!L16+'17'!L13+'18'!L13+'19'!L13+'20'!L13+'20'!L60+'20'!L89+'20'!L118+'20'!L147+'20'!L176+'20'!L205+'20'!L234+'20'!L263+'20'!L292+'20'!L321+'21'!L13+'22'!L13+'23'!L13+'24'!L13+'26'!L13+'27'!L13+'28'!L13</f>
        <v>0</v>
      </c>
      <c r="J18" s="295">
        <f>'10'!M13+'11'!M18+'11'!M63+'11'!M92+'11'!M121+'11'!M150+'11'!M182+'12'!M13+'13'!M13+'14'!M13+'14'!M44+'14'!M75+'14'!M104+'14'!M133+'14'!M162+'15'!M13+'16'!M16+'17'!M13+'18'!M13+'19'!M13+'20'!M13+'20'!M60+'20'!M89+'20'!M118+'20'!M147+'20'!M176+'20'!M205+'20'!M234+'20'!M263+'20'!M292+'20'!M321+'21'!M13+'22'!M13+'23'!M13+'24'!M13+'26'!M13+'27'!M13+'28'!M13</f>
        <v>0</v>
      </c>
      <c r="K18" s="299">
        <f>'10'!N13+'11'!N18+'11'!N63+'11'!N92+'11'!N121+'11'!N150+'11'!N182+'12'!N13+'13'!N13+'14'!N13+'14'!N44+'14'!N75+'14'!N104+'14'!N133+'14'!N162+'15'!N13+'16'!N16+'17'!N13+'18'!N13+'19'!N13+'20'!N13+'20'!N60+'20'!N89+'20'!N118+'20'!N147+'20'!N176+'20'!N205+'20'!N234+'20'!N263+'20'!N292+'20'!N321+'21'!N13+'22'!N13+'23'!N13+'24'!N13+'26'!N13+'27'!N13+'28'!N13</f>
        <v>0</v>
      </c>
      <c r="L18" s="300">
        <f t="shared" si="2"/>
        <v>0</v>
      </c>
      <c r="N18" s="291"/>
    </row>
    <row r="19" spans="2:15" ht="14.25" x14ac:dyDescent="0.2">
      <c r="B19" s="148"/>
      <c r="C19" s="292">
        <v>611200</v>
      </c>
      <c r="D19" s="293" t="s">
        <v>89</v>
      </c>
      <c r="E19" s="294" t="s">
        <v>367</v>
      </c>
      <c r="F19" s="408">
        <f>'11'!I19</f>
        <v>0</v>
      </c>
      <c r="G19" s="296">
        <f>'11'!J19</f>
        <v>0</v>
      </c>
      <c r="H19" s="297">
        <f>'11'!K19</f>
        <v>0</v>
      </c>
      <c r="I19" s="298">
        <f>'11'!L19</f>
        <v>0</v>
      </c>
      <c r="J19" s="295">
        <f>'11'!M19</f>
        <v>0</v>
      </c>
      <c r="K19" s="299">
        <f>'11'!N19</f>
        <v>0</v>
      </c>
      <c r="L19" s="300" t="str">
        <f t="shared" si="2"/>
        <v/>
      </c>
      <c r="N19" s="291"/>
    </row>
    <row r="20" spans="2:15" ht="14.25" x14ac:dyDescent="0.2">
      <c r="B20" s="148"/>
      <c r="C20" s="288"/>
      <c r="D20" s="272"/>
      <c r="E20" s="120"/>
      <c r="F20" s="82"/>
      <c r="G20" s="301"/>
      <c r="H20" s="302"/>
      <c r="I20" s="99"/>
      <c r="J20" s="82"/>
      <c r="K20" s="151"/>
      <c r="L20" s="267" t="str">
        <f t="shared" si="2"/>
        <v/>
      </c>
      <c r="N20" s="291"/>
    </row>
    <row r="21" spans="2:15" ht="15" x14ac:dyDescent="0.2">
      <c r="B21" s="148"/>
      <c r="C21" s="269">
        <v>612000</v>
      </c>
      <c r="D21" s="280"/>
      <c r="E21" s="303" t="s">
        <v>56</v>
      </c>
      <c r="F21" s="304">
        <f>SUM(F22:F23)</f>
        <v>2105880</v>
      </c>
      <c r="G21" s="305">
        <f t="shared" ref="G21:K21" si="9">SUM(G22:G23)</f>
        <v>0</v>
      </c>
      <c r="H21" s="306">
        <f t="shared" si="9"/>
        <v>2105880</v>
      </c>
      <c r="I21" s="307">
        <f t="shared" si="9"/>
        <v>0</v>
      </c>
      <c r="J21" s="304">
        <f t="shared" si="9"/>
        <v>0</v>
      </c>
      <c r="K21" s="308">
        <f t="shared" si="9"/>
        <v>0</v>
      </c>
      <c r="L21" s="309">
        <f t="shared" si="2"/>
        <v>0</v>
      </c>
      <c r="N21" s="291"/>
      <c r="O21" s="291"/>
    </row>
    <row r="22" spans="2:15" s="237" customFormat="1" ht="14.25" x14ac:dyDescent="0.2">
      <c r="B22" s="310"/>
      <c r="C22" s="288">
        <v>612100</v>
      </c>
      <c r="D22" s="272"/>
      <c r="E22" s="311" t="s">
        <v>5</v>
      </c>
      <c r="F22" s="312">
        <f>'10'!I16+'11'!I22+'11'!I66+'11'!I95+'11'!I124+'11'!I153+'11'!I185+'12'!I16+'13'!I16+'14'!I16+'14'!I47+'14'!I78+'14'!I107+'14'!I136+'14'!I165+'15'!I16+'16'!I19+'17'!I16+'18'!I16+'19'!I16+'20'!I16+'20'!I63+'20'!I92+'20'!I121+'20'!I150+'20'!I179+'20'!I208+'20'!I237+'20'!I266+'20'!I295+'20'!I324+'21'!I16+'22'!I16+'23'!I16+'24'!I16+'26'!I16+'27'!I16+'28'!I16</f>
        <v>2102380</v>
      </c>
      <c r="G22" s="313">
        <f>'10'!J16+'11'!J22+'11'!J66+'11'!J95+'11'!J124+'11'!J153+'11'!J185+'12'!J16+'13'!J16+'14'!J16+'14'!J47+'14'!J78+'14'!J107+'14'!J136+'14'!J165+'15'!J16+'16'!J19+'17'!J16+'18'!J16+'19'!J16+'20'!J16+'20'!J63+'20'!J92+'20'!J121+'20'!J150+'20'!J179+'20'!J208+'20'!J237+'20'!J266+'20'!J295+'20'!J324+'21'!J16+'22'!J16+'23'!J16+'24'!J16+'26'!J16+'27'!J16+'28'!J16</f>
        <v>0</v>
      </c>
      <c r="H22" s="314">
        <f>'10'!K16+'11'!K22+'11'!K66+'11'!K95+'11'!K124+'11'!K153+'11'!K185+'12'!K16+'13'!K16+'14'!K16+'14'!K47+'14'!K78+'14'!K107+'14'!K136+'14'!K165+'15'!K16+'16'!K19+'17'!K16+'18'!K16+'19'!K16+'20'!K16+'20'!K63+'20'!K92+'20'!K121+'20'!K150+'20'!K179+'20'!K208+'20'!K237+'20'!K266+'20'!K295+'20'!K324+'21'!K16+'22'!K16+'23'!K16+'24'!K16+'26'!K16+'27'!K16+'28'!K16</f>
        <v>2102380</v>
      </c>
      <c r="I22" s="176">
        <f>'10'!L16+'11'!L22+'11'!L66+'11'!L95+'11'!L124+'11'!L153+'11'!L185+'12'!L16+'13'!L16+'14'!L16+'14'!L47+'14'!L78+'14'!L107+'14'!L136+'14'!L165+'15'!L16+'16'!L19+'17'!L16+'18'!L16+'19'!L16+'20'!L16+'20'!L63+'20'!L92+'20'!L121+'20'!L150+'20'!L179+'20'!L208+'20'!L237+'20'!L266+'20'!L295+'20'!L324+'21'!L16+'22'!L16+'23'!L16+'24'!L16+'26'!L16+'27'!L16+'28'!L16</f>
        <v>0</v>
      </c>
      <c r="J22" s="312">
        <f>'10'!M16+'11'!M22+'11'!M66+'11'!M95+'11'!M124+'11'!M153+'11'!M185+'12'!M16+'13'!M16+'14'!M16+'14'!M47+'14'!M78+'14'!M107+'14'!M136+'14'!M165+'15'!M16+'16'!M19+'17'!M16+'18'!M16+'19'!M16+'20'!M16+'20'!M63+'20'!M92+'20'!M121+'20'!M150+'20'!M179+'20'!M208+'20'!M237+'20'!M266+'20'!M295+'20'!M324+'21'!M16+'22'!M16+'23'!M16+'24'!M16+'26'!M16+'27'!M16+'28'!M16</f>
        <v>0</v>
      </c>
      <c r="K22" s="315">
        <f>'10'!N16+'11'!N22+'11'!N66+'11'!N95+'11'!N124+'11'!N153+'11'!N185+'12'!N16+'13'!N16+'14'!N16+'14'!N47+'14'!N78+'14'!N107+'14'!N136+'14'!N165+'15'!N16+'16'!N19+'17'!N16+'18'!N16+'19'!N16+'20'!N16+'20'!N63+'20'!N92+'20'!N121+'20'!N150+'20'!N179+'20'!N208+'20'!N237+'20'!N266+'20'!N295+'20'!N324+'21'!N16+'22'!N16+'23'!N16+'24'!N16+'26'!N16+'27'!N16+'28'!N16</f>
        <v>0</v>
      </c>
      <c r="L22" s="316">
        <f t="shared" si="2"/>
        <v>0</v>
      </c>
      <c r="N22" s="287"/>
    </row>
    <row r="23" spans="2:15" s="237" customFormat="1" ht="14.25" x14ac:dyDescent="0.2">
      <c r="B23" s="310"/>
      <c r="C23" s="288">
        <v>612100</v>
      </c>
      <c r="D23" s="272" t="s">
        <v>343</v>
      </c>
      <c r="E23" s="311" t="s">
        <v>342</v>
      </c>
      <c r="F23" s="312">
        <f>'10'!I17+'11'!I23+'11'!I67+'11'!I96+'11'!I125+'11'!I154+'12'!I17+'13'!I17+'14'!I17+'14'!I48+'14'!I79+'14'!I108+'14'!I137+'14'!I166+'15'!I17+'16'!I20+'17'!I17+'18'!I17+'19'!I17+'20'!I17+'20'!I64+'20'!I93+'20'!I122+'20'!I151+'20'!I180+'20'!I209+'20'!I238+'20'!I267+'20'!I296+'20'!I325+'21'!I17+'22'!I17+'23'!I17+'24'!I17+'26'!I17+'27'!I17+'28'!I17</f>
        <v>3500</v>
      </c>
      <c r="G23" s="313">
        <f>'10'!J17+'11'!J23+'11'!J67+'11'!J96+'11'!J125+'11'!J154+'12'!J17+'13'!J17+'14'!J17+'14'!J48+'14'!J79+'14'!J108+'14'!J137+'14'!J166+'15'!J17+'16'!J20+'17'!J17+'18'!J17+'19'!J17+'20'!J17+'20'!J64+'20'!J93+'20'!J122+'20'!J151+'20'!J180+'20'!J209+'20'!J238+'20'!J267+'20'!J296+'20'!J325+'21'!J17+'22'!J17+'23'!J17+'24'!J17+'26'!J17+'27'!J17+'28'!J17</f>
        <v>0</v>
      </c>
      <c r="H23" s="314">
        <f t="shared" ref="H23" si="10">F23+G23</f>
        <v>3500</v>
      </c>
      <c r="I23" s="176">
        <f>'10'!L17+'11'!L23+'11'!L67+'11'!L96+'11'!L125+'11'!L154+'12'!L17+'13'!L17+'14'!L17+'14'!L48+'14'!L79+'14'!L108+'14'!L137+'14'!L166+'15'!L17+'16'!L20+'17'!L17+'18'!L17+'19'!L17+'20'!L17+'20'!L64+'20'!L93+'20'!L122+'20'!L151+'20'!L180+'20'!L209+'20'!L238+'20'!L267+'20'!L296+'20'!L325+'21'!L17+'22'!L17+'23'!L17+'24'!L17+'26'!L17+'27'!L17+'28'!L17</f>
        <v>0</v>
      </c>
      <c r="J23" s="312">
        <f>'10'!M17+'11'!M23+'11'!M67+'11'!M96+'11'!M125+'11'!M154+'12'!M17+'13'!M17+'14'!M17+'14'!M48+'14'!M79+'14'!M108+'14'!M137+'14'!M166+'15'!M17+'16'!M20+'17'!M17+'18'!M17+'19'!M17+'20'!M17+'20'!M64+'20'!M93+'20'!M122+'20'!M151+'20'!M180+'20'!M209+'20'!M238+'20'!M267+'20'!M296+'20'!M325+'21'!M17+'22'!M17+'23'!M17+'24'!M17+'26'!M17+'27'!M17+'28'!M17</f>
        <v>0</v>
      </c>
      <c r="K23" s="315">
        <f t="shared" ref="K23" si="11">I23+J23</f>
        <v>0</v>
      </c>
      <c r="L23" s="316">
        <f t="shared" si="2"/>
        <v>0</v>
      </c>
      <c r="N23" s="287"/>
    </row>
    <row r="24" spans="2:15" ht="14.25" x14ac:dyDescent="0.2">
      <c r="B24" s="148"/>
      <c r="C24" s="288"/>
      <c r="D24" s="272"/>
      <c r="E24" s="317"/>
      <c r="F24" s="312"/>
      <c r="G24" s="313"/>
      <c r="H24" s="314"/>
      <c r="I24" s="176"/>
      <c r="J24" s="312"/>
      <c r="K24" s="315"/>
      <c r="L24" s="316" t="str">
        <f t="shared" si="2"/>
        <v/>
      </c>
    </row>
    <row r="25" spans="2:15" ht="15" x14ac:dyDescent="0.2">
      <c r="B25" s="148"/>
      <c r="C25" s="269">
        <v>613000</v>
      </c>
      <c r="D25" s="280"/>
      <c r="E25" s="303" t="s">
        <v>58</v>
      </c>
      <c r="F25" s="304">
        <f>F26+F27+F28+F29+F32+F33+F34+F37+F40</f>
        <v>7373890</v>
      </c>
      <c r="G25" s="305">
        <f t="shared" ref="G25:K25" si="12">G26+G27+G28+G29+G32+G33+G34+G37+G40</f>
        <v>822140</v>
      </c>
      <c r="H25" s="306">
        <f t="shared" si="12"/>
        <v>8196030</v>
      </c>
      <c r="I25" s="307">
        <f t="shared" si="12"/>
        <v>0</v>
      </c>
      <c r="J25" s="304">
        <f t="shared" si="12"/>
        <v>0</v>
      </c>
      <c r="K25" s="308">
        <f t="shared" si="12"/>
        <v>0</v>
      </c>
      <c r="L25" s="309">
        <f t="shared" si="2"/>
        <v>0</v>
      </c>
      <c r="N25" s="236"/>
      <c r="O25" s="291"/>
    </row>
    <row r="26" spans="2:15" s="237" customFormat="1" ht="14.25" x14ac:dyDescent="0.2">
      <c r="B26" s="310"/>
      <c r="C26" s="288">
        <v>613100</v>
      </c>
      <c r="D26" s="272"/>
      <c r="E26" s="317" t="s">
        <v>6</v>
      </c>
      <c r="F26" s="312">
        <f>'10'!I19+'11'!I25+'11'!I69+'11'!I98+'11'!I127+'11'!I156+'11'!I188+'12'!I19+'13'!I20+'14'!I19+'14'!I50+'14'!I81+'14'!I110+'14'!I139+'14'!I168+'15'!I19+'16'!I22+'17'!I19+'18'!I19+'19'!I19+'20'!I19+'20'!I66+'20'!I95+'20'!I124+'20'!I153+'20'!I182+'20'!I211+'20'!I240+'20'!I269+'20'!I298+'20'!I327+'21'!I19+'22'!I19+'23'!I19+'24'!I19+'26'!I19+'27'!I19+'28'!I19</f>
        <v>196550</v>
      </c>
      <c r="G26" s="313">
        <f>'10'!J19+'11'!J25+'11'!J69+'11'!J98+'11'!J127+'11'!J156+'11'!J188+'12'!J19+'13'!J20+'14'!J19+'14'!J50+'14'!J81+'14'!J110+'14'!J139+'14'!J168+'15'!J19+'16'!J22+'17'!J19+'18'!J19+'19'!J19+'20'!J19+'20'!J66+'20'!J95+'20'!J124+'20'!J153+'20'!J182+'20'!J211+'20'!J240+'20'!J269+'20'!J298+'20'!J327+'21'!J19+'22'!J19+'23'!J19+'24'!J19+'26'!J19+'27'!J19+'28'!J19</f>
        <v>5760</v>
      </c>
      <c r="H26" s="314">
        <f>'10'!K19+'11'!K25+'11'!K69+'11'!K98+'11'!K127+'11'!K156+'11'!K188+'12'!K19+'13'!K20+'14'!K19+'14'!K50+'14'!K81+'14'!K110+'14'!K139+'14'!K168+'15'!K19+'16'!K22+'17'!K19+'18'!K19+'19'!K19+'20'!K19+'20'!K66+'20'!K95+'20'!K124+'20'!K153+'20'!K182+'20'!K211+'20'!K240+'20'!K269+'20'!K298+'20'!K327+'21'!K19+'22'!K19+'23'!K19+'24'!K19+'26'!K19+'27'!K19+'28'!K19</f>
        <v>202310</v>
      </c>
      <c r="I26" s="176">
        <f>'10'!L19+'11'!L25+'11'!L69+'11'!L98+'11'!L127+'11'!L156+'11'!L188+'12'!L19+'13'!L20+'14'!L19+'14'!L50+'14'!L81+'14'!L110+'14'!L139+'14'!L168+'15'!L19+'16'!L22+'17'!L19+'18'!L19+'19'!L19+'20'!L19+'20'!L66+'20'!L95+'20'!L124+'20'!L153+'20'!L182+'20'!L211+'20'!L240+'20'!L269+'20'!L298+'20'!L327+'21'!L19+'22'!L19+'23'!L19+'24'!L19+'26'!L19+'27'!L19+'28'!L19</f>
        <v>0</v>
      </c>
      <c r="J26" s="312">
        <f>'10'!M19+'11'!M25+'11'!M69+'11'!M98+'11'!M127+'11'!M156+'11'!M188+'12'!M19+'13'!M20+'14'!M19+'14'!M50+'14'!M81+'14'!M110+'14'!M139+'14'!M168+'15'!M19+'16'!M22+'17'!M19+'18'!M19+'19'!M19+'20'!M19+'20'!M66+'20'!M95+'20'!M124+'20'!M153+'20'!M182+'20'!M211+'20'!M240+'20'!M269+'20'!M298+'20'!M327+'21'!M19+'22'!M19+'23'!M19+'24'!M19+'26'!M19+'27'!M19+'28'!M19</f>
        <v>0</v>
      </c>
      <c r="K26" s="315">
        <f>'10'!N19+'11'!N25+'11'!N69+'11'!N98+'11'!N127+'11'!N156+'11'!N188+'12'!N19+'13'!N20+'14'!N19+'14'!N50+'14'!N81+'14'!N110+'14'!N139+'14'!N168+'15'!N19+'16'!N22+'17'!N19+'18'!N19+'19'!N19+'20'!N19+'20'!N66+'20'!N95+'20'!N124+'20'!N153+'20'!N182+'20'!N211+'20'!N240+'20'!N269+'20'!N298+'20'!N327+'21'!N19+'22'!N19+'23'!N19+'24'!N19+'26'!N19+'27'!N19+'28'!N19</f>
        <v>0</v>
      </c>
      <c r="L26" s="316">
        <f t="shared" si="2"/>
        <v>0</v>
      </c>
      <c r="N26" s="287"/>
    </row>
    <row r="27" spans="2:15" ht="14.25" x14ac:dyDescent="0.2">
      <c r="B27" s="148"/>
      <c r="C27" s="288">
        <v>613200</v>
      </c>
      <c r="D27" s="272"/>
      <c r="E27" s="317" t="s">
        <v>7</v>
      </c>
      <c r="F27" s="312">
        <f>'10'!I20+'11'!I26+'11'!I70+'11'!I99+'11'!I128+'11'!I157+'11'!I189+'12'!I20+'13'!I21+'14'!I20+'14'!I51+'14'!I82+'14'!I111+'14'!I140+'14'!I169+'15'!I20+'16'!I23+'17'!I20+'18'!I20+'19'!I20+'20'!I20+'20'!I67+'20'!I96+'20'!I125+'20'!I154+'20'!I183+'20'!I212+'20'!I241+'20'!I270+'20'!I299+'20'!I328+'21'!I20+'22'!I20+'23'!I20+'24'!I20+'26'!I20+'27'!I20+'28'!I20</f>
        <v>891400</v>
      </c>
      <c r="G27" s="313">
        <f>'10'!J20+'11'!J26+'11'!J70+'11'!J99+'11'!J128+'11'!J157+'11'!J189+'12'!J20+'13'!J21+'14'!J20+'14'!J51+'14'!J82+'14'!J111+'14'!J140+'14'!J169+'15'!J20+'16'!J23+'17'!J20+'18'!J20+'19'!J20+'20'!J20+'20'!J67+'20'!J96+'20'!J125+'20'!J154+'20'!J183+'20'!J212+'20'!J241+'20'!J270+'20'!J299+'20'!J328+'21'!J20+'22'!J20+'23'!J20+'24'!J20+'26'!J20+'27'!J20+'28'!J20</f>
        <v>0</v>
      </c>
      <c r="H27" s="314">
        <f>'10'!K20+'11'!K26+'11'!K70+'11'!K99+'11'!K128+'11'!K157+'11'!K189+'12'!K20+'13'!K21+'14'!K20+'14'!K51+'14'!K82+'14'!K111+'14'!K140+'14'!K169+'15'!K20+'16'!K23+'17'!K20+'18'!K20+'19'!K20+'20'!K20+'20'!K67+'20'!K96+'20'!K125+'20'!K154+'20'!K183+'20'!K212+'20'!K241+'20'!K270+'20'!K299+'20'!K328+'21'!K20+'22'!K20+'23'!K20+'24'!K20+'26'!K20+'27'!K20+'28'!K20</f>
        <v>891400</v>
      </c>
      <c r="I27" s="176">
        <f>'10'!L20+'11'!L26+'11'!L70+'11'!L99+'11'!L128+'11'!L157+'11'!L189+'12'!L20+'13'!L21+'14'!L20+'14'!L51+'14'!L82+'14'!L111+'14'!L140+'14'!L169+'15'!L20+'16'!L23+'17'!L20+'18'!L20+'19'!L20+'20'!L20+'20'!L67+'20'!L96+'20'!L125+'20'!L154+'20'!L183+'20'!L212+'20'!L241+'20'!L270+'20'!L299+'20'!L328+'21'!L20+'22'!L20+'23'!L20+'24'!L20+'26'!L20+'27'!L20+'28'!L20</f>
        <v>0</v>
      </c>
      <c r="J27" s="312">
        <f>'10'!M20+'11'!M26+'11'!M70+'11'!M99+'11'!M128+'11'!M157+'11'!M189+'12'!M20+'13'!M21+'14'!M20+'14'!M51+'14'!M82+'14'!M111+'14'!M140+'14'!M169+'15'!M20+'16'!M23+'17'!M20+'18'!M20+'19'!M20+'20'!M20+'20'!M67+'20'!M96+'20'!M125+'20'!M154+'20'!M183+'20'!M212+'20'!M241+'20'!M270+'20'!M299+'20'!M328+'21'!M20+'22'!M20+'23'!M20+'24'!M20+'26'!M20+'27'!M20+'28'!M20</f>
        <v>0</v>
      </c>
      <c r="K27" s="315">
        <f>'10'!N20+'11'!N26+'11'!N70+'11'!N99+'11'!N128+'11'!N157+'11'!N189+'12'!N20+'13'!N21+'14'!N20+'14'!N51+'14'!N82+'14'!N111+'14'!N140+'14'!N169+'15'!N20+'16'!N23+'17'!N20+'18'!N20+'19'!N20+'20'!N20+'20'!N67+'20'!N96+'20'!N125+'20'!N154+'20'!N183+'20'!N212+'20'!N241+'20'!N270+'20'!N299+'20'!N328+'21'!N20+'22'!N20+'23'!N20+'24'!N20+'26'!N20+'27'!N20+'28'!N20</f>
        <v>0</v>
      </c>
      <c r="L27" s="316">
        <f t="shared" si="2"/>
        <v>0</v>
      </c>
      <c r="N27" s="287"/>
    </row>
    <row r="28" spans="2:15" ht="14.25" x14ac:dyDescent="0.2">
      <c r="B28" s="148"/>
      <c r="C28" s="288">
        <v>613300</v>
      </c>
      <c r="D28" s="318"/>
      <c r="E28" s="317" t="s">
        <v>70</v>
      </c>
      <c r="F28" s="312">
        <f>'10'!I21+'11'!I27+'11'!I71+'11'!I100+'11'!I129+'11'!I158+'11'!I190+'12'!I21+'13'!I22+'14'!I21+'14'!I52+'14'!I83+'14'!I112+'14'!I141+'14'!I170+'15'!I21+'16'!I24+'17'!I21+'18'!I21+'19'!I21+'20'!I21+'20'!I68+'20'!I97+'20'!I126+'20'!I155+'20'!I184+'20'!I213+'20'!I242+'20'!I271+'20'!I300+'20'!I329+'21'!I21+'22'!I21+'23'!I21+'24'!I21+'26'!I21+'27'!I21+'28'!I21</f>
        <v>448400</v>
      </c>
      <c r="G28" s="313">
        <f>'10'!J21+'11'!J27+'11'!J71+'11'!J100+'11'!J129+'11'!J158+'11'!J190+'12'!J21+'13'!J22+'14'!J21+'14'!J52+'14'!J83+'14'!J112+'14'!J141+'14'!J170+'15'!J21+'16'!J24+'17'!J21+'18'!J21+'19'!J21+'20'!J21+'20'!J68+'20'!J97+'20'!J126+'20'!J155+'20'!J184+'20'!J213+'20'!J242+'20'!J271+'20'!J300+'20'!J329+'21'!J21+'22'!J21+'23'!J21+'24'!J21+'26'!J21+'27'!J21+'28'!J21</f>
        <v>0</v>
      </c>
      <c r="H28" s="314">
        <f>'10'!K21+'11'!K27+'11'!K71+'11'!K100+'11'!K129+'11'!K158+'11'!K190+'12'!K21+'13'!K22+'14'!K21+'14'!K52+'14'!K83+'14'!K112+'14'!K141+'14'!K170+'15'!K21+'16'!K24+'17'!K21+'18'!K21+'19'!K21+'20'!K21+'20'!K68+'20'!K97+'20'!K126+'20'!K155+'20'!K184+'20'!K213+'20'!K242+'20'!K271+'20'!K300+'20'!K329+'21'!K21+'22'!K21+'23'!K21+'24'!K21+'26'!K21+'27'!K21+'28'!K21</f>
        <v>448400</v>
      </c>
      <c r="I28" s="176">
        <f>'10'!L21+'11'!L27+'11'!L71+'11'!L100+'11'!L129+'11'!L158+'11'!L190+'12'!L21+'13'!L22+'14'!L21+'14'!L52+'14'!L83+'14'!L112+'14'!L141+'14'!L170+'15'!L21+'16'!L24+'17'!L21+'18'!L21+'19'!L21+'20'!L21+'20'!L68+'20'!L97+'20'!L126+'20'!L155+'20'!L184+'20'!L213+'20'!L242+'20'!L271+'20'!L300+'20'!L329+'21'!L21+'22'!L21+'23'!L21+'24'!L21+'26'!L21+'27'!L21+'28'!L21</f>
        <v>0</v>
      </c>
      <c r="J28" s="312">
        <f>'10'!M21+'11'!M27+'11'!M71+'11'!M100+'11'!M129+'11'!M158+'11'!M190+'12'!M21+'13'!M22+'14'!M21+'14'!M52+'14'!M83+'14'!M112+'14'!M141+'14'!M170+'15'!M21+'16'!M24+'17'!M21+'18'!M21+'19'!M21+'20'!M21+'20'!M68+'20'!M97+'20'!M126+'20'!M155+'20'!M184+'20'!M213+'20'!M242+'20'!M271+'20'!M300+'20'!M329+'21'!M21+'22'!M21+'23'!M21+'24'!M21+'26'!M21+'27'!M21+'28'!M21</f>
        <v>0</v>
      </c>
      <c r="K28" s="315">
        <f>'10'!N21+'11'!N27+'11'!N71+'11'!N100+'11'!N129+'11'!N158+'11'!N190+'12'!N21+'13'!N22+'14'!N21+'14'!N52+'14'!N83+'14'!N112+'14'!N141+'14'!N170+'15'!N21+'16'!N24+'17'!N21+'18'!N21+'19'!N21+'20'!N21+'20'!N68+'20'!N97+'20'!N126+'20'!N155+'20'!N184+'20'!N213+'20'!N242+'20'!N271+'20'!N300+'20'!N329+'21'!N21+'22'!N21+'23'!N21+'24'!N21+'26'!N21+'27'!N21+'28'!N21</f>
        <v>0</v>
      </c>
      <c r="L28" s="316">
        <f t="shared" si="2"/>
        <v>0</v>
      </c>
      <c r="N28" s="287"/>
    </row>
    <row r="29" spans="2:15" ht="14.25" x14ac:dyDescent="0.2">
      <c r="B29" s="148"/>
      <c r="C29" s="288">
        <v>613400</v>
      </c>
      <c r="D29" s="318"/>
      <c r="E29" s="317" t="s">
        <v>59</v>
      </c>
      <c r="F29" s="312">
        <f>F30+F31</f>
        <v>2118700</v>
      </c>
      <c r="G29" s="313">
        <f t="shared" ref="G29:J29" si="13">G30+G31</f>
        <v>7900</v>
      </c>
      <c r="H29" s="314">
        <f t="shared" ref="H29:H48" si="14">F29+G29</f>
        <v>2126600</v>
      </c>
      <c r="I29" s="176">
        <f t="shared" si="13"/>
        <v>0</v>
      </c>
      <c r="J29" s="312">
        <f t="shared" si="13"/>
        <v>0</v>
      </c>
      <c r="K29" s="315">
        <f t="shared" ref="K29:K48" si="15">I29+J29</f>
        <v>0</v>
      </c>
      <c r="L29" s="316">
        <f t="shared" si="2"/>
        <v>0</v>
      </c>
      <c r="N29" s="287"/>
    </row>
    <row r="30" spans="2:15" ht="14.25" x14ac:dyDescent="0.2">
      <c r="B30" s="148"/>
      <c r="C30" s="292">
        <v>613400</v>
      </c>
      <c r="D30" s="319"/>
      <c r="E30" s="320" t="s">
        <v>271</v>
      </c>
      <c r="F30" s="321">
        <f>'10'!I22+'11'!I28+'11'!I72+'11'!I101+'11'!I130+'11'!I159+'11'!I191+'12'!I22+'13'!I23+'14'!I171+'14'!I142+'14'!I113+'14'!I84+'14'!I53+'14'!I22+'15'!I22+'16'!I25+'17'!I22+'18'!I22+'19'!I22+'20'!I22+'20'!I69+'20'!I98+'20'!I127+'20'!I156+'20'!I185+'20'!I214+'20'!I243+'20'!I272+'20'!I301+'20'!I330+'21'!I22+'22'!I22+'23'!I22+'24'!I22+'26'!I22+'27'!I22+'28'!I22</f>
        <v>1025350</v>
      </c>
      <c r="G30" s="322">
        <f>'10'!J22+'11'!J28+'11'!J72+'11'!J101+'11'!J130+'11'!J159+'11'!J191+'12'!J22+'13'!J23+'14'!J171+'14'!J142+'14'!J113+'14'!J84+'14'!J53+'14'!J22+'15'!J22+'16'!J25+'17'!J22+'18'!J22+'19'!J22+'20'!J22+'20'!J69+'20'!J98+'20'!J127+'20'!J156+'20'!J185+'20'!J214+'20'!J243+'20'!J272+'20'!J301+'20'!J330+'21'!J22+'22'!J22+'23'!J22+'24'!J22+'26'!J22+'27'!J22+'28'!J22</f>
        <v>7900</v>
      </c>
      <c r="H30" s="323">
        <f>'10'!K22+'11'!K28+'11'!K72+'11'!K101+'11'!K130+'11'!K159+'11'!K191+'12'!K22+'13'!K23+'14'!K171+'14'!K142+'14'!K113+'14'!K84+'14'!K53+'14'!K22+'15'!K22+'16'!K25+'17'!K22+'18'!K22+'19'!K22+'20'!K22+'20'!K69+'20'!K98+'20'!K127+'20'!K156+'20'!K185+'20'!K214+'20'!K243+'20'!K272+'20'!K301+'20'!K330+'21'!K22+'22'!K22+'23'!K22+'24'!K22+'26'!K22+'27'!K22+'28'!K22</f>
        <v>1033250</v>
      </c>
      <c r="I30" s="324">
        <f>'10'!L22+'11'!L28+'11'!L72+'11'!L101+'11'!L130+'11'!L159+'11'!L191+'12'!L22+'13'!L23+'14'!L171+'14'!L142+'14'!L113+'14'!L84+'14'!L53+'14'!L22+'15'!L22+'16'!L25+'17'!L22+'18'!L22+'19'!L22+'20'!L22+'20'!L69+'20'!L98+'20'!L127+'20'!L156+'20'!L185+'20'!L214+'20'!L243+'20'!L272+'20'!L301+'20'!L330+'21'!L22+'22'!L22+'23'!L22+'24'!L22+'26'!L22+'27'!L22+'28'!L22</f>
        <v>0</v>
      </c>
      <c r="J30" s="321">
        <f>'10'!M22+'11'!M28+'11'!M72+'11'!M101+'11'!M130+'11'!M159+'11'!M191+'12'!M22+'13'!M23+'14'!M171+'14'!M142+'14'!M113+'14'!M84+'14'!M53+'14'!M22+'15'!M22+'16'!M25+'17'!M22+'18'!M22+'19'!M22+'20'!M22+'20'!M69+'20'!M98+'20'!M127+'20'!M156+'20'!M185+'20'!M214+'20'!M243+'20'!M272+'20'!M301+'20'!M330+'21'!M22+'22'!M22+'23'!M22+'24'!M22+'26'!M22+'27'!M22+'28'!M22</f>
        <v>0</v>
      </c>
      <c r="K30" s="325">
        <f>'10'!N22+'11'!N28+'11'!N72+'11'!N101+'11'!N130+'11'!N159+'11'!N191+'12'!N22+'13'!N23+'14'!N171+'14'!N142+'14'!N113+'14'!N84+'14'!N53+'14'!N22+'15'!N22+'16'!N25+'17'!N22+'18'!N22+'19'!N22+'20'!N22+'20'!N69+'20'!N98+'20'!N127+'20'!N156+'20'!N185+'20'!N214+'20'!N243+'20'!N272+'20'!N301+'20'!N330+'21'!N22+'22'!N22+'23'!N22+'24'!N22+'26'!N22+'27'!N22+'28'!N22</f>
        <v>0</v>
      </c>
      <c r="L30" s="326">
        <f t="shared" si="2"/>
        <v>0</v>
      </c>
      <c r="N30" s="287"/>
    </row>
    <row r="31" spans="2:15" ht="14.25" x14ac:dyDescent="0.2">
      <c r="B31" s="148"/>
      <c r="C31" s="327">
        <v>613400</v>
      </c>
      <c r="D31" s="328" t="s">
        <v>247</v>
      </c>
      <c r="E31" s="329" t="s">
        <v>350</v>
      </c>
      <c r="F31" s="321">
        <f>'20'!I23</f>
        <v>1093350</v>
      </c>
      <c r="G31" s="322">
        <f>'20'!J23</f>
        <v>0</v>
      </c>
      <c r="H31" s="323">
        <f t="shared" si="14"/>
        <v>1093350</v>
      </c>
      <c r="I31" s="324">
        <f>'20'!L23</f>
        <v>0</v>
      </c>
      <c r="J31" s="321">
        <f>'20'!M23</f>
        <v>0</v>
      </c>
      <c r="K31" s="325">
        <f t="shared" si="15"/>
        <v>0</v>
      </c>
      <c r="L31" s="326">
        <f t="shared" si="2"/>
        <v>0</v>
      </c>
      <c r="N31" s="287"/>
    </row>
    <row r="32" spans="2:15" ht="14.25" x14ac:dyDescent="0.2">
      <c r="B32" s="148"/>
      <c r="C32" s="288">
        <v>613500</v>
      </c>
      <c r="D32" s="318"/>
      <c r="E32" s="317" t="s">
        <v>8</v>
      </c>
      <c r="F32" s="312">
        <f>'10'!I23+'11'!I29+'11'!I73+'11'!I102+'11'!I131+'11'!I160+'11'!I192+'12'!I23+'13'!I24+'14'!I23+'14'!I85+'14'!I114+'14'!I143+'14'!I172+'14'!I54+'15'!I23+'16'!I26+'17'!I23+'18'!I23+'19'!I23+'20'!I24+'20'!I70+'20'!I99+'20'!I128+'20'!I157+'20'!I186+'20'!I215+'20'!I244+'20'!I273+'20'!I302+'20'!I331+'21'!I23+'22'!I23+'23'!I23+'24'!I23+'26'!I23+'27'!I23+'28'!I23</f>
        <v>304000</v>
      </c>
      <c r="G32" s="313">
        <f>'10'!J23+'11'!J29+'11'!J73+'11'!J102+'11'!J131+'11'!J160+'11'!J192+'12'!J23+'13'!J24+'14'!J23+'14'!J85+'14'!J114+'14'!J143+'14'!J172+'14'!J54+'15'!J23+'16'!J26+'17'!J23+'18'!J23+'19'!J23+'20'!J24+'20'!J70+'20'!J99+'20'!J128+'20'!J157+'20'!J186+'20'!J215+'20'!J244+'20'!J273+'20'!J302+'20'!J331+'21'!J23+'22'!J23+'23'!J23+'24'!J23+'26'!J23+'27'!J23+'28'!J23</f>
        <v>0</v>
      </c>
      <c r="H32" s="314">
        <f>'10'!K23+'11'!K29+'11'!K73+'11'!K102+'11'!K131+'11'!K160+'11'!K192+'12'!K23+'13'!K24+'14'!K23+'14'!K85+'14'!K114+'14'!K143+'14'!K172+'14'!K54+'15'!K23+'16'!K26+'17'!K23+'18'!K23+'19'!K23+'20'!K24+'20'!K70+'20'!K99+'20'!K128+'20'!K157+'20'!K186+'20'!K215+'20'!K244+'20'!K273+'20'!K302+'20'!K331+'21'!K23+'22'!K23+'23'!K23+'24'!K23+'26'!K23+'27'!K23+'28'!K23</f>
        <v>304000</v>
      </c>
      <c r="I32" s="176">
        <f>'10'!L23+'11'!L29+'11'!L73+'11'!L102+'11'!L131+'11'!L160+'11'!L192+'12'!L23+'13'!L24+'14'!L23+'14'!L85+'14'!L114+'14'!L143+'14'!L172+'14'!L54+'15'!L23+'16'!L26+'17'!L23+'18'!L23+'19'!L23+'20'!L24+'20'!L70+'20'!L99+'20'!L128+'20'!L157+'20'!L186+'20'!L215+'20'!L244+'20'!L273+'20'!L302+'20'!L331+'21'!L23+'22'!L23+'23'!L23+'24'!L23+'26'!L23+'27'!L23+'28'!L23</f>
        <v>0</v>
      </c>
      <c r="J32" s="312">
        <f>'10'!M23+'11'!M29+'11'!M73+'11'!M102+'11'!M131+'11'!M160+'11'!M192+'12'!M23+'13'!M24+'14'!M23+'14'!M85+'14'!M114+'14'!M143+'14'!M172+'14'!M54+'15'!M23+'16'!M26+'17'!M23+'18'!M23+'19'!M23+'20'!M24+'20'!M70+'20'!M99+'20'!M128+'20'!M157+'20'!M186+'20'!M215+'20'!M244+'20'!M273+'20'!M302+'20'!M331+'21'!M23+'22'!M23+'23'!M23+'24'!M23+'26'!M23+'27'!M23+'28'!M23</f>
        <v>0</v>
      </c>
      <c r="K32" s="315">
        <f>'10'!N23+'11'!N29+'11'!N73+'11'!N102+'11'!N131+'11'!N160+'11'!N192+'12'!N23+'13'!N24+'14'!N23+'14'!N85+'14'!N114+'14'!N143+'14'!N172+'14'!N54+'15'!N23+'16'!N26+'17'!N23+'18'!N23+'19'!N23+'20'!N24+'20'!N70+'20'!N99+'20'!N128+'20'!N157+'20'!N186+'20'!N215+'20'!N244+'20'!N273+'20'!N302+'20'!N331+'21'!N23+'22'!N23+'23'!N23+'24'!N23+'26'!N23+'27'!N23+'28'!N23</f>
        <v>0</v>
      </c>
      <c r="L32" s="316">
        <f t="shared" si="2"/>
        <v>0</v>
      </c>
      <c r="N32" s="287"/>
    </row>
    <row r="33" spans="2:14" ht="14.25" x14ac:dyDescent="0.2">
      <c r="B33" s="148"/>
      <c r="C33" s="288">
        <v>613600</v>
      </c>
      <c r="D33" s="318"/>
      <c r="E33" s="317" t="s">
        <v>71</v>
      </c>
      <c r="F33" s="312">
        <f>'10'!I24+'11'!I30+'11'!I74+'11'!I103+'11'!I132+'11'!I161+'11'!I193+'12'!I24+'13'!I25+'14'!I24+'15'!I24+'16'!I27+'17'!I24+'18'!I24+'19'!I24+'20'!I25+'20'!I71+'20'!I100+'20'!I129+'20'!I158+'20'!I187+'20'!I216+'20'!I245+'20'!I274+'20'!I303+'20'!I332+'21'!I24+'22'!I24+'23'!I24+'24'!I24+'26'!I24+'27'!I24+'28'!I24</f>
        <v>14000</v>
      </c>
      <c r="G33" s="313">
        <f>'10'!J24+'11'!J30+'11'!J74+'11'!J103+'11'!J132+'11'!J161+'11'!J193+'12'!J24+'13'!J25+'14'!J24+'15'!J24+'16'!J27+'17'!J24+'18'!J24+'19'!J24+'20'!J25+'20'!J71+'20'!J100+'20'!J129+'20'!J158+'20'!J187+'20'!J216+'20'!J245+'20'!J274+'20'!J303+'20'!J332+'21'!J24+'22'!J24+'23'!J24+'24'!J24+'26'!J24+'27'!J24+'28'!J24</f>
        <v>0</v>
      </c>
      <c r="H33" s="314">
        <f>'10'!K24+'11'!K30+'11'!K74+'11'!K103+'11'!K132+'11'!K161+'11'!K193+'12'!K24+'13'!K25+'14'!K24+'15'!K24+'16'!K27+'17'!K24+'18'!K24+'19'!K24+'20'!K25+'20'!K71+'20'!K100+'20'!K129+'20'!K158+'20'!K187+'20'!K216+'20'!K245+'20'!K274+'20'!K303+'20'!K332+'21'!K24+'22'!K24+'23'!K24+'24'!K24+'26'!K24+'27'!K24+'28'!K24</f>
        <v>14000</v>
      </c>
      <c r="I33" s="176">
        <f>'10'!L24+'11'!L30+'11'!L74+'11'!L103+'11'!L132+'11'!L161+'11'!L193+'12'!L24+'13'!L25+'14'!L24+'15'!L24+'16'!L27+'17'!L24+'18'!L24+'19'!L24+'20'!L25+'20'!L71+'20'!L100+'20'!L129+'20'!L158+'20'!L187+'20'!L216+'20'!L245+'20'!L274+'20'!L303+'20'!L332+'21'!L24+'22'!L24+'23'!L24+'24'!L24+'26'!L24+'27'!L24+'28'!L24</f>
        <v>0</v>
      </c>
      <c r="J33" s="312">
        <f>'10'!M24+'11'!M30+'11'!M74+'11'!M103+'11'!M132+'11'!M161+'11'!M193+'12'!M24+'13'!M25+'14'!M24+'15'!M24+'16'!M27+'17'!M24+'18'!M24+'19'!M24+'20'!M25+'20'!M71+'20'!M100+'20'!M129+'20'!M158+'20'!M187+'20'!M216+'20'!M245+'20'!M274+'20'!M303+'20'!M332+'21'!M24+'22'!M24+'23'!M24+'24'!M24+'26'!M24+'27'!M24+'28'!M24</f>
        <v>0</v>
      </c>
      <c r="K33" s="315">
        <f>'10'!N24+'11'!N30+'11'!N74+'11'!N103+'11'!N132+'11'!N161+'11'!N193+'12'!N24+'13'!N25+'14'!N24+'15'!N24+'16'!N27+'17'!N24+'18'!N24+'19'!N24+'20'!N25+'20'!N71+'20'!N100+'20'!N129+'20'!N158+'20'!N187+'20'!N216+'20'!N245+'20'!N274+'20'!N303+'20'!N332+'21'!N24+'22'!N24+'23'!N24+'24'!N24+'26'!N24+'27'!N24+'28'!N24</f>
        <v>0</v>
      </c>
      <c r="L33" s="316">
        <f t="shared" si="2"/>
        <v>0</v>
      </c>
      <c r="N33" s="287"/>
    </row>
    <row r="34" spans="2:14" ht="14.25" x14ac:dyDescent="0.2">
      <c r="B34" s="148"/>
      <c r="C34" s="288">
        <v>613700</v>
      </c>
      <c r="D34" s="318"/>
      <c r="E34" s="317" t="s">
        <v>9</v>
      </c>
      <c r="F34" s="312">
        <f>F35+F36</f>
        <v>473950</v>
      </c>
      <c r="G34" s="313">
        <f t="shared" ref="G34:J34" si="16">G35+G36</f>
        <v>720000</v>
      </c>
      <c r="H34" s="314">
        <f t="shared" si="14"/>
        <v>1193950</v>
      </c>
      <c r="I34" s="176">
        <f t="shared" si="16"/>
        <v>0</v>
      </c>
      <c r="J34" s="312">
        <f t="shared" si="16"/>
        <v>0</v>
      </c>
      <c r="K34" s="315">
        <f t="shared" si="15"/>
        <v>0</v>
      </c>
      <c r="L34" s="316">
        <f t="shared" si="2"/>
        <v>0</v>
      </c>
      <c r="N34" s="287"/>
    </row>
    <row r="35" spans="2:14" ht="14.25" x14ac:dyDescent="0.2">
      <c r="B35" s="148"/>
      <c r="C35" s="292">
        <v>613700</v>
      </c>
      <c r="D35" s="330"/>
      <c r="E35" s="320" t="s">
        <v>272</v>
      </c>
      <c r="F35" s="321">
        <f>'10'!I25+'11'!I31+'11'!I75+'11'!I104+'11'!I133+'11'!I162+'11'!I194+'12'!I25+'13'!I26+'14'!I25+'14'!I56+'14'!I87+'14'!I116+'14'!I145+'14'!I174+'15'!I25+'16'!I28+'17'!I25+'18'!I25+'19'!I25+'20'!I26+'20'!I72+'20'!I101+'20'!I130+'20'!I159+'20'!I188+'20'!I217+'20'!I246+'20'!I275+'20'!I304+'20'!I333+'21'!I25+'22'!I25+'23'!I25+'24'!I25+'26'!I25+'27'!I25+'28'!I25</f>
        <v>473950</v>
      </c>
      <c r="G35" s="322">
        <f>'10'!J25+'11'!J31+'11'!J75+'11'!J104+'11'!J133+'11'!J162+'11'!J194+'12'!J25+'13'!J26+'14'!J25+'14'!J56+'14'!J87+'14'!J116+'14'!J145+'14'!J174+'15'!J25+'16'!J28+'17'!J25+'18'!J25+'19'!J25+'20'!J26+'20'!J72+'20'!J101+'20'!J130+'20'!J159+'20'!J188+'20'!J217+'20'!J246+'20'!J275+'20'!J304+'20'!J333+'21'!J25+'22'!J25+'23'!J25+'24'!J25+'26'!J25+'27'!J25+'28'!J25</f>
        <v>0</v>
      </c>
      <c r="H35" s="323">
        <f>'10'!K25+'11'!K31+'11'!K75+'11'!K104+'11'!K133+'11'!K162+'11'!K194+'12'!K25+'13'!K26+'14'!K25+'14'!K56+'14'!K87+'14'!K116+'14'!K145+'14'!K174+'15'!K25+'16'!K28+'17'!K25+'18'!K25+'19'!K25+'20'!K26+'20'!K72+'20'!K101+'20'!K130+'20'!K159+'20'!K188+'20'!K217+'20'!K246+'20'!K275+'20'!K304+'20'!K333+'21'!K25+'22'!K25+'23'!K25+'24'!K25+'26'!K25+'27'!K25+'28'!K25</f>
        <v>473950</v>
      </c>
      <c r="I35" s="324">
        <f>'10'!L25+'11'!L31+'11'!L75+'11'!L104+'11'!L133+'11'!L162+'11'!L194+'12'!L25+'13'!L26+'14'!L25+'14'!L56+'14'!L87+'14'!L116+'14'!L145+'14'!L174+'15'!L25+'16'!L28+'17'!L25+'18'!L25+'19'!L25+'20'!L26+'20'!L72+'20'!L101+'20'!L130+'20'!L159+'20'!L188+'20'!L217+'20'!L246+'20'!L275+'20'!L304+'20'!L333+'21'!L25+'22'!L25+'23'!L25+'24'!L25+'26'!L25+'27'!L25+'28'!L25</f>
        <v>0</v>
      </c>
      <c r="J35" s="321">
        <f>'10'!M25+'11'!M31+'11'!M75+'11'!M104+'11'!M133+'11'!M162+'11'!M194+'12'!M25+'13'!M26+'14'!M25+'14'!M56+'14'!M87+'14'!M116+'14'!M145+'14'!M174+'15'!M25+'16'!M28+'17'!M25+'18'!M25+'19'!M25+'20'!M26+'20'!M72+'20'!M101+'20'!M130+'20'!M159+'20'!M188+'20'!M217+'20'!M246+'20'!M275+'20'!M304+'20'!M333+'21'!M25+'22'!M25+'23'!M25+'24'!M25+'26'!M25+'27'!M25+'28'!M25</f>
        <v>0</v>
      </c>
      <c r="K35" s="331">
        <f>'10'!N25+'11'!N31+'11'!N75+'11'!N104+'11'!N133+'11'!N162+'11'!N194+'12'!N25+'13'!N26+'14'!N25+'14'!N56+'14'!N87+'14'!N116+'14'!N145+'14'!N174+'15'!N25+'16'!N28+'17'!N25+'18'!N25+'19'!N25+'20'!N26+'20'!N72+'20'!N101+'20'!N130+'20'!N159+'20'!N188+'20'!N217+'20'!N246+'20'!N275+'20'!N304+'20'!N333+'21'!N25+'22'!N25+'23'!N25+'24'!N25+'26'!N25+'27'!N25+'28'!N25</f>
        <v>0</v>
      </c>
      <c r="L35" s="326">
        <f t="shared" si="2"/>
        <v>0</v>
      </c>
      <c r="N35" s="287"/>
    </row>
    <row r="36" spans="2:14" ht="14.25" x14ac:dyDescent="0.2">
      <c r="B36" s="148"/>
      <c r="C36" s="292">
        <v>613700</v>
      </c>
      <c r="D36" s="330" t="s">
        <v>103</v>
      </c>
      <c r="E36" s="320" t="s">
        <v>273</v>
      </c>
      <c r="F36" s="321">
        <f>'18'!I26</f>
        <v>0</v>
      </c>
      <c r="G36" s="322">
        <f>'18'!J26</f>
        <v>720000</v>
      </c>
      <c r="H36" s="323">
        <f t="shared" si="14"/>
        <v>720000</v>
      </c>
      <c r="I36" s="324">
        <f>'18'!L26</f>
        <v>0</v>
      </c>
      <c r="J36" s="321">
        <f>'18'!M26</f>
        <v>0</v>
      </c>
      <c r="K36" s="331">
        <f t="shared" si="15"/>
        <v>0</v>
      </c>
      <c r="L36" s="326">
        <f t="shared" si="2"/>
        <v>0</v>
      </c>
      <c r="N36" s="287"/>
    </row>
    <row r="37" spans="2:14" ht="14.25" x14ac:dyDescent="0.2">
      <c r="B37" s="148"/>
      <c r="C37" s="288">
        <v>613800</v>
      </c>
      <c r="D37" s="318"/>
      <c r="E37" s="317" t="s">
        <v>60</v>
      </c>
      <c r="F37" s="312">
        <f>F38+F39</f>
        <v>119920</v>
      </c>
      <c r="G37" s="313">
        <f t="shared" ref="G37:J37" si="17">G38+G39</f>
        <v>0</v>
      </c>
      <c r="H37" s="314">
        <f t="shared" si="14"/>
        <v>119920</v>
      </c>
      <c r="I37" s="176">
        <f t="shared" si="17"/>
        <v>0</v>
      </c>
      <c r="J37" s="312">
        <f t="shared" si="17"/>
        <v>0</v>
      </c>
      <c r="K37" s="315">
        <f t="shared" si="15"/>
        <v>0</v>
      </c>
      <c r="L37" s="316">
        <f t="shared" si="2"/>
        <v>0</v>
      </c>
      <c r="N37" s="287"/>
    </row>
    <row r="38" spans="2:14" ht="14.25" x14ac:dyDescent="0.2">
      <c r="B38" s="148"/>
      <c r="C38" s="292">
        <v>613800</v>
      </c>
      <c r="D38" s="330"/>
      <c r="E38" s="320" t="s">
        <v>274</v>
      </c>
      <c r="F38" s="321">
        <f>'10'!I26+'11'!I32+'11'!I76+'11'!I105+'11'!I134+'11'!I163+'11'!I195+'12'!I26+'13'!I27+'14'!I57+'14'!I26+'14'!I88+'14'!I117+'14'!I146+'14'!I175+'15'!I26+'16'!I29+'17'!I26+'18'!I27+'19'!I26+'20'!I27+'20'!I73+'20'!I102+'20'!I131+'20'!I160+'20'!I189+'20'!I218+'20'!I247+'20'!I276+'20'!I305+'20'!I334+'21'!I26+'22'!I26+'23'!I26+'24'!I26+'26'!I26+'27'!I26+'28'!I26</f>
        <v>119920</v>
      </c>
      <c r="G38" s="322">
        <f>'10'!J26+'11'!J32+'11'!J76+'11'!J105+'11'!J134+'11'!J163+'11'!J195+'12'!J26+'13'!J27+'14'!J57+'14'!J26+'14'!J88+'14'!J117+'14'!J146+'14'!J175+'15'!J26+'16'!J29+'17'!J26+'18'!J27+'19'!J26+'20'!J27+'20'!J73+'20'!J102+'20'!J131+'20'!J160+'20'!J189+'20'!J218+'20'!J247+'20'!J276+'20'!J305+'20'!J334+'21'!J26+'22'!J26+'23'!J26+'24'!J26+'26'!J26+'27'!J26+'28'!J26</f>
        <v>0</v>
      </c>
      <c r="H38" s="323">
        <f>'10'!K26+'11'!K32+'11'!K76+'11'!K105+'11'!K134+'11'!K163+'11'!K195+'12'!K26+'13'!K27+'14'!K57+'14'!K26+'14'!K88+'14'!K117+'14'!K146+'14'!K175+'15'!K26+'16'!K29+'17'!K26+'18'!K27+'19'!K26+'20'!K27+'20'!K73+'20'!K102+'20'!K131+'20'!K160+'20'!K189+'20'!K218+'20'!K247+'20'!K276+'20'!K305+'20'!K334+'21'!K26+'22'!K26+'23'!K26+'24'!K26+'26'!K26+'27'!K26+'28'!K26</f>
        <v>119920</v>
      </c>
      <c r="I38" s="324">
        <f>'10'!L26+'11'!L32+'11'!L76+'11'!L105+'11'!L134+'11'!L163+'11'!L195+'12'!L26+'13'!L27+'14'!L57+'14'!L26+'14'!L88+'14'!L117+'14'!L146+'14'!L175+'15'!L26+'16'!L29+'17'!L26+'18'!L27+'19'!L26+'20'!L27+'20'!L73+'20'!L102+'20'!L131+'20'!L160+'20'!L189+'20'!L218+'20'!L247+'20'!L276+'20'!L305+'20'!L334+'21'!L26+'22'!L26+'23'!L26+'24'!L26+'26'!L26+'27'!L26+'28'!L26</f>
        <v>0</v>
      </c>
      <c r="J38" s="321">
        <f>'10'!M26+'11'!M32+'11'!M76+'11'!M105+'11'!M134+'11'!M163+'11'!M195+'12'!M26+'13'!M27+'14'!M57+'14'!M26+'14'!M88+'14'!M117+'14'!M146+'14'!M175+'15'!M26+'16'!M29+'17'!M26+'18'!M27+'19'!M26+'20'!M27+'20'!M73+'20'!M102+'20'!M131+'20'!M160+'20'!M189+'20'!M218+'20'!M247+'20'!M276+'20'!M305+'20'!M334+'21'!M26+'22'!M26+'23'!M26+'24'!M26+'26'!M26+'27'!M26+'28'!M26</f>
        <v>0</v>
      </c>
      <c r="K38" s="331">
        <f>'10'!N26+'11'!N32+'11'!N76+'11'!N105+'11'!N134+'11'!N163+'11'!N195+'12'!N26+'13'!N27+'14'!N57+'14'!N26+'14'!N88+'14'!N117+'14'!N146+'14'!N175+'15'!N26+'16'!N29+'17'!N26+'18'!N27+'19'!N26+'20'!N27+'20'!N73+'20'!N102+'20'!N131+'20'!N160+'20'!N189+'20'!N218+'20'!N247+'20'!N276+'20'!N305+'20'!N334+'21'!N26+'22'!N26+'23'!N26+'24'!N26+'26'!N26+'27'!N26+'28'!N26</f>
        <v>0</v>
      </c>
      <c r="L38" s="326">
        <f t="shared" si="2"/>
        <v>0</v>
      </c>
      <c r="N38" s="287"/>
    </row>
    <row r="39" spans="2:14" ht="14.25" x14ac:dyDescent="0.2">
      <c r="B39" s="148"/>
      <c r="C39" s="292">
        <v>613800</v>
      </c>
      <c r="D39" s="330"/>
      <c r="E39" s="320" t="s">
        <v>275</v>
      </c>
      <c r="F39" s="321">
        <v>0</v>
      </c>
      <c r="G39" s="322">
        <v>0</v>
      </c>
      <c r="H39" s="323">
        <f t="shared" si="14"/>
        <v>0</v>
      </c>
      <c r="I39" s="324">
        <v>0</v>
      </c>
      <c r="J39" s="321">
        <v>0</v>
      </c>
      <c r="K39" s="331">
        <f t="shared" si="15"/>
        <v>0</v>
      </c>
      <c r="L39" s="326" t="str">
        <f t="shared" si="2"/>
        <v/>
      </c>
      <c r="N39" s="287"/>
    </row>
    <row r="40" spans="2:14" ht="14.25" x14ac:dyDescent="0.2">
      <c r="B40" s="148"/>
      <c r="C40" s="288">
        <v>613900</v>
      </c>
      <c r="D40" s="318"/>
      <c r="E40" s="317" t="s">
        <v>61</v>
      </c>
      <c r="F40" s="332">
        <f>SUM(F41:F49)</f>
        <v>2806970</v>
      </c>
      <c r="G40" s="333">
        <f t="shared" ref="G40:K40" si="18">SUM(G41:G49)</f>
        <v>88480</v>
      </c>
      <c r="H40" s="334">
        <f t="shared" si="18"/>
        <v>2895450</v>
      </c>
      <c r="I40" s="335">
        <f t="shared" si="18"/>
        <v>0</v>
      </c>
      <c r="J40" s="332">
        <f t="shared" si="18"/>
        <v>0</v>
      </c>
      <c r="K40" s="336">
        <f t="shared" si="18"/>
        <v>0</v>
      </c>
      <c r="L40" s="316">
        <f t="shared" si="2"/>
        <v>0</v>
      </c>
      <c r="N40" s="287"/>
    </row>
    <row r="41" spans="2:14" ht="14.25" x14ac:dyDescent="0.2">
      <c r="B41" s="148"/>
      <c r="C41" s="292">
        <v>613900</v>
      </c>
      <c r="D41" s="330"/>
      <c r="E41" s="320" t="s">
        <v>276</v>
      </c>
      <c r="F41" s="337">
        <f>'10'!I27+'11'!I33+'11'!I77+'11'!I106+'11'!I135+'11'!I164+'11'!I196+'12'!I27+'13'!I28+'14'!I27+'14'!I58+'14'!I89+'14'!I118+'14'!I147+'14'!I176+'15'!I27+'16'!I30+'17'!I27+'18'!I28+'19'!I27+'20'!I29+'20'!I74+'20'!I103+'20'!I132+'20'!I161+'20'!I190+'20'!I219+'20'!I248+'20'!I277+'20'!I306+'20'!I335+'21'!I27+'22'!I27+'23'!I27+'24'!I27+'26'!I27+'27'!I27+'28'!I27</f>
        <v>2212470</v>
      </c>
      <c r="G41" s="338">
        <f>'10'!J27+'11'!J33+'11'!J77+'11'!J106+'11'!J135+'11'!J164+'11'!J196+'12'!J27+'13'!J28+'14'!J27+'14'!J58+'14'!J89+'14'!J118+'14'!J147+'14'!J176+'15'!J27+'16'!J30+'17'!J27+'18'!J28+'19'!J27+'20'!J29+'20'!J74+'20'!J103+'20'!J132+'20'!J161+'20'!J190+'20'!J219+'20'!J248+'20'!J277+'20'!J306+'20'!J335+'21'!J27+'22'!J27+'23'!J27+'24'!J27+'26'!J27+'27'!J27+'28'!J27</f>
        <v>88480</v>
      </c>
      <c r="H41" s="339">
        <f>'10'!K27+'11'!K33+'11'!K77+'11'!K106+'11'!K135+'11'!K164+'11'!K196+'12'!K27+'13'!K28+'14'!K27+'14'!K58+'14'!K89+'14'!K118+'14'!K147+'14'!K176+'15'!K27+'16'!K30+'17'!K27+'18'!K28+'19'!K27+'20'!K29+'20'!K74+'20'!K103+'20'!K132+'20'!K161+'20'!K190+'20'!K219+'20'!K248+'20'!K277+'20'!K306+'20'!K335+'21'!K27+'22'!K27+'23'!K27+'24'!K27+'26'!K27+'27'!K27+'28'!K27</f>
        <v>2300950</v>
      </c>
      <c r="I41" s="340">
        <f>'10'!L27+'11'!L33+'11'!L77+'11'!L106+'11'!L135+'11'!L164+'11'!L196+'12'!L27+'13'!L28+'14'!L27+'14'!L58+'14'!L89+'14'!L118+'14'!L147+'14'!L176+'15'!L27+'16'!L30+'17'!L27+'18'!L28+'19'!L27+'20'!L29+'20'!L74+'20'!L103+'20'!L132+'20'!L161+'20'!L190+'20'!L219+'20'!L248+'20'!L277+'20'!L306+'20'!L335+'21'!L27+'22'!L27+'23'!L27+'24'!L27+'26'!L27+'27'!L27+'28'!L27</f>
        <v>0</v>
      </c>
      <c r="J41" s="337">
        <f>'10'!M27+'11'!M33+'11'!M77+'11'!M106+'11'!M135+'11'!M164+'11'!M196+'12'!M27+'13'!M28+'14'!M27+'14'!M58+'14'!M89+'14'!M118+'14'!M147+'14'!M176+'15'!M27+'16'!M30+'17'!M27+'18'!M28+'19'!M27+'20'!M29+'20'!M74+'20'!M103+'20'!M132+'20'!M161+'20'!M190+'20'!M219+'20'!M248+'20'!M277+'20'!M306+'20'!M335+'21'!M27+'22'!M27+'23'!M27+'24'!M27+'26'!M27+'27'!M27+'28'!M27</f>
        <v>0</v>
      </c>
      <c r="K41" s="341">
        <f>'10'!N27+'11'!N33+'11'!N77+'11'!N106+'11'!N135+'11'!N164+'11'!N196+'12'!N27+'13'!N28+'14'!N27+'14'!N58+'14'!N89+'14'!N118+'14'!N147+'14'!N176+'15'!N27+'16'!N30+'17'!N27+'18'!N28+'19'!N27+'20'!N29+'20'!N74+'20'!N103+'20'!N132+'20'!N161+'20'!N190+'20'!N219+'20'!N248+'20'!N277+'20'!N306+'20'!N335+'21'!N27+'22'!N27+'23'!N27+'24'!N27+'26'!N27+'27'!N27+'28'!N27</f>
        <v>0</v>
      </c>
      <c r="L41" s="326">
        <f t="shared" si="2"/>
        <v>0</v>
      </c>
      <c r="N41" s="287"/>
    </row>
    <row r="42" spans="2:14" ht="14.25" x14ac:dyDescent="0.2">
      <c r="B42" s="148"/>
      <c r="C42" s="292">
        <v>613900</v>
      </c>
      <c r="D42" s="330" t="s">
        <v>156</v>
      </c>
      <c r="E42" s="320" t="s">
        <v>277</v>
      </c>
      <c r="F42" s="321">
        <f>'14'!I28</f>
        <v>44500</v>
      </c>
      <c r="G42" s="322">
        <f>'14'!J28</f>
        <v>0</v>
      </c>
      <c r="H42" s="323">
        <f t="shared" si="14"/>
        <v>44500</v>
      </c>
      <c r="I42" s="324">
        <f>'14'!L28</f>
        <v>0</v>
      </c>
      <c r="J42" s="321">
        <f>'14'!M28</f>
        <v>0</v>
      </c>
      <c r="K42" s="331">
        <f t="shared" si="15"/>
        <v>0</v>
      </c>
      <c r="L42" s="326">
        <f t="shared" si="2"/>
        <v>0</v>
      </c>
      <c r="N42" s="287"/>
    </row>
    <row r="43" spans="2:14" ht="14.25" x14ac:dyDescent="0.2">
      <c r="B43" s="148"/>
      <c r="C43" s="292">
        <v>613900</v>
      </c>
      <c r="D43" s="330" t="s">
        <v>160</v>
      </c>
      <c r="E43" s="320" t="s">
        <v>278</v>
      </c>
      <c r="F43" s="321">
        <f>'14'!I29</f>
        <v>150000</v>
      </c>
      <c r="G43" s="322">
        <f>'14'!J29</f>
        <v>0</v>
      </c>
      <c r="H43" s="323">
        <f t="shared" si="14"/>
        <v>150000</v>
      </c>
      <c r="I43" s="324">
        <f>'14'!L29</f>
        <v>0</v>
      </c>
      <c r="J43" s="321">
        <f>'14'!M29</f>
        <v>0</v>
      </c>
      <c r="K43" s="331">
        <f t="shared" si="15"/>
        <v>0</v>
      </c>
      <c r="L43" s="326">
        <f t="shared" si="2"/>
        <v>0</v>
      </c>
      <c r="N43" s="287"/>
    </row>
    <row r="44" spans="2:14" ht="14.25" x14ac:dyDescent="0.2">
      <c r="B44" s="148"/>
      <c r="C44" s="292">
        <v>613900</v>
      </c>
      <c r="D44" s="330" t="s">
        <v>97</v>
      </c>
      <c r="E44" s="320" t="s">
        <v>279</v>
      </c>
      <c r="F44" s="321">
        <f>'16'!I31</f>
        <v>195000</v>
      </c>
      <c r="G44" s="322">
        <f>'16'!J31</f>
        <v>0</v>
      </c>
      <c r="H44" s="323">
        <f t="shared" si="14"/>
        <v>195000</v>
      </c>
      <c r="I44" s="324">
        <f>'16'!L31</f>
        <v>0</v>
      </c>
      <c r="J44" s="321">
        <f>'16'!M31</f>
        <v>0</v>
      </c>
      <c r="K44" s="331">
        <f t="shared" si="15"/>
        <v>0</v>
      </c>
      <c r="L44" s="326">
        <f t="shared" si="2"/>
        <v>0</v>
      </c>
      <c r="N44" s="287"/>
    </row>
    <row r="45" spans="2:14" ht="14.25" x14ac:dyDescent="0.2">
      <c r="B45" s="148"/>
      <c r="C45" s="292">
        <v>613900</v>
      </c>
      <c r="D45" s="330" t="s">
        <v>109</v>
      </c>
      <c r="E45" s="320" t="s">
        <v>280</v>
      </c>
      <c r="F45" s="321">
        <f>'20'!I30</f>
        <v>55000</v>
      </c>
      <c r="G45" s="322">
        <f>'20'!J30</f>
        <v>0</v>
      </c>
      <c r="H45" s="323">
        <f t="shared" si="14"/>
        <v>55000</v>
      </c>
      <c r="I45" s="324">
        <f>'20'!L30</f>
        <v>0</v>
      </c>
      <c r="J45" s="321">
        <f>'20'!M30</f>
        <v>0</v>
      </c>
      <c r="K45" s="331">
        <f t="shared" si="15"/>
        <v>0</v>
      </c>
      <c r="L45" s="326">
        <f t="shared" si="2"/>
        <v>0</v>
      </c>
      <c r="N45" s="287"/>
    </row>
    <row r="46" spans="2:14" ht="14.25" x14ac:dyDescent="0.2">
      <c r="B46" s="148"/>
      <c r="C46" s="292">
        <v>613900</v>
      </c>
      <c r="D46" s="330" t="s">
        <v>89</v>
      </c>
      <c r="E46" s="320" t="s">
        <v>369</v>
      </c>
      <c r="F46" s="321">
        <f>'11'!I34</f>
        <v>10000</v>
      </c>
      <c r="G46" s="322">
        <f>'11'!J34</f>
        <v>0</v>
      </c>
      <c r="H46" s="323">
        <f t="shared" si="14"/>
        <v>10000</v>
      </c>
      <c r="I46" s="324">
        <f>'11'!L34</f>
        <v>0</v>
      </c>
      <c r="J46" s="321">
        <f>'11'!M34</f>
        <v>0</v>
      </c>
      <c r="K46" s="331">
        <f t="shared" si="15"/>
        <v>0</v>
      </c>
      <c r="L46" s="326">
        <f t="shared" si="2"/>
        <v>0</v>
      </c>
      <c r="N46" s="287"/>
    </row>
    <row r="47" spans="2:14" ht="14.25" x14ac:dyDescent="0.2">
      <c r="B47" s="148"/>
      <c r="C47" s="292">
        <v>613900</v>
      </c>
      <c r="D47" s="330" t="s">
        <v>167</v>
      </c>
      <c r="E47" s="320" t="s">
        <v>281</v>
      </c>
      <c r="F47" s="321">
        <f>'11'!I35</f>
        <v>90000</v>
      </c>
      <c r="G47" s="322">
        <f>'11'!J35</f>
        <v>0</v>
      </c>
      <c r="H47" s="323">
        <f t="shared" si="14"/>
        <v>90000</v>
      </c>
      <c r="I47" s="324">
        <f>'11'!L35</f>
        <v>0</v>
      </c>
      <c r="J47" s="321">
        <f>'11'!M35</f>
        <v>0</v>
      </c>
      <c r="K47" s="331">
        <f t="shared" si="15"/>
        <v>0</v>
      </c>
      <c r="L47" s="326">
        <f t="shared" si="2"/>
        <v>0</v>
      </c>
      <c r="N47" s="287"/>
    </row>
    <row r="48" spans="2:14" ht="14.25" x14ac:dyDescent="0.2">
      <c r="B48" s="148"/>
      <c r="C48" s="292">
        <v>613900</v>
      </c>
      <c r="D48" s="330" t="s">
        <v>95</v>
      </c>
      <c r="E48" s="320" t="s">
        <v>282</v>
      </c>
      <c r="F48" s="321">
        <f>'15'!I28</f>
        <v>0</v>
      </c>
      <c r="G48" s="322">
        <f>'15'!J28</f>
        <v>0</v>
      </c>
      <c r="H48" s="323">
        <f t="shared" si="14"/>
        <v>0</v>
      </c>
      <c r="I48" s="324">
        <f>'15'!L28</f>
        <v>0</v>
      </c>
      <c r="J48" s="321">
        <f>'15'!M28</f>
        <v>0</v>
      </c>
      <c r="K48" s="331">
        <f t="shared" si="15"/>
        <v>0</v>
      </c>
      <c r="L48" s="326" t="str">
        <f t="shared" si="2"/>
        <v/>
      </c>
      <c r="N48" s="287"/>
    </row>
    <row r="49" spans="2:14" ht="14.25" x14ac:dyDescent="0.2">
      <c r="B49" s="148"/>
      <c r="C49" s="292">
        <v>613900</v>
      </c>
      <c r="D49" s="330" t="s">
        <v>346</v>
      </c>
      <c r="E49" s="320" t="s">
        <v>370</v>
      </c>
      <c r="F49" s="321">
        <f>'20'!I31</f>
        <v>50000</v>
      </c>
      <c r="G49" s="322">
        <f>'20'!J31</f>
        <v>0</v>
      </c>
      <c r="H49" s="323">
        <f>'20'!K31</f>
        <v>50000</v>
      </c>
      <c r="I49" s="324">
        <f>'20'!L31</f>
        <v>0</v>
      </c>
      <c r="J49" s="321">
        <f>'20'!M31</f>
        <v>0</v>
      </c>
      <c r="K49" s="331">
        <f>'20'!N31</f>
        <v>0</v>
      </c>
      <c r="L49" s="326">
        <f t="shared" ref="L49" si="19">IF(H49=0,"",K49/H49*100)</f>
        <v>0</v>
      </c>
      <c r="N49" s="287"/>
    </row>
    <row r="50" spans="2:14" ht="14.25" x14ac:dyDescent="0.2">
      <c r="B50" s="148"/>
      <c r="C50" s="288"/>
      <c r="D50" s="318"/>
      <c r="E50" s="317"/>
      <c r="F50" s="342"/>
      <c r="G50" s="343"/>
      <c r="H50" s="344"/>
      <c r="I50" s="345"/>
      <c r="J50" s="342"/>
      <c r="K50" s="315"/>
      <c r="L50" s="316" t="str">
        <f t="shared" si="2"/>
        <v/>
      </c>
    </row>
    <row r="51" spans="2:14" ht="15" x14ac:dyDescent="0.2">
      <c r="B51" s="148"/>
      <c r="C51" s="269">
        <v>614000</v>
      </c>
      <c r="D51" s="270"/>
      <c r="E51" s="303" t="s">
        <v>72</v>
      </c>
      <c r="F51" s="304">
        <f t="shared" ref="F51:K51" si="20">F52+F62+F71+F83+F88</f>
        <v>18685603</v>
      </c>
      <c r="G51" s="305">
        <f t="shared" si="20"/>
        <v>1416740</v>
      </c>
      <c r="H51" s="306">
        <f t="shared" si="20"/>
        <v>20102343</v>
      </c>
      <c r="I51" s="307">
        <f t="shared" si="20"/>
        <v>0</v>
      </c>
      <c r="J51" s="304">
        <f t="shared" si="20"/>
        <v>0</v>
      </c>
      <c r="K51" s="308">
        <f t="shared" si="20"/>
        <v>0</v>
      </c>
      <c r="L51" s="309">
        <f t="shared" si="2"/>
        <v>0</v>
      </c>
      <c r="N51" s="236"/>
    </row>
    <row r="52" spans="2:14" ht="14.25" x14ac:dyDescent="0.2">
      <c r="B52" s="148"/>
      <c r="C52" s="346">
        <v>614100</v>
      </c>
      <c r="D52" s="347"/>
      <c r="E52" s="317" t="s">
        <v>283</v>
      </c>
      <c r="F52" s="342">
        <f>SUM(F53:F61)</f>
        <v>4275603</v>
      </c>
      <c r="G52" s="343">
        <f t="shared" ref="G52:K52" si="21">SUM(G53:G61)</f>
        <v>710740</v>
      </c>
      <c r="H52" s="344">
        <f t="shared" si="21"/>
        <v>4986343</v>
      </c>
      <c r="I52" s="345">
        <f t="shared" si="21"/>
        <v>0</v>
      </c>
      <c r="J52" s="342">
        <f t="shared" si="21"/>
        <v>0</v>
      </c>
      <c r="K52" s="315">
        <f t="shared" si="21"/>
        <v>0</v>
      </c>
      <c r="L52" s="316">
        <f t="shared" si="2"/>
        <v>0</v>
      </c>
      <c r="N52" s="291"/>
    </row>
    <row r="53" spans="2:14" s="350" customFormat="1" ht="14.25" x14ac:dyDescent="0.2">
      <c r="B53" s="348"/>
      <c r="C53" s="327">
        <v>614100</v>
      </c>
      <c r="D53" s="349" t="s">
        <v>90</v>
      </c>
      <c r="E53" s="320" t="s">
        <v>284</v>
      </c>
      <c r="F53" s="321">
        <f>'11'!I38</f>
        <v>942050</v>
      </c>
      <c r="G53" s="322">
        <f>'11'!J38</f>
        <v>0</v>
      </c>
      <c r="H53" s="323">
        <f t="shared" ref="H53:H90" si="22">F53+G53</f>
        <v>942050</v>
      </c>
      <c r="I53" s="324">
        <f>'11'!L38</f>
        <v>0</v>
      </c>
      <c r="J53" s="321">
        <f>'11'!M38</f>
        <v>0</v>
      </c>
      <c r="K53" s="331">
        <f t="shared" ref="K53:K90" si="23">I53+J53</f>
        <v>0</v>
      </c>
      <c r="L53" s="326">
        <f t="shared" si="2"/>
        <v>0</v>
      </c>
      <c r="N53" s="291"/>
    </row>
    <row r="54" spans="2:14" s="237" customFormat="1" ht="14.25" x14ac:dyDescent="0.2">
      <c r="B54" s="310"/>
      <c r="C54" s="327">
        <v>614100</v>
      </c>
      <c r="D54" s="351" t="s">
        <v>123</v>
      </c>
      <c r="E54" s="352" t="s">
        <v>285</v>
      </c>
      <c r="F54" s="321">
        <f>'15'!I31</f>
        <v>90000</v>
      </c>
      <c r="G54" s="322">
        <f>'15'!J31</f>
        <v>0</v>
      </c>
      <c r="H54" s="323">
        <f t="shared" si="22"/>
        <v>90000</v>
      </c>
      <c r="I54" s="324">
        <f>'15'!L31</f>
        <v>0</v>
      </c>
      <c r="J54" s="321">
        <f>'15'!M31</f>
        <v>0</v>
      </c>
      <c r="K54" s="331">
        <f t="shared" si="23"/>
        <v>0</v>
      </c>
      <c r="L54" s="326">
        <f t="shared" si="2"/>
        <v>0</v>
      </c>
      <c r="N54" s="291"/>
    </row>
    <row r="55" spans="2:14" s="237" customFormat="1" ht="14.25" x14ac:dyDescent="0.2">
      <c r="B55" s="310"/>
      <c r="C55" s="327">
        <v>614100</v>
      </c>
      <c r="D55" s="349" t="s">
        <v>98</v>
      </c>
      <c r="E55" s="353" t="s">
        <v>286</v>
      </c>
      <c r="F55" s="321">
        <f>'16'!I34</f>
        <v>1000000</v>
      </c>
      <c r="G55" s="322">
        <f>'16'!J34</f>
        <v>0</v>
      </c>
      <c r="H55" s="323">
        <f t="shared" si="22"/>
        <v>1000000</v>
      </c>
      <c r="I55" s="324">
        <f>'16'!L34</f>
        <v>0</v>
      </c>
      <c r="J55" s="321">
        <f>'16'!M34</f>
        <v>0</v>
      </c>
      <c r="K55" s="331">
        <f t="shared" si="23"/>
        <v>0</v>
      </c>
      <c r="L55" s="326">
        <f t="shared" si="2"/>
        <v>0</v>
      </c>
      <c r="N55" s="291"/>
    </row>
    <row r="56" spans="2:14" s="237" customFormat="1" ht="14.25" x14ac:dyDescent="0.2">
      <c r="B56" s="310"/>
      <c r="C56" s="354">
        <v>614100</v>
      </c>
      <c r="D56" s="355"/>
      <c r="E56" s="320" t="s">
        <v>287</v>
      </c>
      <c r="F56" s="321">
        <f>'17'!I30</f>
        <v>1400000</v>
      </c>
      <c r="G56" s="322">
        <f>'17'!J30</f>
        <v>0</v>
      </c>
      <c r="H56" s="323">
        <f t="shared" si="22"/>
        <v>1400000</v>
      </c>
      <c r="I56" s="324">
        <f>'17'!L30</f>
        <v>0</v>
      </c>
      <c r="J56" s="321">
        <f>'17'!M30</f>
        <v>0</v>
      </c>
      <c r="K56" s="331">
        <f t="shared" si="23"/>
        <v>0</v>
      </c>
      <c r="L56" s="326">
        <f t="shared" si="2"/>
        <v>0</v>
      </c>
      <c r="N56" s="291"/>
    </row>
    <row r="57" spans="2:14" s="237" customFormat="1" ht="14.25" x14ac:dyDescent="0.2">
      <c r="B57" s="310"/>
      <c r="C57" s="327">
        <v>614100</v>
      </c>
      <c r="D57" s="351" t="s">
        <v>104</v>
      </c>
      <c r="E57" s="352" t="s">
        <v>288</v>
      </c>
      <c r="F57" s="321">
        <f>'18'!I31</f>
        <v>275603</v>
      </c>
      <c r="G57" s="322">
        <f>'18'!J31</f>
        <v>510740</v>
      </c>
      <c r="H57" s="323">
        <f t="shared" si="22"/>
        <v>786343</v>
      </c>
      <c r="I57" s="324">
        <f>'18'!L31</f>
        <v>0</v>
      </c>
      <c r="J57" s="321">
        <f>'18'!M31</f>
        <v>0</v>
      </c>
      <c r="K57" s="331">
        <f t="shared" si="23"/>
        <v>0</v>
      </c>
      <c r="L57" s="326">
        <f t="shared" si="2"/>
        <v>0</v>
      </c>
      <c r="N57" s="291"/>
    </row>
    <row r="58" spans="2:14" s="237" customFormat="1" ht="14.25" x14ac:dyDescent="0.2">
      <c r="B58" s="310"/>
      <c r="C58" s="327">
        <v>614100</v>
      </c>
      <c r="D58" s="349" t="s">
        <v>106</v>
      </c>
      <c r="E58" s="320" t="s">
        <v>289</v>
      </c>
      <c r="F58" s="321">
        <f>'19'!I30</f>
        <v>0</v>
      </c>
      <c r="G58" s="322">
        <f>'19'!J30</f>
        <v>200000</v>
      </c>
      <c r="H58" s="323">
        <f t="shared" si="22"/>
        <v>200000</v>
      </c>
      <c r="I58" s="324">
        <f>'19'!L30</f>
        <v>0</v>
      </c>
      <c r="J58" s="321">
        <f>'19'!M30</f>
        <v>0</v>
      </c>
      <c r="K58" s="331">
        <f t="shared" si="23"/>
        <v>0</v>
      </c>
      <c r="L58" s="326">
        <f t="shared" si="2"/>
        <v>0</v>
      </c>
      <c r="N58" s="291"/>
    </row>
    <row r="59" spans="2:14" s="237" customFormat="1" ht="14.25" x14ac:dyDescent="0.2">
      <c r="B59" s="310"/>
      <c r="C59" s="354">
        <v>614100</v>
      </c>
      <c r="D59" s="355" t="s">
        <v>110</v>
      </c>
      <c r="E59" s="409" t="s">
        <v>351</v>
      </c>
      <c r="F59" s="321">
        <f>'20'!I34</f>
        <v>117950</v>
      </c>
      <c r="G59" s="322">
        <f>'20'!J34</f>
        <v>0</v>
      </c>
      <c r="H59" s="323">
        <f t="shared" si="22"/>
        <v>117950</v>
      </c>
      <c r="I59" s="324">
        <f>'20'!L34</f>
        <v>0</v>
      </c>
      <c r="J59" s="321">
        <f>'20'!M34</f>
        <v>0</v>
      </c>
      <c r="K59" s="331">
        <f t="shared" si="23"/>
        <v>0</v>
      </c>
      <c r="L59" s="326">
        <f t="shared" si="2"/>
        <v>0</v>
      </c>
      <c r="N59" s="291"/>
    </row>
    <row r="60" spans="2:14" s="237" customFormat="1" ht="14.25" x14ac:dyDescent="0.2">
      <c r="B60" s="310"/>
      <c r="C60" s="354" t="s">
        <v>290</v>
      </c>
      <c r="D60" s="355" t="s">
        <v>111</v>
      </c>
      <c r="E60" s="353" t="s">
        <v>291</v>
      </c>
      <c r="F60" s="321">
        <f>'20'!I35</f>
        <v>450000</v>
      </c>
      <c r="G60" s="322">
        <f>'20'!J35</f>
        <v>0</v>
      </c>
      <c r="H60" s="323">
        <f t="shared" si="22"/>
        <v>450000</v>
      </c>
      <c r="I60" s="324">
        <f>'20'!L35</f>
        <v>0</v>
      </c>
      <c r="J60" s="321">
        <f>'20'!M35</f>
        <v>0</v>
      </c>
      <c r="K60" s="331">
        <f t="shared" si="23"/>
        <v>0</v>
      </c>
      <c r="L60" s="326">
        <f t="shared" si="2"/>
        <v>0</v>
      </c>
      <c r="N60" s="291"/>
    </row>
    <row r="61" spans="2:14" s="237" customFormat="1" ht="14.25" x14ac:dyDescent="0.2">
      <c r="B61" s="310"/>
      <c r="C61" s="354" t="s">
        <v>290</v>
      </c>
      <c r="D61" s="355"/>
      <c r="E61" s="353" t="s">
        <v>352</v>
      </c>
      <c r="F61" s="321">
        <f>'23'!I30</f>
        <v>0</v>
      </c>
      <c r="G61" s="322">
        <f>'23'!J30</f>
        <v>0</v>
      </c>
      <c r="H61" s="323">
        <f>'23'!K30</f>
        <v>0</v>
      </c>
      <c r="I61" s="324">
        <f>'23'!L30</f>
        <v>0</v>
      </c>
      <c r="J61" s="321">
        <f>'23'!M30</f>
        <v>0</v>
      </c>
      <c r="K61" s="331">
        <f>'23'!N30</f>
        <v>0</v>
      </c>
      <c r="L61" s="326" t="str">
        <f t="shared" ref="L61" si="24">IF(H61=0,"",K61/H61*100)</f>
        <v/>
      </c>
      <c r="N61" s="291"/>
    </row>
    <row r="62" spans="2:14" ht="14.25" x14ac:dyDescent="0.2">
      <c r="B62" s="148"/>
      <c r="C62" s="356" t="s">
        <v>292</v>
      </c>
      <c r="D62" s="357"/>
      <c r="E62" s="358" t="s">
        <v>293</v>
      </c>
      <c r="F62" s="342">
        <f>SUM(F63:F70)</f>
        <v>8675000</v>
      </c>
      <c r="G62" s="343">
        <f>SUM(G63:G70)</f>
        <v>506000</v>
      </c>
      <c r="H62" s="344">
        <f t="shared" si="22"/>
        <v>9181000</v>
      </c>
      <c r="I62" s="345">
        <f>SUM(I63:I70)</f>
        <v>0</v>
      </c>
      <c r="J62" s="342">
        <f>SUM(J63:J70)</f>
        <v>0</v>
      </c>
      <c r="K62" s="315">
        <f t="shared" si="23"/>
        <v>0</v>
      </c>
      <c r="L62" s="316">
        <f t="shared" si="2"/>
        <v>0</v>
      </c>
      <c r="N62" s="291"/>
    </row>
    <row r="63" spans="2:14" s="237" customFormat="1" ht="14.25" x14ac:dyDescent="0.2">
      <c r="B63" s="310"/>
      <c r="C63" s="354" t="s">
        <v>292</v>
      </c>
      <c r="D63" s="355" t="s">
        <v>91</v>
      </c>
      <c r="E63" s="329" t="s">
        <v>294</v>
      </c>
      <c r="F63" s="321">
        <f>'20'!I38</f>
        <v>200000</v>
      </c>
      <c r="G63" s="322">
        <f>'20'!J38</f>
        <v>0</v>
      </c>
      <c r="H63" s="323">
        <f>'20'!K38</f>
        <v>200000</v>
      </c>
      <c r="I63" s="324">
        <f>'20'!L38</f>
        <v>0</v>
      </c>
      <c r="J63" s="321">
        <f>'20'!M38</f>
        <v>0</v>
      </c>
      <c r="K63" s="331">
        <f>'20'!N38</f>
        <v>0</v>
      </c>
      <c r="L63" s="326">
        <f t="shared" si="2"/>
        <v>0</v>
      </c>
      <c r="N63" s="291"/>
    </row>
    <row r="64" spans="2:14" s="237" customFormat="1" ht="25.5" x14ac:dyDescent="0.2">
      <c r="B64" s="310"/>
      <c r="C64" s="354">
        <v>614200</v>
      </c>
      <c r="D64" s="355" t="s">
        <v>129</v>
      </c>
      <c r="E64" s="359" t="s">
        <v>328</v>
      </c>
      <c r="F64" s="321">
        <f>'11'!I167</f>
        <v>550000</v>
      </c>
      <c r="G64" s="322">
        <f>'11'!J167</f>
        <v>0</v>
      </c>
      <c r="H64" s="323">
        <f t="shared" si="22"/>
        <v>550000</v>
      </c>
      <c r="I64" s="324">
        <f>'11'!L167</f>
        <v>0</v>
      </c>
      <c r="J64" s="321">
        <f>'11'!M167</f>
        <v>0</v>
      </c>
      <c r="K64" s="331">
        <f t="shared" si="23"/>
        <v>0</v>
      </c>
      <c r="L64" s="326">
        <f t="shared" si="2"/>
        <v>0</v>
      </c>
      <c r="N64" s="291"/>
    </row>
    <row r="65" spans="2:14" s="237" customFormat="1" ht="14.25" x14ac:dyDescent="0.2">
      <c r="B65" s="310"/>
      <c r="C65" s="354" t="s">
        <v>292</v>
      </c>
      <c r="D65" s="355" t="s">
        <v>119</v>
      </c>
      <c r="E65" s="320" t="s">
        <v>295</v>
      </c>
      <c r="F65" s="321">
        <f>'17'!I31</f>
        <v>200000</v>
      </c>
      <c r="G65" s="322">
        <f>'17'!J31</f>
        <v>0</v>
      </c>
      <c r="H65" s="323">
        <f t="shared" si="22"/>
        <v>200000</v>
      </c>
      <c r="I65" s="324">
        <f>'17'!L31</f>
        <v>0</v>
      </c>
      <c r="J65" s="321">
        <f>'17'!M31</f>
        <v>0</v>
      </c>
      <c r="K65" s="331">
        <f t="shared" si="23"/>
        <v>0</v>
      </c>
      <c r="L65" s="326">
        <f t="shared" si="2"/>
        <v>0</v>
      </c>
      <c r="N65" s="291"/>
    </row>
    <row r="66" spans="2:14" s="237" customFormat="1" ht="14.25" x14ac:dyDescent="0.2">
      <c r="B66" s="310"/>
      <c r="C66" s="354" t="s">
        <v>292</v>
      </c>
      <c r="D66" s="355" t="s">
        <v>120</v>
      </c>
      <c r="E66" s="320" t="s">
        <v>296</v>
      </c>
      <c r="F66" s="321">
        <f>'17'!I32</f>
        <v>5325000</v>
      </c>
      <c r="G66" s="322">
        <f>'17'!J32</f>
        <v>245000</v>
      </c>
      <c r="H66" s="323">
        <f t="shared" si="22"/>
        <v>5570000</v>
      </c>
      <c r="I66" s="324">
        <f>'17'!L32</f>
        <v>0</v>
      </c>
      <c r="J66" s="321">
        <f>'17'!M32</f>
        <v>0</v>
      </c>
      <c r="K66" s="331">
        <f t="shared" si="23"/>
        <v>0</v>
      </c>
      <c r="L66" s="326">
        <f t="shared" si="2"/>
        <v>0</v>
      </c>
      <c r="N66" s="291"/>
    </row>
    <row r="67" spans="2:14" s="237" customFormat="1" ht="14.25" x14ac:dyDescent="0.2">
      <c r="B67" s="310"/>
      <c r="C67" s="354" t="s">
        <v>292</v>
      </c>
      <c r="D67" s="355" t="s">
        <v>112</v>
      </c>
      <c r="E67" s="353" t="s">
        <v>297</v>
      </c>
      <c r="F67" s="321">
        <f>'20'!I36</f>
        <v>200000</v>
      </c>
      <c r="G67" s="322">
        <f>'20'!J36</f>
        <v>0</v>
      </c>
      <c r="H67" s="323">
        <f t="shared" si="22"/>
        <v>200000</v>
      </c>
      <c r="I67" s="324">
        <f>'20'!L36</f>
        <v>0</v>
      </c>
      <c r="J67" s="321">
        <f>'20'!M36</f>
        <v>0</v>
      </c>
      <c r="K67" s="331">
        <f t="shared" si="23"/>
        <v>0</v>
      </c>
      <c r="L67" s="326">
        <f t="shared" si="2"/>
        <v>0</v>
      </c>
      <c r="N67" s="291"/>
    </row>
    <row r="68" spans="2:14" s="237" customFormat="1" ht="18" customHeight="1" x14ac:dyDescent="0.2">
      <c r="B68" s="310"/>
      <c r="C68" s="354" t="s">
        <v>292</v>
      </c>
      <c r="D68" s="355" t="s">
        <v>334</v>
      </c>
      <c r="E68" s="359" t="s">
        <v>338</v>
      </c>
      <c r="F68" s="321">
        <f>'20'!I37</f>
        <v>50000</v>
      </c>
      <c r="G68" s="322">
        <f>'20'!J37</f>
        <v>0</v>
      </c>
      <c r="H68" s="323">
        <f t="shared" ref="H68" si="25">F68+G68</f>
        <v>50000</v>
      </c>
      <c r="I68" s="324">
        <f>'20'!L37</f>
        <v>0</v>
      </c>
      <c r="J68" s="321">
        <f>'20'!M37</f>
        <v>0</v>
      </c>
      <c r="K68" s="331">
        <f t="shared" ref="K68" si="26">I68+J68</f>
        <v>0</v>
      </c>
      <c r="L68" s="326">
        <f t="shared" ref="L68" si="27">IF(H68=0,"",K68/H68*100)</f>
        <v>0</v>
      </c>
      <c r="N68" s="291"/>
    </row>
    <row r="69" spans="2:14" s="237" customFormat="1" ht="14.25" x14ac:dyDescent="0.2">
      <c r="B69" s="310"/>
      <c r="C69" s="354">
        <v>614200</v>
      </c>
      <c r="D69" s="355" t="s">
        <v>115</v>
      </c>
      <c r="E69" s="353" t="s">
        <v>298</v>
      </c>
      <c r="F69" s="321">
        <f>'21'!I30</f>
        <v>2050000</v>
      </c>
      <c r="G69" s="322">
        <f>'21'!J30</f>
        <v>0</v>
      </c>
      <c r="H69" s="323">
        <f t="shared" si="22"/>
        <v>2050000</v>
      </c>
      <c r="I69" s="324">
        <f>'21'!L30</f>
        <v>0</v>
      </c>
      <c r="J69" s="321">
        <f>'21'!M30</f>
        <v>0</v>
      </c>
      <c r="K69" s="331">
        <f t="shared" si="23"/>
        <v>0</v>
      </c>
      <c r="L69" s="326">
        <f t="shared" si="2"/>
        <v>0</v>
      </c>
      <c r="N69" s="291"/>
    </row>
    <row r="70" spans="2:14" s="237" customFormat="1" ht="14.25" x14ac:dyDescent="0.2">
      <c r="B70" s="310"/>
      <c r="C70" s="354" t="s">
        <v>292</v>
      </c>
      <c r="D70" s="355" t="s">
        <v>116</v>
      </c>
      <c r="E70" s="320" t="s">
        <v>299</v>
      </c>
      <c r="F70" s="321">
        <f>'23'!I31</f>
        <v>100000</v>
      </c>
      <c r="G70" s="322">
        <f>'23'!J31</f>
        <v>261000</v>
      </c>
      <c r="H70" s="323">
        <f>'23'!K31</f>
        <v>361000</v>
      </c>
      <c r="I70" s="324">
        <f>'23'!L31</f>
        <v>0</v>
      </c>
      <c r="J70" s="321">
        <f>'23'!M31</f>
        <v>0</v>
      </c>
      <c r="K70" s="331">
        <f>'23'!N31</f>
        <v>0</v>
      </c>
      <c r="L70" s="326">
        <f t="shared" si="2"/>
        <v>0</v>
      </c>
      <c r="N70" s="291"/>
    </row>
    <row r="71" spans="2:14" ht="14.25" x14ac:dyDescent="0.2">
      <c r="B71" s="148"/>
      <c r="C71" s="356" t="s">
        <v>300</v>
      </c>
      <c r="D71" s="357"/>
      <c r="E71" s="360" t="s">
        <v>301</v>
      </c>
      <c r="F71" s="342">
        <f t="shared" ref="F71:K71" si="28">SUM(F72:F82)</f>
        <v>2050000</v>
      </c>
      <c r="G71" s="343">
        <f t="shared" si="28"/>
        <v>0</v>
      </c>
      <c r="H71" s="344">
        <f t="shared" si="28"/>
        <v>2050000</v>
      </c>
      <c r="I71" s="345">
        <f t="shared" si="28"/>
        <v>0</v>
      </c>
      <c r="J71" s="342">
        <f t="shared" si="28"/>
        <v>0</v>
      </c>
      <c r="K71" s="315">
        <f t="shared" si="28"/>
        <v>0</v>
      </c>
      <c r="L71" s="316">
        <f t="shared" si="2"/>
        <v>0</v>
      </c>
      <c r="N71" s="291"/>
    </row>
    <row r="72" spans="2:14" s="237" customFormat="1" ht="14.25" x14ac:dyDescent="0.2">
      <c r="B72" s="310"/>
      <c r="C72" s="354" t="s">
        <v>300</v>
      </c>
      <c r="D72" s="355" t="s">
        <v>170</v>
      </c>
      <c r="E72" s="353" t="s">
        <v>302</v>
      </c>
      <c r="F72" s="321">
        <f>'11'!I42</f>
        <v>150000</v>
      </c>
      <c r="G72" s="322">
        <f>'11'!J42</f>
        <v>0</v>
      </c>
      <c r="H72" s="323">
        <f t="shared" si="22"/>
        <v>150000</v>
      </c>
      <c r="I72" s="324">
        <f>'11'!L42</f>
        <v>0</v>
      </c>
      <c r="J72" s="321">
        <f>'11'!M42</f>
        <v>0</v>
      </c>
      <c r="K72" s="331">
        <f t="shared" si="23"/>
        <v>0</v>
      </c>
      <c r="L72" s="326">
        <f t="shared" si="2"/>
        <v>0</v>
      </c>
      <c r="N72" s="291"/>
    </row>
    <row r="73" spans="2:14" s="237" customFormat="1" ht="14.25" x14ac:dyDescent="0.2">
      <c r="B73" s="310"/>
      <c r="C73" s="354" t="s">
        <v>300</v>
      </c>
      <c r="D73" s="355" t="s">
        <v>332</v>
      </c>
      <c r="E73" s="353" t="s">
        <v>333</v>
      </c>
      <c r="F73" s="321">
        <f>'11'!I43</f>
        <v>140000</v>
      </c>
      <c r="G73" s="322">
        <f>'11'!J43</f>
        <v>0</v>
      </c>
      <c r="H73" s="323">
        <f t="shared" ref="H73" si="29">F73+G73</f>
        <v>140000</v>
      </c>
      <c r="I73" s="324">
        <f>'11'!L43</f>
        <v>0</v>
      </c>
      <c r="J73" s="321">
        <f>'11'!M43</f>
        <v>0</v>
      </c>
      <c r="K73" s="331">
        <f t="shared" ref="K73" si="30">I73+J73</f>
        <v>0</v>
      </c>
      <c r="L73" s="326">
        <f t="shared" ref="L73" si="31">IF(H73=0,"",K73/H73*100)</f>
        <v>0</v>
      </c>
      <c r="N73" s="291"/>
    </row>
    <row r="74" spans="2:14" s="237" customFormat="1" ht="14.25" x14ac:dyDescent="0.2">
      <c r="B74" s="310"/>
      <c r="C74" s="354" t="s">
        <v>300</v>
      </c>
      <c r="D74" s="355" t="s">
        <v>92</v>
      </c>
      <c r="E74" s="320" t="s">
        <v>303</v>
      </c>
      <c r="F74" s="321">
        <f>'11'!I39</f>
        <v>100000</v>
      </c>
      <c r="G74" s="322">
        <f>'11'!J39</f>
        <v>0</v>
      </c>
      <c r="H74" s="323">
        <f t="shared" si="22"/>
        <v>100000</v>
      </c>
      <c r="I74" s="324">
        <f>'11'!L39</f>
        <v>0</v>
      </c>
      <c r="J74" s="321">
        <f>'11'!M39</f>
        <v>0</v>
      </c>
      <c r="K74" s="331">
        <f t="shared" si="23"/>
        <v>0</v>
      </c>
      <c r="L74" s="326">
        <f t="shared" si="2"/>
        <v>0</v>
      </c>
      <c r="N74" s="291"/>
    </row>
    <row r="75" spans="2:14" ht="14.25" x14ac:dyDescent="0.2">
      <c r="B75" s="148"/>
      <c r="C75" s="354" t="s">
        <v>300</v>
      </c>
      <c r="D75" s="355" t="s">
        <v>93</v>
      </c>
      <c r="E75" s="320" t="s">
        <v>304</v>
      </c>
      <c r="F75" s="321">
        <f>'11'!I40</f>
        <v>40000</v>
      </c>
      <c r="G75" s="322">
        <f>'11'!J40</f>
        <v>0</v>
      </c>
      <c r="H75" s="323">
        <f t="shared" si="22"/>
        <v>40000</v>
      </c>
      <c r="I75" s="324">
        <f>'11'!L40</f>
        <v>0</v>
      </c>
      <c r="J75" s="321">
        <f>'11'!M40</f>
        <v>0</v>
      </c>
      <c r="K75" s="331">
        <f t="shared" si="23"/>
        <v>0</v>
      </c>
      <c r="L75" s="326">
        <f t="shared" si="2"/>
        <v>0</v>
      </c>
      <c r="N75" s="291"/>
    </row>
    <row r="76" spans="2:14" s="237" customFormat="1" ht="14.25" x14ac:dyDescent="0.2">
      <c r="B76" s="361"/>
      <c r="C76" s="354" t="s">
        <v>300</v>
      </c>
      <c r="D76" s="355" t="s">
        <v>94</v>
      </c>
      <c r="E76" s="320" t="s">
        <v>305</v>
      </c>
      <c r="F76" s="321">
        <f>'11'!I41</f>
        <v>40000</v>
      </c>
      <c r="G76" s="322">
        <f>'11'!J41</f>
        <v>0</v>
      </c>
      <c r="H76" s="323">
        <f t="shared" si="22"/>
        <v>40000</v>
      </c>
      <c r="I76" s="324">
        <f>'11'!L41</f>
        <v>0</v>
      </c>
      <c r="J76" s="321">
        <f>'11'!M41</f>
        <v>0</v>
      </c>
      <c r="K76" s="331">
        <f t="shared" si="23"/>
        <v>0</v>
      </c>
      <c r="L76" s="326">
        <f t="shared" ref="L76:L118" si="32">IF(H76=0,"",K76/H76*100)</f>
        <v>0</v>
      </c>
      <c r="N76" s="291"/>
    </row>
    <row r="77" spans="2:14" s="365" customFormat="1" ht="14.25" x14ac:dyDescent="0.2">
      <c r="B77" s="362"/>
      <c r="C77" s="363" t="s">
        <v>300</v>
      </c>
      <c r="D77" s="364" t="s">
        <v>169</v>
      </c>
      <c r="E77" s="320" t="s">
        <v>306</v>
      </c>
      <c r="F77" s="321">
        <f>'17'!I33</f>
        <v>150000</v>
      </c>
      <c r="G77" s="322">
        <f>'17'!J33</f>
        <v>0</v>
      </c>
      <c r="H77" s="323">
        <f t="shared" si="22"/>
        <v>150000</v>
      </c>
      <c r="I77" s="324">
        <f>'17'!L33</f>
        <v>0</v>
      </c>
      <c r="J77" s="321">
        <f>'17'!M33</f>
        <v>0</v>
      </c>
      <c r="K77" s="325">
        <f t="shared" si="23"/>
        <v>0</v>
      </c>
      <c r="L77" s="326">
        <f t="shared" si="32"/>
        <v>0</v>
      </c>
      <c r="N77" s="291"/>
    </row>
    <row r="78" spans="2:14" ht="15" thickBot="1" x14ac:dyDescent="0.25">
      <c r="B78" s="366"/>
      <c r="C78" s="354" t="s">
        <v>300</v>
      </c>
      <c r="D78" s="355" t="s">
        <v>113</v>
      </c>
      <c r="E78" s="353" t="s">
        <v>307</v>
      </c>
      <c r="F78" s="321">
        <f>'20'!I39</f>
        <v>450000</v>
      </c>
      <c r="G78" s="322">
        <f>'20'!J39</f>
        <v>0</v>
      </c>
      <c r="H78" s="323">
        <f t="shared" si="22"/>
        <v>450000</v>
      </c>
      <c r="I78" s="324">
        <f>'20'!L39</f>
        <v>0</v>
      </c>
      <c r="J78" s="321">
        <f>'20'!M39</f>
        <v>0</v>
      </c>
      <c r="K78" s="331">
        <f t="shared" si="23"/>
        <v>0</v>
      </c>
      <c r="L78" s="326">
        <f t="shared" si="32"/>
        <v>0</v>
      </c>
      <c r="N78" s="291"/>
    </row>
    <row r="79" spans="2:14" ht="14.25" x14ac:dyDescent="0.2">
      <c r="C79" s="354" t="s">
        <v>300</v>
      </c>
      <c r="D79" s="355" t="s">
        <v>114</v>
      </c>
      <c r="E79" s="353" t="s">
        <v>308</v>
      </c>
      <c r="F79" s="321">
        <f>'20'!I40</f>
        <v>60000</v>
      </c>
      <c r="G79" s="322">
        <f>'20'!J40</f>
        <v>0</v>
      </c>
      <c r="H79" s="323">
        <f t="shared" si="22"/>
        <v>60000</v>
      </c>
      <c r="I79" s="324">
        <f>'20'!L40</f>
        <v>0</v>
      </c>
      <c r="J79" s="321">
        <f>'20'!M40</f>
        <v>0</v>
      </c>
      <c r="K79" s="331">
        <f t="shared" si="23"/>
        <v>0</v>
      </c>
      <c r="L79" s="326">
        <f t="shared" si="32"/>
        <v>0</v>
      </c>
      <c r="N79" s="291"/>
    </row>
    <row r="80" spans="2:14" ht="14.25" x14ac:dyDescent="0.2">
      <c r="C80" s="354" t="s">
        <v>300</v>
      </c>
      <c r="D80" s="355" t="s">
        <v>121</v>
      </c>
      <c r="E80" s="353" t="s">
        <v>309</v>
      </c>
      <c r="F80" s="321">
        <f>'20'!I41</f>
        <v>500000</v>
      </c>
      <c r="G80" s="322">
        <f>'20'!J41</f>
        <v>0</v>
      </c>
      <c r="H80" s="323">
        <f t="shared" si="22"/>
        <v>500000</v>
      </c>
      <c r="I80" s="324">
        <f>'20'!L41</f>
        <v>0</v>
      </c>
      <c r="J80" s="321">
        <f>'20'!M41</f>
        <v>0</v>
      </c>
      <c r="K80" s="331">
        <f t="shared" si="23"/>
        <v>0</v>
      </c>
      <c r="L80" s="326">
        <f t="shared" si="32"/>
        <v>0</v>
      </c>
      <c r="N80" s="291"/>
    </row>
    <row r="81" spans="3:14" ht="14.25" x14ac:dyDescent="0.2">
      <c r="C81" s="354" t="s">
        <v>300</v>
      </c>
      <c r="D81" s="355" t="s">
        <v>122</v>
      </c>
      <c r="E81" s="353" t="s">
        <v>310</v>
      </c>
      <c r="F81" s="321">
        <f>'20'!I42</f>
        <v>200000</v>
      </c>
      <c r="G81" s="322">
        <f>'20'!J42</f>
        <v>0</v>
      </c>
      <c r="H81" s="323">
        <f t="shared" si="22"/>
        <v>200000</v>
      </c>
      <c r="I81" s="324">
        <f>'20'!L42</f>
        <v>0</v>
      </c>
      <c r="J81" s="321">
        <f>'20'!M42</f>
        <v>0</v>
      </c>
      <c r="K81" s="331">
        <f t="shared" si="23"/>
        <v>0</v>
      </c>
      <c r="L81" s="326">
        <f t="shared" si="32"/>
        <v>0</v>
      </c>
      <c r="N81" s="291"/>
    </row>
    <row r="82" spans="3:14" ht="14.25" x14ac:dyDescent="0.2">
      <c r="C82" s="354" t="s">
        <v>300</v>
      </c>
      <c r="D82" s="355"/>
      <c r="E82" s="353" t="s">
        <v>371</v>
      </c>
      <c r="F82" s="321">
        <f>'21'!I31</f>
        <v>220000</v>
      </c>
      <c r="G82" s="322">
        <f>'21'!J31</f>
        <v>0</v>
      </c>
      <c r="H82" s="323">
        <f>'21'!K31</f>
        <v>220000</v>
      </c>
      <c r="I82" s="324">
        <f>'21'!L31</f>
        <v>0</v>
      </c>
      <c r="J82" s="321">
        <f>'21'!M31</f>
        <v>0</v>
      </c>
      <c r="K82" s="331">
        <f>'21'!N31</f>
        <v>0</v>
      </c>
      <c r="L82" s="326">
        <f t="shared" ref="L82" si="33">IF(H82=0,"",K82/H82*100)</f>
        <v>0</v>
      </c>
      <c r="N82" s="291"/>
    </row>
    <row r="83" spans="3:14" ht="14.25" x14ac:dyDescent="0.2">
      <c r="C83" s="356" t="s">
        <v>311</v>
      </c>
      <c r="D83" s="357"/>
      <c r="E83" s="360" t="s">
        <v>312</v>
      </c>
      <c r="F83" s="342">
        <f>SUM(F84:F87)</f>
        <v>3550000</v>
      </c>
      <c r="G83" s="343">
        <f t="shared" ref="G83:J83" si="34">SUM(G84:G87)</f>
        <v>200000</v>
      </c>
      <c r="H83" s="344">
        <f t="shared" si="22"/>
        <v>3750000</v>
      </c>
      <c r="I83" s="345">
        <f t="shared" si="34"/>
        <v>0</v>
      </c>
      <c r="J83" s="342">
        <f t="shared" si="34"/>
        <v>0</v>
      </c>
      <c r="K83" s="315">
        <f t="shared" si="23"/>
        <v>0</v>
      </c>
      <c r="L83" s="316">
        <f t="shared" si="32"/>
        <v>0</v>
      </c>
      <c r="N83" s="291"/>
    </row>
    <row r="84" spans="3:14" ht="14.25" x14ac:dyDescent="0.2">
      <c r="C84" s="354" t="s">
        <v>311</v>
      </c>
      <c r="D84" s="355" t="s">
        <v>96</v>
      </c>
      <c r="E84" s="353" t="s">
        <v>313</v>
      </c>
      <c r="F84" s="321">
        <f>'15'!I32</f>
        <v>1500000</v>
      </c>
      <c r="G84" s="322">
        <f>'15'!J32</f>
        <v>0</v>
      </c>
      <c r="H84" s="323">
        <f t="shared" si="22"/>
        <v>1500000</v>
      </c>
      <c r="I84" s="324">
        <f>'15'!L32</f>
        <v>0</v>
      </c>
      <c r="J84" s="321">
        <f>'15'!M32</f>
        <v>0</v>
      </c>
      <c r="K84" s="331">
        <f t="shared" si="23"/>
        <v>0</v>
      </c>
      <c r="L84" s="326">
        <f t="shared" si="32"/>
        <v>0</v>
      </c>
      <c r="N84" s="291"/>
    </row>
    <row r="85" spans="3:14" ht="14.25" x14ac:dyDescent="0.2">
      <c r="C85" s="354" t="s">
        <v>311</v>
      </c>
      <c r="D85" s="355" t="s">
        <v>105</v>
      </c>
      <c r="E85" s="353" t="s">
        <v>314</v>
      </c>
      <c r="F85" s="321">
        <f>'19'!I31</f>
        <v>1850000</v>
      </c>
      <c r="G85" s="322">
        <f>'19'!J31</f>
        <v>0</v>
      </c>
      <c r="H85" s="323">
        <f t="shared" si="22"/>
        <v>1850000</v>
      </c>
      <c r="I85" s="324">
        <f>'19'!L31</f>
        <v>0</v>
      </c>
      <c r="J85" s="321">
        <f>'19'!M31</f>
        <v>0</v>
      </c>
      <c r="K85" s="331">
        <f t="shared" si="23"/>
        <v>0</v>
      </c>
      <c r="L85" s="326">
        <f t="shared" si="32"/>
        <v>0</v>
      </c>
      <c r="N85" s="291"/>
    </row>
    <row r="86" spans="3:14" ht="14.25" x14ac:dyDescent="0.2">
      <c r="C86" s="354" t="s">
        <v>311</v>
      </c>
      <c r="D86" s="355" t="s">
        <v>107</v>
      </c>
      <c r="E86" s="353" t="s">
        <v>315</v>
      </c>
      <c r="F86" s="321">
        <f>'19'!I32</f>
        <v>200000</v>
      </c>
      <c r="G86" s="322">
        <f>'19'!J32</f>
        <v>0</v>
      </c>
      <c r="H86" s="323">
        <f t="shared" si="22"/>
        <v>200000</v>
      </c>
      <c r="I86" s="324">
        <f>'19'!L32</f>
        <v>0</v>
      </c>
      <c r="J86" s="321">
        <f>'19'!M32</f>
        <v>0</v>
      </c>
      <c r="K86" s="331">
        <f t="shared" si="23"/>
        <v>0</v>
      </c>
      <c r="L86" s="326">
        <f t="shared" si="32"/>
        <v>0</v>
      </c>
      <c r="N86" s="291"/>
    </row>
    <row r="87" spans="3:14" ht="14.25" x14ac:dyDescent="0.2">
      <c r="C87" s="354" t="s">
        <v>311</v>
      </c>
      <c r="D87" s="355" t="s">
        <v>108</v>
      </c>
      <c r="E87" s="353" t="s">
        <v>316</v>
      </c>
      <c r="F87" s="321">
        <f>'19'!I33</f>
        <v>0</v>
      </c>
      <c r="G87" s="322">
        <f>'19'!J33</f>
        <v>200000</v>
      </c>
      <c r="H87" s="323">
        <f t="shared" si="22"/>
        <v>200000</v>
      </c>
      <c r="I87" s="324">
        <f>'19'!L33</f>
        <v>0</v>
      </c>
      <c r="J87" s="321">
        <f>'19'!M33</f>
        <v>0</v>
      </c>
      <c r="K87" s="331">
        <f t="shared" si="23"/>
        <v>0</v>
      </c>
      <c r="L87" s="326">
        <f t="shared" si="32"/>
        <v>0</v>
      </c>
      <c r="N87" s="291"/>
    </row>
    <row r="88" spans="3:14" ht="14.25" x14ac:dyDescent="0.2">
      <c r="C88" s="356">
        <v>614800</v>
      </c>
      <c r="D88" s="357"/>
      <c r="E88" s="360" t="s">
        <v>317</v>
      </c>
      <c r="F88" s="342">
        <f>SUM(F89:F90)</f>
        <v>135000</v>
      </c>
      <c r="G88" s="343">
        <f t="shared" ref="G88:J88" si="35">SUM(G89:G90)</f>
        <v>0</v>
      </c>
      <c r="H88" s="344">
        <f t="shared" si="22"/>
        <v>135000</v>
      </c>
      <c r="I88" s="345">
        <f t="shared" si="35"/>
        <v>0</v>
      </c>
      <c r="J88" s="342">
        <f t="shared" si="35"/>
        <v>0</v>
      </c>
      <c r="K88" s="315">
        <f t="shared" si="23"/>
        <v>0</v>
      </c>
      <c r="L88" s="316">
        <f t="shared" si="32"/>
        <v>0</v>
      </c>
      <c r="N88" s="291"/>
    </row>
    <row r="89" spans="3:14" ht="14.25" x14ac:dyDescent="0.2">
      <c r="C89" s="354">
        <v>614800</v>
      </c>
      <c r="D89" s="355" t="s">
        <v>99</v>
      </c>
      <c r="E89" s="353" t="s">
        <v>318</v>
      </c>
      <c r="F89" s="321">
        <f>'16'!I35</f>
        <v>130000</v>
      </c>
      <c r="G89" s="322">
        <f>'16'!J35</f>
        <v>0</v>
      </c>
      <c r="H89" s="323">
        <f t="shared" si="22"/>
        <v>130000</v>
      </c>
      <c r="I89" s="324">
        <f>'16'!L35</f>
        <v>0</v>
      </c>
      <c r="J89" s="321">
        <f>'16'!M35</f>
        <v>0</v>
      </c>
      <c r="K89" s="331">
        <f t="shared" si="23"/>
        <v>0</v>
      </c>
      <c r="L89" s="326">
        <f t="shared" si="32"/>
        <v>0</v>
      </c>
      <c r="N89" s="291"/>
    </row>
    <row r="90" spans="3:14" ht="25.5" x14ac:dyDescent="0.2">
      <c r="C90" s="354">
        <v>614800</v>
      </c>
      <c r="D90" s="355" t="s">
        <v>100</v>
      </c>
      <c r="E90" s="359" t="s">
        <v>319</v>
      </c>
      <c r="F90" s="321">
        <f>'16'!I36</f>
        <v>5000</v>
      </c>
      <c r="G90" s="322">
        <f>'16'!J36</f>
        <v>0</v>
      </c>
      <c r="H90" s="323">
        <f t="shared" si="22"/>
        <v>5000</v>
      </c>
      <c r="I90" s="324">
        <f>'16'!L36</f>
        <v>0</v>
      </c>
      <c r="J90" s="321">
        <f>'16'!M36</f>
        <v>0</v>
      </c>
      <c r="K90" s="331">
        <f t="shared" si="23"/>
        <v>0</v>
      </c>
      <c r="L90" s="326">
        <f t="shared" si="32"/>
        <v>0</v>
      </c>
      <c r="N90" s="291"/>
    </row>
    <row r="91" spans="3:14" ht="15" x14ac:dyDescent="0.2">
      <c r="C91" s="367"/>
      <c r="D91" s="368"/>
      <c r="E91" s="369"/>
      <c r="F91" s="370"/>
      <c r="G91" s="371"/>
      <c r="H91" s="372"/>
      <c r="I91" s="373"/>
      <c r="J91" s="370"/>
      <c r="K91" s="308"/>
      <c r="L91" s="316" t="str">
        <f t="shared" si="32"/>
        <v/>
      </c>
    </row>
    <row r="92" spans="3:14" ht="15" x14ac:dyDescent="0.2">
      <c r="C92" s="374">
        <v>615000</v>
      </c>
      <c r="D92" s="375"/>
      <c r="E92" s="376" t="s">
        <v>11</v>
      </c>
      <c r="F92" s="304">
        <f>SUM(F93:F98)</f>
        <v>1519610</v>
      </c>
      <c r="G92" s="305">
        <f t="shared" ref="G92:K92" si="36">SUM(G93:G98)</f>
        <v>990390</v>
      </c>
      <c r="H92" s="306">
        <f t="shared" si="36"/>
        <v>2510000</v>
      </c>
      <c r="I92" s="307">
        <f t="shared" si="36"/>
        <v>0</v>
      </c>
      <c r="J92" s="304">
        <f t="shared" si="36"/>
        <v>0</v>
      </c>
      <c r="K92" s="308">
        <f t="shared" si="36"/>
        <v>0</v>
      </c>
      <c r="L92" s="309">
        <f t="shared" si="32"/>
        <v>0</v>
      </c>
    </row>
    <row r="93" spans="3:14" ht="14.25" x14ac:dyDescent="0.2">
      <c r="C93" s="377" t="s">
        <v>320</v>
      </c>
      <c r="D93" s="357"/>
      <c r="E93" s="378" t="s">
        <v>234</v>
      </c>
      <c r="F93" s="312">
        <f>'11'!I46</f>
        <v>310000</v>
      </c>
      <c r="G93" s="313">
        <f>'11'!J46</f>
        <v>0</v>
      </c>
      <c r="H93" s="314">
        <f t="shared" ref="H93:H98" si="37">F93+G93</f>
        <v>310000</v>
      </c>
      <c r="I93" s="176">
        <f>'11'!L46</f>
        <v>0</v>
      </c>
      <c r="J93" s="312">
        <f>'11'!M46</f>
        <v>0</v>
      </c>
      <c r="K93" s="315">
        <f t="shared" ref="K93:K98" si="38">I93+J93</f>
        <v>0</v>
      </c>
      <c r="L93" s="316">
        <f t="shared" si="32"/>
        <v>0</v>
      </c>
    </row>
    <row r="94" spans="3:14" ht="25.5" x14ac:dyDescent="0.2">
      <c r="C94" s="377" t="s">
        <v>320</v>
      </c>
      <c r="D94" s="357" t="s">
        <v>239</v>
      </c>
      <c r="E94" s="379" t="s">
        <v>340</v>
      </c>
      <c r="F94" s="312">
        <f>'15'!I35</f>
        <v>0</v>
      </c>
      <c r="G94" s="313">
        <f>'15'!J35</f>
        <v>0</v>
      </c>
      <c r="H94" s="314">
        <f t="shared" si="37"/>
        <v>0</v>
      </c>
      <c r="I94" s="176">
        <f>'15'!L35</f>
        <v>0</v>
      </c>
      <c r="J94" s="312">
        <f>'15'!M35</f>
        <v>0</v>
      </c>
      <c r="K94" s="315">
        <f t="shared" si="38"/>
        <v>0</v>
      </c>
      <c r="L94" s="316" t="str">
        <f t="shared" si="32"/>
        <v/>
      </c>
    </row>
    <row r="95" spans="3:14" ht="14.25" x14ac:dyDescent="0.2">
      <c r="C95" s="377" t="s">
        <v>320</v>
      </c>
      <c r="D95" s="357" t="s">
        <v>157</v>
      </c>
      <c r="E95" s="378" t="s">
        <v>134</v>
      </c>
      <c r="F95" s="312">
        <f>'19'!I36</f>
        <v>159610</v>
      </c>
      <c r="G95" s="313">
        <f>'19'!J36</f>
        <v>340390</v>
      </c>
      <c r="H95" s="314">
        <f t="shared" si="37"/>
        <v>500000</v>
      </c>
      <c r="I95" s="176">
        <f>'19'!L36</f>
        <v>0</v>
      </c>
      <c r="J95" s="312">
        <f>'19'!M36</f>
        <v>0</v>
      </c>
      <c r="K95" s="315">
        <f t="shared" si="38"/>
        <v>0</v>
      </c>
      <c r="L95" s="316">
        <f t="shared" si="32"/>
        <v>0</v>
      </c>
    </row>
    <row r="96" spans="3:14" ht="14.25" x14ac:dyDescent="0.2">
      <c r="C96" s="377" t="s">
        <v>320</v>
      </c>
      <c r="D96" s="357" t="s">
        <v>158</v>
      </c>
      <c r="E96" s="378" t="s">
        <v>133</v>
      </c>
      <c r="F96" s="312">
        <f>'19'!I37</f>
        <v>0</v>
      </c>
      <c r="G96" s="313">
        <f>'19'!J37</f>
        <v>150000</v>
      </c>
      <c r="H96" s="314">
        <f t="shared" si="37"/>
        <v>150000</v>
      </c>
      <c r="I96" s="176">
        <f>'19'!L37</f>
        <v>0</v>
      </c>
      <c r="J96" s="312">
        <f>'19'!M37</f>
        <v>0</v>
      </c>
      <c r="K96" s="315">
        <f t="shared" si="38"/>
        <v>0</v>
      </c>
      <c r="L96" s="316">
        <f t="shared" si="32"/>
        <v>0</v>
      </c>
    </row>
    <row r="97" spans="3:12" ht="25.5" x14ac:dyDescent="0.2">
      <c r="C97" s="377" t="s">
        <v>368</v>
      </c>
      <c r="D97" s="357"/>
      <c r="E97" s="379" t="s">
        <v>365</v>
      </c>
      <c r="F97" s="312">
        <f>'20'!I45</f>
        <v>250000</v>
      </c>
      <c r="G97" s="313">
        <f>'20'!J45</f>
        <v>0</v>
      </c>
      <c r="H97" s="314">
        <f>'20'!K45</f>
        <v>250000</v>
      </c>
      <c r="I97" s="176">
        <f>'20'!L45</f>
        <v>0</v>
      </c>
      <c r="J97" s="312">
        <f>'20'!M45</f>
        <v>0</v>
      </c>
      <c r="K97" s="315">
        <f>'20'!N45</f>
        <v>0</v>
      </c>
      <c r="L97" s="316">
        <f t="shared" ref="L97" si="39">IF(H97=0,"",K97/H97*100)</f>
        <v>0</v>
      </c>
    </row>
    <row r="98" spans="3:12" ht="14.25" x14ac:dyDescent="0.2">
      <c r="C98" s="377" t="s">
        <v>321</v>
      </c>
      <c r="D98" s="357" t="s">
        <v>124</v>
      </c>
      <c r="E98" s="378" t="s">
        <v>132</v>
      </c>
      <c r="F98" s="312">
        <f>'15'!I36</f>
        <v>800000</v>
      </c>
      <c r="G98" s="313">
        <f>'15'!J36</f>
        <v>500000</v>
      </c>
      <c r="H98" s="314">
        <f t="shared" si="37"/>
        <v>1300000</v>
      </c>
      <c r="I98" s="176">
        <f>'15'!L36</f>
        <v>0</v>
      </c>
      <c r="J98" s="312">
        <f>'15'!M36</f>
        <v>0</v>
      </c>
      <c r="K98" s="315">
        <f t="shared" si="38"/>
        <v>0</v>
      </c>
      <c r="L98" s="316">
        <f t="shared" si="32"/>
        <v>0</v>
      </c>
    </row>
    <row r="99" spans="3:12" ht="14.25" x14ac:dyDescent="0.2">
      <c r="C99" s="380"/>
      <c r="D99" s="381"/>
      <c r="E99" s="382"/>
      <c r="F99" s="312"/>
      <c r="G99" s="313"/>
      <c r="H99" s="314"/>
      <c r="I99" s="176"/>
      <c r="J99" s="312"/>
      <c r="K99" s="315"/>
      <c r="L99" s="316" t="str">
        <f t="shared" si="32"/>
        <v/>
      </c>
    </row>
    <row r="100" spans="3:12" ht="15" x14ac:dyDescent="0.2">
      <c r="C100" s="383" t="s">
        <v>322</v>
      </c>
      <c r="D100" s="384"/>
      <c r="E100" s="376" t="s">
        <v>323</v>
      </c>
      <c r="F100" s="304">
        <f t="shared" ref="F100:K100" si="40">SUM(F101:F102)</f>
        <v>10850</v>
      </c>
      <c r="G100" s="305">
        <f t="shared" si="40"/>
        <v>0</v>
      </c>
      <c r="H100" s="306">
        <f t="shared" si="40"/>
        <v>10850</v>
      </c>
      <c r="I100" s="307">
        <f t="shared" si="40"/>
        <v>0</v>
      </c>
      <c r="J100" s="304">
        <f t="shared" si="40"/>
        <v>0</v>
      </c>
      <c r="K100" s="308">
        <f t="shared" si="40"/>
        <v>0</v>
      </c>
      <c r="L100" s="309">
        <f t="shared" si="32"/>
        <v>0</v>
      </c>
    </row>
    <row r="101" spans="3:12" ht="14.25" x14ac:dyDescent="0.2">
      <c r="C101" s="346">
        <v>616200</v>
      </c>
      <c r="D101" s="347" t="s">
        <v>101</v>
      </c>
      <c r="E101" s="378" t="s">
        <v>162</v>
      </c>
      <c r="F101" s="312">
        <f>'16'!I39</f>
        <v>10850</v>
      </c>
      <c r="G101" s="313">
        <f>'16'!J39</f>
        <v>0</v>
      </c>
      <c r="H101" s="314">
        <f t="shared" ref="H101:H102" si="41">F101+G101</f>
        <v>10850</v>
      </c>
      <c r="I101" s="176">
        <f>'16'!L39</f>
        <v>0</v>
      </c>
      <c r="J101" s="312">
        <f>'16'!M39</f>
        <v>0</v>
      </c>
      <c r="K101" s="315">
        <f t="shared" ref="K101:K102" si="42">I101+J101</f>
        <v>0</v>
      </c>
      <c r="L101" s="316">
        <f t="shared" si="32"/>
        <v>0</v>
      </c>
    </row>
    <row r="102" spans="3:12" ht="14.25" x14ac:dyDescent="0.2">
      <c r="C102" s="346">
        <v>616200</v>
      </c>
      <c r="D102" s="347" t="s">
        <v>102</v>
      </c>
      <c r="E102" s="378" t="s">
        <v>163</v>
      </c>
      <c r="F102" s="312">
        <f>'16'!I40</f>
        <v>0</v>
      </c>
      <c r="G102" s="313">
        <f>'16'!J40</f>
        <v>0</v>
      </c>
      <c r="H102" s="314">
        <f t="shared" si="41"/>
        <v>0</v>
      </c>
      <c r="I102" s="176">
        <f>'16'!L40</f>
        <v>0</v>
      </c>
      <c r="J102" s="312">
        <f>'16'!M40</f>
        <v>0</v>
      </c>
      <c r="K102" s="315">
        <f t="shared" si="42"/>
        <v>0</v>
      </c>
      <c r="L102" s="316" t="str">
        <f t="shared" si="32"/>
        <v/>
      </c>
    </row>
    <row r="103" spans="3:12" ht="14.25" x14ac:dyDescent="0.2">
      <c r="C103" s="346"/>
      <c r="D103" s="347"/>
      <c r="E103" s="378"/>
      <c r="F103" s="312"/>
      <c r="G103" s="313"/>
      <c r="H103" s="314"/>
      <c r="I103" s="176"/>
      <c r="J103" s="312"/>
      <c r="K103" s="315"/>
      <c r="L103" s="316" t="str">
        <f t="shared" si="32"/>
        <v/>
      </c>
    </row>
    <row r="104" spans="3:12" ht="15" x14ac:dyDescent="0.2">
      <c r="C104" s="385">
        <v>821000</v>
      </c>
      <c r="D104" s="386"/>
      <c r="E104" s="303" t="s">
        <v>12</v>
      </c>
      <c r="F104" s="304">
        <f t="shared" ref="F104:K104" si="43">SUM(F106:F111)</f>
        <v>3725226</v>
      </c>
      <c r="G104" s="305">
        <f t="shared" si="43"/>
        <v>3167847</v>
      </c>
      <c r="H104" s="306">
        <f t="shared" si="43"/>
        <v>6893073</v>
      </c>
      <c r="I104" s="307">
        <f t="shared" si="43"/>
        <v>0</v>
      </c>
      <c r="J104" s="304">
        <f t="shared" si="43"/>
        <v>0</v>
      </c>
      <c r="K104" s="308">
        <f t="shared" si="43"/>
        <v>0</v>
      </c>
      <c r="L104" s="309">
        <f t="shared" si="32"/>
        <v>0</v>
      </c>
    </row>
    <row r="105" spans="3:12" ht="14.25" x14ac:dyDescent="0.2">
      <c r="C105" s="346">
        <v>821100</v>
      </c>
      <c r="D105" s="347"/>
      <c r="E105" s="317" t="s">
        <v>331</v>
      </c>
      <c r="F105" s="312">
        <f>'11'!I49</f>
        <v>0</v>
      </c>
      <c r="G105" s="313">
        <f>'11'!J49</f>
        <v>0</v>
      </c>
      <c r="H105" s="314">
        <f>'11'!K49</f>
        <v>0</v>
      </c>
      <c r="I105" s="176">
        <f>'11'!L49</f>
        <v>0</v>
      </c>
      <c r="J105" s="312">
        <f>'11'!M49</f>
        <v>0</v>
      </c>
      <c r="K105" s="315">
        <f>'11'!N49</f>
        <v>0</v>
      </c>
      <c r="L105" s="316" t="str">
        <f t="shared" ref="L105" si="44">IF(H105=0,"",K105/H105*100)</f>
        <v/>
      </c>
    </row>
    <row r="106" spans="3:12" ht="14.25" x14ac:dyDescent="0.2">
      <c r="C106" s="346">
        <v>821200</v>
      </c>
      <c r="D106" s="347"/>
      <c r="E106" s="317" t="s">
        <v>13</v>
      </c>
      <c r="F106" s="312">
        <f>'10'!I30+'11'!I50+'11'!I80+'11'!I109+'11'!I138+'11'!I170+'11'!I199+'12'!I30+'13'!I31+'14'!I32+'14'!I62+'14'!I92+'14'!I121+'14'!I150+'14'!I179+'15'!I39+'16'!I43+'17'!I36+'18'!I34+'19'!I40+'20'!I48+'21'!I34+'22'!I30+'23'!I34+'24'!I30+'26'!I30+'27'!I30+'28'!I30+'20'!I77+'20'!I106+'20'!I135+'20'!I164+'20'!I193+'20'!I222+'20'!I251+'20'!I280+'20'!I309+'20'!I338</f>
        <v>2058020</v>
      </c>
      <c r="G106" s="313">
        <f>'10'!J30+'11'!J50+'11'!J80+'11'!J109+'11'!J138+'11'!J170+'11'!J199+'12'!J30+'13'!J31+'14'!J32+'14'!J62+'14'!J92+'14'!J121+'14'!J150+'14'!J179+'15'!J39+'16'!J43+'17'!J36+'18'!J34+'19'!J40+'20'!J48+'21'!J34+'22'!J30+'23'!J34+'24'!J30+'26'!J30+'27'!J30+'28'!J30+'20'!J77+'20'!J106+'20'!J135+'20'!J164+'20'!J193+'20'!J222+'20'!J251+'20'!J280+'20'!J309+'20'!J338</f>
        <v>1307030</v>
      </c>
      <c r="H106" s="314">
        <f>'10'!K30+'11'!K50+'11'!K80+'11'!K109+'11'!K138+'11'!K170+'11'!K199+'12'!K30+'13'!K31+'14'!K32+'14'!K62+'14'!K92+'14'!K121+'14'!K150+'14'!K179+'15'!K39+'16'!K43+'17'!K36+'18'!K34+'19'!K40+'20'!K48+'21'!K34+'22'!K30+'23'!K34+'24'!K30+'26'!K30+'27'!K30+'28'!K30+'20'!K77+'20'!K106+'20'!K135+'20'!K164+'20'!K193+'20'!K222+'20'!K251+'20'!K280+'20'!K309+'20'!K338</f>
        <v>3365050</v>
      </c>
      <c r="I106" s="176">
        <f>'10'!L30+'11'!L50+'11'!L80+'11'!L109+'11'!L138+'11'!L170+'11'!L199+'12'!L30+'13'!L31+'14'!L32+'14'!L62+'14'!L92+'14'!L121+'14'!L150+'14'!L179+'15'!L39+'16'!L43+'17'!L36+'18'!L34+'19'!L40+'20'!L48+'21'!L34+'22'!L30+'23'!L34+'24'!L30+'26'!L30+'27'!L30+'28'!L30+'20'!L77+'20'!L106+'20'!L135+'20'!L164+'20'!L193+'20'!L222+'20'!L251+'20'!L280+'20'!L309+'20'!L338</f>
        <v>0</v>
      </c>
      <c r="J106" s="312">
        <f>'10'!M30+'11'!M50+'11'!M80+'11'!M109+'11'!M138+'11'!M170+'11'!M199+'12'!M30+'13'!M31+'14'!M32+'14'!M62+'14'!M92+'14'!M121+'14'!M150+'14'!M179+'15'!M39+'16'!M43+'17'!M36+'18'!M34+'19'!M40+'20'!M48+'21'!M34+'22'!M30+'23'!M34+'24'!M30+'26'!M30+'27'!M30+'28'!M30+'20'!M77+'20'!M106+'20'!M135+'20'!M164+'20'!M193+'20'!M222+'20'!M251+'20'!M280+'20'!M309+'20'!M338</f>
        <v>0</v>
      </c>
      <c r="K106" s="315">
        <f>'10'!N30+'11'!N50+'11'!N80+'11'!N109+'11'!N138+'11'!N170+'11'!N199+'12'!N30+'13'!N31+'14'!N32+'14'!N62+'14'!N92+'14'!N121+'14'!N150+'14'!N179+'15'!N39+'16'!N43+'17'!N36+'18'!N34+'19'!N40+'20'!N48+'21'!N34+'22'!N30+'23'!N34+'24'!N30+'26'!N30+'27'!N30+'28'!N30+'20'!N77+'20'!N106+'20'!N135+'20'!N164+'20'!N193+'20'!N222+'20'!N251+'20'!N280+'20'!N309+'20'!N338</f>
        <v>0</v>
      </c>
      <c r="L106" s="316">
        <f t="shared" si="32"/>
        <v>0</v>
      </c>
    </row>
    <row r="107" spans="3:12" ht="14.25" x14ac:dyDescent="0.2">
      <c r="C107" s="346">
        <v>821300</v>
      </c>
      <c r="D107" s="347"/>
      <c r="E107" s="317" t="s">
        <v>14</v>
      </c>
      <c r="F107" s="312">
        <f>'10'!I31+'11'!I51+'11'!I81+'11'!I110+'11'!I139+'11'!I171+'11'!I200+'12'!I31+'13'!I32+'14'!I33+'14'!I63+'14'!I93+'14'!I122+'14'!I151+'14'!I180+'15'!I40+'16'!I44+'17'!I37+'18'!I35+'19'!I41+'20'!I49+'21'!I35+'22'!I31+'23'!I35+'24'!I31+'26'!I31+'27'!I31+'28'!I31+'20'!I78+'20'!I107+'20'!I136+'20'!I165+'20'!I194+'20'!I223+'20'!I252+'20'!I281+'20'!I310+'20'!I339</f>
        <v>1054612</v>
      </c>
      <c r="G107" s="313">
        <f>'10'!J31+'11'!J51+'11'!J81+'11'!J110+'11'!J139+'11'!J171+'11'!J200+'12'!J31+'13'!J32+'14'!J33+'14'!J63+'14'!J93+'14'!J122+'14'!J151+'14'!J180+'15'!J40+'16'!J44+'17'!J37+'18'!J35+'19'!J41+'20'!J49+'21'!J35+'22'!J31+'23'!J35+'24'!J31+'26'!J31+'27'!J31+'28'!J31+'20'!J78+'20'!J107+'20'!J136+'20'!J165+'20'!J194+'20'!J223+'20'!J252+'20'!J281+'20'!J310+'20'!J339</f>
        <v>224687</v>
      </c>
      <c r="H107" s="314">
        <f>'10'!K31+'11'!K51+'11'!K81+'11'!K110+'11'!K139+'11'!K171+'11'!K200+'12'!K31+'13'!K32+'14'!K33+'14'!K63+'14'!K93+'14'!K122+'14'!K151+'14'!K180+'15'!K40+'16'!K44+'17'!K37+'18'!K35+'19'!K41+'20'!K49+'21'!K35+'22'!K31+'23'!K35+'24'!K31+'26'!K31+'27'!K31+'28'!K31+'20'!K78+'20'!K107+'20'!K136+'20'!K165+'20'!K194+'20'!K223+'20'!K252+'20'!K281+'20'!K310+'20'!K339</f>
        <v>1279299</v>
      </c>
      <c r="I107" s="176">
        <f>'10'!L31+'11'!L51+'11'!L81+'11'!L110+'11'!L139+'11'!L171+'11'!L200+'12'!L31+'13'!L32+'14'!L33+'14'!L63+'14'!L93+'14'!L122+'14'!L151+'14'!L180+'15'!L40+'16'!L44+'17'!L37+'18'!L35+'19'!L41+'20'!L49+'21'!L35+'22'!L31+'23'!L35+'24'!L31+'26'!L31+'27'!L31+'28'!L31+'20'!L78+'20'!L107+'20'!L136+'20'!L165+'20'!L194+'20'!L223+'20'!L252+'20'!L281+'20'!L310+'20'!L339</f>
        <v>0</v>
      </c>
      <c r="J107" s="312">
        <f>'10'!M31+'11'!M51+'11'!M81+'11'!M110+'11'!M139+'11'!M171+'11'!M200+'12'!M31+'13'!M32+'14'!M33+'14'!M63+'14'!M93+'14'!M122+'14'!M151+'14'!M180+'15'!M40+'16'!M44+'17'!M37+'18'!M35+'19'!M41+'20'!M49+'21'!M35+'22'!M31+'23'!M35+'24'!M31+'26'!M31+'27'!M31+'28'!M31+'20'!M78+'20'!M107+'20'!M136+'20'!M165+'20'!M194+'20'!M223+'20'!M252+'20'!M281+'20'!M310+'20'!M339</f>
        <v>0</v>
      </c>
      <c r="K107" s="315">
        <f>'10'!N31+'11'!N51+'11'!N81+'11'!N110+'11'!N139+'11'!N171+'11'!N200+'12'!N31+'13'!N32+'14'!N33+'14'!N63+'14'!N93+'14'!N122+'14'!N151+'14'!N180+'15'!N40+'16'!N44+'17'!N37+'18'!N35+'19'!N41+'20'!N49+'21'!N35+'22'!N31+'23'!N35+'24'!N31+'26'!N31+'27'!N31+'28'!N31+'20'!N78+'20'!N107+'20'!N136+'20'!N165+'20'!N194+'20'!N223+'20'!N252+'20'!N281+'20'!N310+'20'!N339</f>
        <v>0</v>
      </c>
      <c r="L107" s="316">
        <f t="shared" si="32"/>
        <v>0</v>
      </c>
    </row>
    <row r="108" spans="3:12" ht="14.25" x14ac:dyDescent="0.2">
      <c r="C108" s="346">
        <v>821300</v>
      </c>
      <c r="D108" s="347" t="s">
        <v>254</v>
      </c>
      <c r="E108" s="317" t="s">
        <v>253</v>
      </c>
      <c r="F108" s="312">
        <f>'23'!I36</f>
        <v>320000</v>
      </c>
      <c r="G108" s="313">
        <f>'23'!J36</f>
        <v>0</v>
      </c>
      <c r="H108" s="314">
        <f t="shared" ref="H108:H111" si="45">F108+G108</f>
        <v>320000</v>
      </c>
      <c r="I108" s="176">
        <f>'23'!L36</f>
        <v>0</v>
      </c>
      <c r="J108" s="312">
        <f>'23'!M36</f>
        <v>0</v>
      </c>
      <c r="K108" s="315">
        <f t="shared" ref="K108:K111" si="46">I108+J108</f>
        <v>0</v>
      </c>
      <c r="L108" s="316">
        <f t="shared" si="32"/>
        <v>0</v>
      </c>
    </row>
    <row r="109" spans="3:12" ht="14.25" x14ac:dyDescent="0.2">
      <c r="C109" s="346">
        <v>821500</v>
      </c>
      <c r="D109" s="347"/>
      <c r="E109" s="317" t="s">
        <v>82</v>
      </c>
      <c r="F109" s="312">
        <f>'10'!I32+'11'!I52+'14'!I64+'17'!I38</f>
        <v>258724</v>
      </c>
      <c r="G109" s="313">
        <f>'10'!J32+'11'!J52+'14'!J64+'17'!J38</f>
        <v>170000</v>
      </c>
      <c r="H109" s="314">
        <f>'10'!K32+'11'!K52+'14'!K64+'17'!K38</f>
        <v>428724</v>
      </c>
      <c r="I109" s="176">
        <f>'10'!L32+'11'!L52+'14'!L64+'17'!L38</f>
        <v>0</v>
      </c>
      <c r="J109" s="312">
        <f>'10'!M32+'11'!M52+'14'!M64+'17'!M38</f>
        <v>0</v>
      </c>
      <c r="K109" s="315">
        <f>'10'!N32+'11'!N52+'14'!N64+'17'!N38</f>
        <v>0</v>
      </c>
      <c r="L109" s="316">
        <f t="shared" si="32"/>
        <v>0</v>
      </c>
    </row>
    <row r="110" spans="3:12" ht="14.25" x14ac:dyDescent="0.2">
      <c r="C110" s="346">
        <v>821500</v>
      </c>
      <c r="D110" s="347" t="s">
        <v>127</v>
      </c>
      <c r="E110" s="317" t="s">
        <v>126</v>
      </c>
      <c r="F110" s="312">
        <f>'18'!I36</f>
        <v>33870</v>
      </c>
      <c r="G110" s="313">
        <f>'18'!J36</f>
        <v>1196130</v>
      </c>
      <c r="H110" s="314">
        <f t="shared" si="45"/>
        <v>1230000</v>
      </c>
      <c r="I110" s="176">
        <f>'18'!L36</f>
        <v>0</v>
      </c>
      <c r="J110" s="312">
        <f>'18'!M36</f>
        <v>0</v>
      </c>
      <c r="K110" s="315">
        <f t="shared" si="46"/>
        <v>0</v>
      </c>
      <c r="L110" s="316">
        <f t="shared" si="32"/>
        <v>0</v>
      </c>
    </row>
    <row r="111" spans="3:12" ht="14.25" x14ac:dyDescent="0.2">
      <c r="C111" s="346">
        <v>821600</v>
      </c>
      <c r="D111" s="347" t="s">
        <v>128</v>
      </c>
      <c r="E111" s="317" t="s">
        <v>125</v>
      </c>
      <c r="F111" s="312">
        <f>'18'!I37</f>
        <v>0</v>
      </c>
      <c r="G111" s="313">
        <f>'18'!J37</f>
        <v>270000</v>
      </c>
      <c r="H111" s="314">
        <f t="shared" si="45"/>
        <v>270000</v>
      </c>
      <c r="I111" s="176">
        <f>'18'!L37</f>
        <v>0</v>
      </c>
      <c r="J111" s="312">
        <f>'18'!M37</f>
        <v>0</v>
      </c>
      <c r="K111" s="315">
        <f t="shared" si="46"/>
        <v>0</v>
      </c>
      <c r="L111" s="316">
        <f t="shared" si="32"/>
        <v>0</v>
      </c>
    </row>
    <row r="112" spans="3:12" ht="14.25" x14ac:dyDescent="0.2">
      <c r="C112" s="346"/>
      <c r="D112" s="347"/>
      <c r="E112" s="317"/>
      <c r="F112" s="342"/>
      <c r="G112" s="343"/>
      <c r="H112" s="344"/>
      <c r="I112" s="345"/>
      <c r="J112" s="342"/>
      <c r="K112" s="315"/>
      <c r="L112" s="316" t="str">
        <f t="shared" si="32"/>
        <v/>
      </c>
    </row>
    <row r="113" spans="3:14" ht="15" x14ac:dyDescent="0.2">
      <c r="C113" s="385">
        <v>823000</v>
      </c>
      <c r="D113" s="386"/>
      <c r="E113" s="303" t="s">
        <v>324</v>
      </c>
      <c r="F113" s="304">
        <f t="shared" ref="F113:K113" si="47">SUM(F114:F115)</f>
        <v>512990</v>
      </c>
      <c r="G113" s="305">
        <f t="shared" si="47"/>
        <v>0</v>
      </c>
      <c r="H113" s="306">
        <f t="shared" si="47"/>
        <v>512990</v>
      </c>
      <c r="I113" s="307">
        <f t="shared" si="47"/>
        <v>0</v>
      </c>
      <c r="J113" s="304">
        <f t="shared" si="47"/>
        <v>0</v>
      </c>
      <c r="K113" s="308">
        <f t="shared" si="47"/>
        <v>0</v>
      </c>
      <c r="L113" s="309">
        <f t="shared" si="32"/>
        <v>0</v>
      </c>
    </row>
    <row r="114" spans="3:14" ht="14.25" x14ac:dyDescent="0.2">
      <c r="C114" s="346">
        <v>823200</v>
      </c>
      <c r="D114" s="347" t="s">
        <v>101</v>
      </c>
      <c r="E114" s="317" t="s">
        <v>325</v>
      </c>
      <c r="F114" s="312">
        <f>'16'!I47</f>
        <v>82700</v>
      </c>
      <c r="G114" s="313">
        <f>'16'!J47</f>
        <v>0</v>
      </c>
      <c r="H114" s="314">
        <f t="shared" ref="H114:H115" si="48">F114+G114</f>
        <v>82700</v>
      </c>
      <c r="I114" s="176">
        <f>'16'!L47</f>
        <v>0</v>
      </c>
      <c r="J114" s="312">
        <f>'16'!M47</f>
        <v>0</v>
      </c>
      <c r="K114" s="315">
        <f t="shared" ref="K114:K115" si="49">I114+J114</f>
        <v>0</v>
      </c>
      <c r="L114" s="316">
        <f t="shared" si="32"/>
        <v>0</v>
      </c>
    </row>
    <row r="115" spans="3:14" ht="14.25" x14ac:dyDescent="0.2">
      <c r="C115" s="346">
        <v>823200</v>
      </c>
      <c r="D115" s="347" t="s">
        <v>102</v>
      </c>
      <c r="E115" s="317" t="s">
        <v>326</v>
      </c>
      <c r="F115" s="312">
        <f>'16'!I48</f>
        <v>430290</v>
      </c>
      <c r="G115" s="313">
        <f>'16'!J48</f>
        <v>0</v>
      </c>
      <c r="H115" s="314">
        <f t="shared" si="48"/>
        <v>430290</v>
      </c>
      <c r="I115" s="176">
        <f>'16'!L48</f>
        <v>0</v>
      </c>
      <c r="J115" s="312">
        <f>'16'!M48</f>
        <v>0</v>
      </c>
      <c r="K115" s="315">
        <f t="shared" si="49"/>
        <v>0</v>
      </c>
      <c r="L115" s="316">
        <f t="shared" si="32"/>
        <v>0</v>
      </c>
    </row>
    <row r="116" spans="3:14" ht="14.25" x14ac:dyDescent="0.2">
      <c r="C116" s="346"/>
      <c r="D116" s="347"/>
      <c r="E116" s="120"/>
      <c r="F116" s="82"/>
      <c r="G116" s="301"/>
      <c r="H116" s="302"/>
      <c r="I116" s="99"/>
      <c r="J116" s="82"/>
      <c r="K116" s="151"/>
      <c r="L116" s="267" t="str">
        <f t="shared" si="32"/>
        <v/>
      </c>
    </row>
    <row r="117" spans="3:14" ht="15" x14ac:dyDescent="0.25">
      <c r="C117" s="387"/>
      <c r="D117" s="368"/>
      <c r="E117" s="388" t="s">
        <v>15</v>
      </c>
      <c r="F117" s="263"/>
      <c r="G117" s="264"/>
      <c r="H117" s="265"/>
      <c r="I117" s="266"/>
      <c r="J117" s="263"/>
      <c r="K117" s="259"/>
      <c r="L117" s="267" t="str">
        <f t="shared" si="32"/>
        <v/>
      </c>
    </row>
    <row r="118" spans="3:14" ht="15" x14ac:dyDescent="0.25">
      <c r="C118" s="245"/>
      <c r="D118" s="247"/>
      <c r="E118" s="388" t="s">
        <v>327</v>
      </c>
      <c r="F118" s="389">
        <f>'10'!I35+'11'!I55+'11'!I84+'11'!I113+'11'!I142+'11'!I174+'11'!I203+'12'!I34+'13'!I35+'14'!I36+'14'!I67+'14'!I96+'14'!I125+'14'!I154+'14'!I183+'15'!I43+'16'!I51+'17'!I41+'18'!I40+'19'!I44+'20'!I52+'20'!I81+'20'!I110+'20'!I139+'20'!I168+'20'!I197+'20'!I226+'20'!I255+'20'!I284+'20'!I313+'20'!I342+'21'!I38+'22'!I34+'23'!I39+'24'!I34+'26'!I34+'27'!I34+'28'!I34</f>
        <v>74613179</v>
      </c>
      <c r="G118" s="390">
        <f>'10'!J35+'11'!J55+'11'!J84+'11'!J113+'11'!J142+'11'!J174+'11'!J203+'12'!J34+'13'!J35+'14'!J36+'14'!J67+'14'!J96+'14'!J125+'14'!J154+'14'!J183+'15'!J43+'16'!J51+'17'!J41+'18'!J40+'19'!J44+'20'!J52+'20'!J81+'20'!J110+'20'!J139+'20'!J168+'20'!J197+'20'!J226+'20'!J255+'20'!J284+'20'!J313+'20'!J342+'21'!J38+'22'!J34+'23'!J39+'24'!J34+'26'!J34+'27'!J34+'28'!J34</f>
        <v>6397117</v>
      </c>
      <c r="H118" s="391">
        <f>'10'!K35+'11'!K55+'11'!K84+'11'!K113+'11'!K142+'11'!K174+'11'!K203+'12'!K34+'13'!K35+'14'!K36+'14'!K67+'14'!K96+'14'!K125+'14'!K154+'14'!K183+'15'!K43+'16'!K51+'17'!K41+'18'!K40+'19'!K44+'20'!K52+'20'!K81+'20'!K110+'20'!K139+'20'!K168+'20'!K197+'20'!K226+'20'!K255+'20'!K284+'20'!K313+'20'!K342+'21'!K38+'22'!K34+'23'!K39+'24'!K34+'26'!K34+'27'!K34+'28'!K34</f>
        <v>81010296</v>
      </c>
      <c r="I118" s="177">
        <f>'10'!L35+'11'!L55+'11'!L84+'11'!L113+'11'!L142+'11'!L174+'11'!L203+'12'!L34+'13'!L35+'14'!L36+'14'!L67+'14'!L96+'14'!L125+'14'!L154+'14'!L183+'15'!L43+'16'!L51+'17'!L41+'18'!L40+'19'!L44+'20'!L52+'20'!L81+'20'!L110+'20'!L139+'20'!L168+'20'!L197+'20'!L226+'20'!L255+'20'!L284+'20'!L313+'20'!L342+'21'!L38+'22'!L34+'23'!L39+'24'!L34+'26'!L34+'27'!L34+'28'!L34</f>
        <v>0</v>
      </c>
      <c r="J118" s="389">
        <f>'10'!M35+'11'!M55+'11'!M84+'11'!M113+'11'!M142+'11'!M174+'11'!M203+'12'!M34+'13'!M35+'14'!M36+'14'!M67+'14'!M96+'14'!M125+'14'!M154+'14'!M183+'15'!M43+'16'!M51+'17'!M41+'18'!M40+'19'!M44+'20'!M52+'20'!M81+'20'!M110+'20'!M139+'20'!M168+'20'!M197+'20'!M226+'20'!M255+'20'!M284+'20'!M313+'20'!M342+'21'!M38+'22'!M34+'23'!M39+'24'!M34+'26'!M34+'27'!M34+'28'!M34</f>
        <v>0</v>
      </c>
      <c r="K118" s="170">
        <f>'10'!N35+'11'!N55+'11'!N84+'11'!N113+'11'!N142+'11'!N174+'11'!N203+'12'!N34+'13'!N35+'14'!N36+'14'!N67+'14'!N96+'14'!N125+'14'!N154+'14'!N183+'15'!N43+'16'!N51+'17'!N41+'18'!N40+'19'!N44+'20'!N52+'20'!N81+'20'!N110+'20'!N139+'20'!N168+'20'!N197+'20'!N226+'20'!N255+'20'!N284+'20'!N313+'20'!N342+'21'!N38+'22'!N34+'23'!N39+'24'!N34+'26'!N34+'27'!N34+'28'!N34</f>
        <v>0</v>
      </c>
      <c r="L118" s="392">
        <f t="shared" si="32"/>
        <v>0</v>
      </c>
      <c r="N118" s="291"/>
    </row>
    <row r="119" spans="3:14" ht="15" thickBot="1" x14ac:dyDescent="0.25">
      <c r="C119" s="393"/>
      <c r="D119" s="394"/>
      <c r="E119" s="395"/>
      <c r="F119" s="396"/>
      <c r="G119" s="396"/>
      <c r="H119" s="397"/>
      <c r="I119" s="366"/>
      <c r="J119" s="395"/>
      <c r="K119" s="398"/>
      <c r="L119" s="399"/>
    </row>
    <row r="120" spans="3:14" ht="13.5" thickBot="1" x14ac:dyDescent="0.25">
      <c r="C120" s="400"/>
      <c r="D120" s="401"/>
      <c r="E120" s="402"/>
      <c r="F120" s="402"/>
      <c r="G120" s="402"/>
      <c r="H120" s="402"/>
      <c r="I120" s="402"/>
      <c r="J120" s="402"/>
      <c r="K120" s="402"/>
      <c r="L120" s="403"/>
    </row>
    <row r="121" spans="3:14" ht="12.75" x14ac:dyDescent="0.2"/>
    <row r="122" spans="3:14" ht="12.75" x14ac:dyDescent="0.2">
      <c r="C122" s="404"/>
      <c r="D122" s="404"/>
      <c r="H122" s="291"/>
    </row>
    <row r="123" spans="3:14" ht="14.25" x14ac:dyDescent="0.2">
      <c r="C123" s="405"/>
      <c r="D123" s="405"/>
      <c r="J123" s="291"/>
      <c r="K123" s="236"/>
      <c r="L123" s="234"/>
    </row>
    <row r="124" spans="3:14" ht="12.75" x14ac:dyDescent="0.2">
      <c r="C124" s="404"/>
      <c r="D124" s="404"/>
      <c r="J124" s="291"/>
      <c r="K124" s="236"/>
      <c r="L124" s="234"/>
    </row>
    <row r="125" spans="3:14" ht="12.75" x14ac:dyDescent="0.2">
      <c r="C125" s="454"/>
      <c r="D125" s="454"/>
      <c r="E125" s="454"/>
      <c r="F125" s="406"/>
      <c r="G125" s="406"/>
      <c r="H125" s="406"/>
      <c r="I125" s="406"/>
      <c r="J125" s="406"/>
      <c r="K125" s="407"/>
      <c r="L125" s="234"/>
    </row>
    <row r="126" spans="3:14" ht="12.75" x14ac:dyDescent="0.2">
      <c r="C126" s="406"/>
      <c r="D126" s="406"/>
      <c r="E126" s="406"/>
      <c r="F126" s="406"/>
      <c r="G126" s="406"/>
      <c r="H126" s="406"/>
      <c r="I126" s="406"/>
      <c r="J126" s="406"/>
      <c r="K126" s="407"/>
      <c r="L126" s="234"/>
    </row>
    <row r="127" spans="3:14" ht="12.75" x14ac:dyDescent="0.2">
      <c r="C127" s="455"/>
      <c r="D127" s="455"/>
      <c r="E127" s="455"/>
      <c r="F127" s="455"/>
      <c r="G127" s="455"/>
      <c r="H127" s="455"/>
      <c r="I127" s="455"/>
      <c r="J127" s="455"/>
      <c r="K127" s="455"/>
      <c r="L127" s="234"/>
    </row>
    <row r="128" spans="3:14" ht="14.25" x14ac:dyDescent="0.2">
      <c r="C128" s="405"/>
      <c r="D128" s="405"/>
      <c r="K128" s="291"/>
    </row>
    <row r="129" spans="3:12" ht="12.75" x14ac:dyDescent="0.2">
      <c r="C129" s="404"/>
      <c r="D129" s="404"/>
      <c r="K129" s="291"/>
    </row>
    <row r="130" spans="3:12" ht="12.75" x14ac:dyDescent="0.2">
      <c r="C130" s="454"/>
      <c r="D130" s="454"/>
      <c r="E130" s="454"/>
      <c r="F130" s="406"/>
      <c r="G130" s="406"/>
      <c r="H130" s="406"/>
      <c r="I130" s="406"/>
      <c r="J130" s="406"/>
      <c r="K130" s="406"/>
      <c r="L130" s="407"/>
    </row>
    <row r="131" spans="3:12" ht="12.75" x14ac:dyDescent="0.2">
      <c r="C131" s="406"/>
      <c r="D131" s="406"/>
      <c r="E131" s="406"/>
      <c r="F131" s="406"/>
      <c r="G131" s="406"/>
      <c r="H131" s="406"/>
      <c r="I131" s="406"/>
      <c r="J131" s="406"/>
      <c r="K131" s="406"/>
      <c r="L131" s="407"/>
    </row>
    <row r="132" spans="3:12" ht="12.75" x14ac:dyDescent="0.2">
      <c r="C132" s="455"/>
      <c r="D132" s="455"/>
      <c r="E132" s="455"/>
      <c r="F132" s="455"/>
      <c r="G132" s="455"/>
      <c r="H132" s="455"/>
      <c r="I132" s="455"/>
      <c r="J132" s="455"/>
      <c r="K132" s="455"/>
      <c r="L132" s="455"/>
    </row>
  </sheetData>
  <mergeCells count="12">
    <mergeCell ref="C125:E125"/>
    <mergeCell ref="C127:K127"/>
    <mergeCell ref="C130:E130"/>
    <mergeCell ref="C132:L132"/>
    <mergeCell ref="F4:H4"/>
    <mergeCell ref="C3:E3"/>
    <mergeCell ref="K3:L3"/>
    <mergeCell ref="C4:C5"/>
    <mergeCell ref="D4:D5"/>
    <mergeCell ref="E4:E5"/>
    <mergeCell ref="I4:K4"/>
    <mergeCell ref="L4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20</vt:i4>
      </vt:variant>
      <vt:variant>
        <vt:lpstr>Imenovani rasponi</vt:lpstr>
      </vt:variant>
      <vt:variant>
        <vt:i4>3</vt:i4>
      </vt:variant>
    </vt:vector>
  </HeadingPairs>
  <TitlesOfParts>
    <vt:vector size="23" baseType="lpstr">
      <vt:lpstr>Uvodne napomene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26</vt:lpstr>
      <vt:lpstr>27</vt:lpstr>
      <vt:lpstr>28</vt:lpstr>
      <vt:lpstr>List1</vt:lpstr>
      <vt:lpstr>'11'!Ispis_naslova</vt:lpstr>
      <vt:lpstr>'14'!Ispis_naslova</vt:lpstr>
      <vt:lpstr>'20'!Ispis_naslova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operater</dc:creator>
  <cp:lastModifiedBy>Ružica Živković</cp:lastModifiedBy>
  <cp:lastPrinted>2026-10-13T09:18:58Z</cp:lastPrinted>
  <dcterms:created xsi:type="dcterms:W3CDTF">2004-07-23T11:14:23Z</dcterms:created>
  <dcterms:modified xsi:type="dcterms:W3CDTF">2026-10-13T11:29:49Z</dcterms:modified>
</cp:coreProperties>
</file>